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8.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12.xml" ContentType="application/vnd.openxmlformats-officedocument.drawingml.chartshapes+xml"/>
  <Override PartName="/xl/charts/chart3.xml" ContentType="application/vnd.openxmlformats-officedocument.drawingml.chart+xml"/>
  <Override PartName="/xl/drawings/drawing1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14.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drawings/drawing17.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drawings/drawing18.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drawings/drawing19.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drawings/drawing20.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drawings/drawing21.xml" ContentType="application/vnd.openxmlformats-officedocument.drawingml.chartshapes+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OHN TABARES\Documents\JOHN WILLIAM\INFORMACION PROYECTO AGUAS 2020\CENTRO INFORMACION AGUAS 2020 (16.03.2021)\IRCA ACUEDUCTOS RURALES ANTIOQUIA 2020\"/>
    </mc:Choice>
  </mc:AlternateContent>
  <bookViews>
    <workbookView xWindow="-120" yWindow="-120" windowWidth="20730" windowHeight="11160" firstSheet="5" activeTab="10"/>
  </bookViews>
  <sheets>
    <sheet name="VALLE DE ABURRA" sheetId="1" r:id="rId1"/>
    <sheet name="URABA" sheetId="2" r:id="rId2"/>
    <sheet name="NORTE" sheetId="3" r:id="rId3"/>
    <sheet name="OCCIDENTE" sheetId="4" r:id="rId4"/>
    <sheet name="SUROESTE" sheetId="5" r:id="rId5"/>
    <sheet name="BAJO CAUCA" sheetId="6" r:id="rId6"/>
    <sheet name="MAGDALENA MEDIO" sheetId="7" r:id="rId7"/>
    <sheet name="NORDESTE" sheetId="8" r:id="rId8"/>
    <sheet name="ORIENTE" sheetId="9" r:id="rId9"/>
    <sheet name="CONSOLIDADO-ACUEDUCTOSRURALES1" sheetId="10" r:id="rId10"/>
    <sheet name="CONSOLIDADO-ACUEDUCTOSRURALES2" sheetId="11" r:id="rId11"/>
    <sheet name="Hoja1" sheetId="12" r:id="rId12"/>
    <sheet name="Recuperado_Hoja9" sheetId="13" r:id="rId13"/>
  </sheets>
  <definedNames>
    <definedName name="_xlnm._FilterDatabase" localSheetId="5" hidden="1">'BAJO CAUCA'!$A$10:$W$72</definedName>
    <definedName name="_xlnm._FilterDatabase" localSheetId="6" hidden="1">'MAGDALENA MEDIO'!$A$10:$BR$82</definedName>
    <definedName name="_xlnm._FilterDatabase" localSheetId="7" hidden="1">NORDESTE!$A$11:$W$124</definedName>
    <definedName name="_xlnm._FilterDatabase" localSheetId="2" hidden="1">NORTE!$A$10:$W$271</definedName>
    <definedName name="_xlnm._FilterDatabase" localSheetId="3" hidden="1">OCCIDENTE!$A$10:$W$532</definedName>
    <definedName name="_xlnm._FilterDatabase" localSheetId="8" hidden="1">ORIENTE!$A$11:$W$572</definedName>
    <definedName name="_xlnm._FilterDatabase" localSheetId="4" hidden="1">SUROESTE!$A$10:$IV$523</definedName>
    <definedName name="_xlnm._FilterDatabase" localSheetId="1" hidden="1">URABA!$A$10:$W$127</definedName>
    <definedName name="_xlnm._FilterDatabase" localSheetId="0" hidden="1">'VALLE DE ABURRA'!$A$10:$W$233</definedName>
    <definedName name="solver_typ" localSheetId="5" hidden="1">2</definedName>
    <definedName name="solver_typ" localSheetId="6" hidden="1">2</definedName>
    <definedName name="solver_typ" localSheetId="7" hidden="1">2</definedName>
    <definedName name="solver_typ" localSheetId="2" hidden="1">2</definedName>
    <definedName name="solver_typ" localSheetId="3" hidden="1">2</definedName>
    <definedName name="solver_typ" localSheetId="8" hidden="1">2</definedName>
    <definedName name="solver_typ" localSheetId="4" hidden="1">2</definedName>
    <definedName name="solver_typ" localSheetId="1" hidden="1">2</definedName>
    <definedName name="solver_typ" localSheetId="0" hidden="1">2</definedName>
    <definedName name="solver_ver" localSheetId="5" hidden="1">17</definedName>
    <definedName name="solver_ver" localSheetId="6" hidden="1">17</definedName>
    <definedName name="solver_ver" localSheetId="7" hidden="1">17</definedName>
    <definedName name="solver_ver" localSheetId="2" hidden="1">17</definedName>
    <definedName name="solver_ver" localSheetId="3" hidden="1">17</definedName>
    <definedName name="solver_ver" localSheetId="8" hidden="1">17</definedName>
    <definedName name="solver_ver" localSheetId="4" hidden="1">17</definedName>
    <definedName name="solver_ver" localSheetId="1" hidden="1">17</definedName>
    <definedName name="solver_ver" localSheetId="0" hidden="1">17</definedName>
    <definedName name="_xlnm.Print_Titles" localSheetId="5">'BAJO CAUCA'!#REF!</definedName>
    <definedName name="_xlnm.Print_Titles" localSheetId="6">'MAGDALENA MEDIO'!$7:$7</definedName>
    <definedName name="_xlnm.Print_Titles" localSheetId="7">NORDESTE!#REF!</definedName>
    <definedName name="_xlnm.Print_Titles" localSheetId="2">NORTE!#REF!</definedName>
    <definedName name="_xlnm.Print_Titles" localSheetId="3">OCCIDENTE!#REF!</definedName>
    <definedName name="_xlnm.Print_Titles" localSheetId="8">ORIENTE!#REF!</definedName>
    <definedName name="_xlnm.Print_Titles" localSheetId="4">SUROESTE!#REF!</definedName>
    <definedName name="_xlnm.Print_Titles" localSheetId="1">URABA!#REF!</definedName>
    <definedName name="_xlnm.Print_Titles" localSheetId="0">'VALLE DE ABURRA'!#REF!</definedName>
    <definedName name="Z_0BC005E4_882D_482B_A17C_09999F9F8307_.wvu.FilterData" localSheetId="4" hidden="1">SUROESTE!$A$11:$W$114</definedName>
    <definedName name="Z_240BA642_90B5_4126_A4A9_99E737AC13D0_.wvu.FilterData" localSheetId="5" hidden="1">'BAJO CAUCA'!$A$10:$W$71</definedName>
    <definedName name="Z_240BA642_90B5_4126_A4A9_99E737AC13D0_.wvu.FilterData" localSheetId="6" hidden="1">'MAGDALENA MEDIO'!$A$10:$BR$82</definedName>
    <definedName name="Z_240BA642_90B5_4126_A4A9_99E737AC13D0_.wvu.FilterData" localSheetId="7" hidden="1">NORDESTE!$A$11:$W$123</definedName>
    <definedName name="Z_240BA642_90B5_4126_A4A9_99E737AC13D0_.wvu.FilterData" localSheetId="3" hidden="1">OCCIDENTE!$A$10:$W$532</definedName>
    <definedName name="Z_240BA642_90B5_4126_A4A9_99E737AC13D0_.wvu.FilterData" localSheetId="8" hidden="1">ORIENTE!$A$11:$W$572</definedName>
    <definedName name="Z_240BA642_90B5_4126_A4A9_99E737AC13D0_.wvu.FilterData" localSheetId="4" hidden="1">SUROESTE!$A$10:$IV$523</definedName>
    <definedName name="Z_240BA642_90B5_4126_A4A9_99E737AC13D0_.wvu.FilterData" localSheetId="0" hidden="1">'VALLE DE ABURRA'!$A$10:$W$233</definedName>
    <definedName name="Z_45AE7309_DF76_40FF_9BC6_30C0FE705437_.wvu.FilterData" localSheetId="4" hidden="1">SUROESTE!$A$11:$W$114</definedName>
    <definedName name="Z_45C8AF51_29EC_46A5_AB7F_1F0634E55D82_.wvu.Cols" localSheetId="5" hidden="1">'BAJO CAUCA'!$T:$XFD</definedName>
    <definedName name="Z_45C8AF51_29EC_46A5_AB7F_1F0634E55D82_.wvu.Cols" localSheetId="7" hidden="1">NORDESTE!$T:$XFD</definedName>
    <definedName name="Z_45C8AF51_29EC_46A5_AB7F_1F0634E55D82_.wvu.Cols" localSheetId="2" hidden="1">NORTE!$T:$XFD</definedName>
    <definedName name="Z_45C8AF51_29EC_46A5_AB7F_1F0634E55D82_.wvu.Cols" localSheetId="3" hidden="1">OCCIDENTE!$T:$XFD</definedName>
    <definedName name="Z_45C8AF51_29EC_46A5_AB7F_1F0634E55D82_.wvu.Cols" localSheetId="8" hidden="1">ORIENTE!$T:$XFD</definedName>
    <definedName name="Z_45C8AF51_29EC_46A5_AB7F_1F0634E55D82_.wvu.Cols" localSheetId="4" hidden="1">SUROESTE!$T:$XFD</definedName>
    <definedName name="Z_45C8AF51_29EC_46A5_AB7F_1F0634E55D82_.wvu.Cols" localSheetId="1" hidden="1">URABA!$T:$XFD</definedName>
    <definedName name="Z_45C8AF51_29EC_46A5_AB7F_1F0634E55D82_.wvu.Cols" localSheetId="0" hidden="1">'VALLE DE ABURRA'!$T:$XFD</definedName>
    <definedName name="Z_45C8AF51_29EC_46A5_AB7F_1F0634E55D82_.wvu.FilterData" localSheetId="5" hidden="1">'BAJO CAUCA'!$A$10:$W$72</definedName>
    <definedName name="Z_45C8AF51_29EC_46A5_AB7F_1F0634E55D82_.wvu.FilterData" localSheetId="6" hidden="1">'MAGDALENA MEDIO'!$A$10:$BR$82</definedName>
    <definedName name="Z_45C8AF51_29EC_46A5_AB7F_1F0634E55D82_.wvu.FilterData" localSheetId="7" hidden="1">NORDESTE!$A$11:$W$124</definedName>
    <definedName name="Z_45C8AF51_29EC_46A5_AB7F_1F0634E55D82_.wvu.FilterData" localSheetId="2" hidden="1">NORTE!$A$8:$S$271</definedName>
    <definedName name="Z_45C8AF51_29EC_46A5_AB7F_1F0634E55D82_.wvu.FilterData" localSheetId="3" hidden="1">OCCIDENTE!$A$10:$W$532</definedName>
    <definedName name="Z_45C8AF51_29EC_46A5_AB7F_1F0634E55D82_.wvu.FilterData" localSheetId="8" hidden="1">ORIENTE!$A$11:$W$572</definedName>
    <definedName name="Z_45C8AF51_29EC_46A5_AB7F_1F0634E55D82_.wvu.FilterData" localSheetId="4" hidden="1">SUROESTE!$A$10:$IV$523</definedName>
    <definedName name="Z_45C8AF51_29EC_46A5_AB7F_1F0634E55D82_.wvu.FilterData" localSheetId="1" hidden="1">URABA!$A$10:$W$121</definedName>
    <definedName name="Z_45C8AF51_29EC_46A5_AB7F_1F0634E55D82_.wvu.FilterData" localSheetId="0" hidden="1">'VALLE DE ABURRA'!$A$10:$W$233</definedName>
    <definedName name="Z_45C8AF51_29EC_46A5_AB7F_1F0634E55D82_.wvu.PrintTitles" localSheetId="6" hidden="1">'MAGDALENA MEDIO'!$7:$7</definedName>
    <definedName name="Z_45C8AF51_29EC_46A5_AB7F_1F0634E55D82_.wvu.Rows" localSheetId="5" hidden="1">'BAJO CAUCA'!$722:$1048576,'BAJO CAUCA'!$649:$696,'BAJO CAUCA'!$700:$721</definedName>
    <definedName name="Z_45C8AF51_29EC_46A5_AB7F_1F0634E55D82_.wvu.Rows" localSheetId="7" hidden="1">NORDESTE!$342:$1048576,NORDESTE!$327:$341</definedName>
    <definedName name="Z_45C8AF51_29EC_46A5_AB7F_1F0634E55D82_.wvu.Rows" localSheetId="2" hidden="1">NORTE!$741:$1048576,NORTE!$334:$488</definedName>
    <definedName name="Z_45C8AF51_29EC_46A5_AB7F_1F0634E55D82_.wvu.Rows" localSheetId="3" hidden="1">OCCIDENTE!$760:$1048576</definedName>
    <definedName name="Z_45C8AF51_29EC_46A5_AB7F_1F0634E55D82_.wvu.Rows" localSheetId="8" hidden="1">ORIENTE!$724:$1048576</definedName>
    <definedName name="Z_45C8AF51_29EC_46A5_AB7F_1F0634E55D82_.wvu.Rows" localSheetId="4" hidden="1">SUROESTE!$766:$1048576,SUROESTE!$607:$607,SUROESTE!$758:$759,SUROESTE!$761:$765</definedName>
    <definedName name="Z_45C8AF51_29EC_46A5_AB7F_1F0634E55D82_.wvu.Rows" localSheetId="1" hidden="1">URABA!$489:$1048576,URABA!$277:$432,URABA!$482:$487</definedName>
    <definedName name="Z_517032D9_A4B9_4DF6_AF6F_013B4C18FEE6_.wvu.FilterData" localSheetId="0" hidden="1">'VALLE DE ABURRA'!$A$10:$W$247</definedName>
    <definedName name="Z_64E98953_D9FC_418E_8635_8B1C17E32257_.wvu.FilterData" localSheetId="4" hidden="1">SUROESTE!$A$11:$W$114</definedName>
    <definedName name="Z_75DD7674_E7DE_4BB1_A36D_76AA33452CB3_.wvu.Cols" localSheetId="5" hidden="1">'BAJO CAUCA'!$T:$XFD</definedName>
    <definedName name="Z_75DD7674_E7DE_4BB1_A36D_76AA33452CB3_.wvu.Cols" localSheetId="7" hidden="1">NORDESTE!$T:$XFD</definedName>
    <definedName name="Z_75DD7674_E7DE_4BB1_A36D_76AA33452CB3_.wvu.Cols" localSheetId="2" hidden="1">NORTE!$T:$XFD</definedName>
    <definedName name="Z_75DD7674_E7DE_4BB1_A36D_76AA33452CB3_.wvu.Cols" localSheetId="3" hidden="1">OCCIDENTE!$T:$XFD</definedName>
    <definedName name="Z_75DD7674_E7DE_4BB1_A36D_76AA33452CB3_.wvu.Cols" localSheetId="8" hidden="1">ORIENTE!$T:$XFD</definedName>
    <definedName name="Z_75DD7674_E7DE_4BB1_A36D_76AA33452CB3_.wvu.Cols" localSheetId="4" hidden="1">SUROESTE!$T:$XFD</definedName>
    <definedName name="Z_75DD7674_E7DE_4BB1_A36D_76AA33452CB3_.wvu.Cols" localSheetId="1" hidden="1">URABA!$T:$XFD</definedName>
    <definedName name="Z_75DD7674_E7DE_4BB1_A36D_76AA33452CB3_.wvu.Cols" localSheetId="0" hidden="1">'VALLE DE ABURRA'!$T:$XFD</definedName>
    <definedName name="Z_75DD7674_E7DE_4BB1_A36D_76AA33452CB3_.wvu.FilterData" localSheetId="5" hidden="1">'BAJO CAUCA'!$A$10:$W$72</definedName>
    <definedName name="Z_75DD7674_E7DE_4BB1_A36D_76AA33452CB3_.wvu.FilterData" localSheetId="6" hidden="1">'MAGDALENA MEDIO'!$A$10:$BR$82</definedName>
    <definedName name="Z_75DD7674_E7DE_4BB1_A36D_76AA33452CB3_.wvu.FilterData" localSheetId="7" hidden="1">NORDESTE!$A$11:$W$124</definedName>
    <definedName name="Z_75DD7674_E7DE_4BB1_A36D_76AA33452CB3_.wvu.FilterData" localSheetId="2" hidden="1">NORTE!$A$10:$W$271</definedName>
    <definedName name="Z_75DD7674_E7DE_4BB1_A36D_76AA33452CB3_.wvu.FilterData" localSheetId="3" hidden="1">OCCIDENTE!$A$10:$W$532</definedName>
    <definedName name="Z_75DD7674_E7DE_4BB1_A36D_76AA33452CB3_.wvu.FilterData" localSheetId="8" hidden="1">ORIENTE!$A$11:$W$572</definedName>
    <definedName name="Z_75DD7674_E7DE_4BB1_A36D_76AA33452CB3_.wvu.FilterData" localSheetId="4" hidden="1">SUROESTE!$A$10:$IV$523</definedName>
    <definedName name="Z_75DD7674_E7DE_4BB1_A36D_76AA33452CB3_.wvu.FilterData" localSheetId="1" hidden="1">URABA!$A$10:$W$121</definedName>
    <definedName name="Z_75DD7674_E7DE_4BB1_A36D_76AA33452CB3_.wvu.FilterData" localSheetId="0" hidden="1">'VALLE DE ABURRA'!$A$10:$W$233</definedName>
    <definedName name="Z_75DD7674_E7DE_4BB1_A36D_76AA33452CB3_.wvu.PrintTitles" localSheetId="6" hidden="1">'MAGDALENA MEDIO'!$7:$7</definedName>
    <definedName name="Z_75DD7674_E7DE_4BB1_A36D_76AA33452CB3_.wvu.Rows" localSheetId="5" hidden="1">'BAJO CAUCA'!$722:$1048576,'BAJO CAUCA'!$697:$699</definedName>
    <definedName name="Z_75DD7674_E7DE_4BB1_A36D_76AA33452CB3_.wvu.Rows" localSheetId="7" hidden="1">NORDESTE!$342:$1048576,NORDESTE!$327:$341</definedName>
    <definedName name="Z_75DD7674_E7DE_4BB1_A36D_76AA33452CB3_.wvu.Rows" localSheetId="2" hidden="1">NORTE!$741:$1048576,NORTE!$334:$488,NORTE!$594:$740</definedName>
    <definedName name="Z_75DD7674_E7DE_4BB1_A36D_76AA33452CB3_.wvu.Rows" localSheetId="3" hidden="1">OCCIDENTE!$760:$1048576</definedName>
    <definedName name="Z_75DD7674_E7DE_4BB1_A36D_76AA33452CB3_.wvu.Rows" localSheetId="8" hidden="1">ORIENTE!$724:$1048576</definedName>
    <definedName name="Z_75DD7674_E7DE_4BB1_A36D_76AA33452CB3_.wvu.Rows" localSheetId="4" hidden="1">SUROESTE!$766:$1048576,SUROESTE!$607:$607,SUROESTE!$758:$765</definedName>
    <definedName name="Z_75DD7674_E7DE_4BB1_A36D_76AA33452CB3_.wvu.Rows" localSheetId="1" hidden="1">URABA!$489:$1048576,URABA!$277:$432,URABA!$482:$488</definedName>
    <definedName name="Z_A1AE07FC_EB65_433F_821D_BE06E92AB2D3_.wvu.FilterData" localSheetId="4" hidden="1">SUROESTE!$A$11:$W$114</definedName>
    <definedName name="Z_AEDE1BDB_8710_4CDA_8488_31F49D423ACE_.wvu.Cols" localSheetId="5" hidden="1">'BAJO CAUCA'!$T:$XFD</definedName>
    <definedName name="Z_AEDE1BDB_8710_4CDA_8488_31F49D423ACE_.wvu.Cols" localSheetId="7" hidden="1">NORDESTE!$T:$XFD</definedName>
    <definedName name="Z_AEDE1BDB_8710_4CDA_8488_31F49D423ACE_.wvu.Cols" localSheetId="2" hidden="1">NORTE!$T:$XFD</definedName>
    <definedName name="Z_AEDE1BDB_8710_4CDA_8488_31F49D423ACE_.wvu.Cols" localSheetId="4" hidden="1">SUROESTE!$T:$XFD</definedName>
    <definedName name="Z_AEDE1BDB_8710_4CDA_8488_31F49D423ACE_.wvu.Cols" localSheetId="1" hidden="1">URABA!$T:$XFD</definedName>
    <definedName name="Z_AEDE1BDB_8710_4CDA_8488_31F49D423ACE_.wvu.FilterData" localSheetId="5" hidden="1">'BAJO CAUCA'!$A$10:$W$25</definedName>
    <definedName name="Z_AEDE1BDB_8710_4CDA_8488_31F49D423ACE_.wvu.FilterData" localSheetId="6" hidden="1">'MAGDALENA MEDIO'!$A$8:$W$13</definedName>
    <definedName name="Z_AEDE1BDB_8710_4CDA_8488_31F49D423ACE_.wvu.FilterData" localSheetId="8" hidden="1">ORIENTE!$A$11:$W$572</definedName>
    <definedName name="Z_AEDE1BDB_8710_4CDA_8488_31F49D423ACE_.wvu.FilterData" localSheetId="4" hidden="1">SUROESTE!$A$11:$W$114</definedName>
    <definedName name="Z_AEDE1BDB_8710_4CDA_8488_31F49D423ACE_.wvu.FilterData" localSheetId="1" hidden="1">URABA!$A$10:$W$121</definedName>
    <definedName name="Z_AEDE1BDB_8710_4CDA_8488_31F49D423ACE_.wvu.FilterData" localSheetId="0" hidden="1">'VALLE DE ABURRA'!$A$10:$W$247</definedName>
    <definedName name="Z_AEDE1BDB_8710_4CDA_8488_31F49D423ACE_.wvu.PrintTitles" localSheetId="6" hidden="1">'MAGDALENA MEDIO'!$7:$7</definedName>
    <definedName name="Z_AEDE1BDB_8710_4CDA_8488_31F49D423ACE_.wvu.Rows" localSheetId="5" hidden="1">'BAJO CAUCA'!$649:$1048576</definedName>
    <definedName name="Z_AEDE1BDB_8710_4CDA_8488_31F49D423ACE_.wvu.Rows" localSheetId="7" hidden="1">NORDESTE!$327:$1048576</definedName>
    <definedName name="Z_AEDE1BDB_8710_4CDA_8488_31F49D423ACE_.wvu.Rows" localSheetId="2" hidden="1">NORTE!$594:$1048576,NORTE!$334:$488</definedName>
    <definedName name="Z_AEDE1BDB_8710_4CDA_8488_31F49D423ACE_.wvu.Rows" localSheetId="3" hidden="1">OCCIDENTE!$760:$1048576</definedName>
    <definedName name="Z_AEDE1BDB_8710_4CDA_8488_31F49D423ACE_.wvu.Rows" localSheetId="8" hidden="1">ORIENTE!$724:$1048576</definedName>
    <definedName name="Z_AEDE1BDB_8710_4CDA_8488_31F49D423ACE_.wvu.Rows" localSheetId="4" hidden="1">SUROESTE!$760:$1048576,SUROESTE!$607:$607,SUROESTE!$758:$759</definedName>
    <definedName name="Z_AEDE1BDB_8710_4CDA_8488_31F49D423ACE_.wvu.Rows" localSheetId="1" hidden="1">URABA!$488:$1048576,URABA!$277:$432,URABA!$482:$487</definedName>
    <definedName name="Z_BEFDC7EA_264B_417F_8BFF_45DAD338E7E1_.wvu.FilterData" localSheetId="4" hidden="1">SUROESTE!$A$11:$W$114</definedName>
    <definedName name="Z_C57B382E_2C58_4CC4_82F5_E09F3EEAA329_.wvu.FilterData" localSheetId="8" hidden="1">ORIENTE!$A$11:$W$572</definedName>
    <definedName name="Z_C57B382E_2C58_4CC4_82F5_E09F3EEAA329_.wvu.FilterData" localSheetId="4" hidden="1">SUROESTE!$A$11:$W$114</definedName>
    <definedName name="Z_F5D399BA_45A7_4E12_9AE4_6C6852B41446_.wvu.FilterData" localSheetId="2" hidden="1">NORTE!$A$10:$W$271</definedName>
    <definedName name="Z_FCC3B493_4306_43B2_9C73_76324485DD47_.wvu.Cols" localSheetId="5" hidden="1">'BAJO CAUCA'!$T:$XFD</definedName>
    <definedName name="Z_FCC3B493_4306_43B2_9C73_76324485DD47_.wvu.Cols" localSheetId="7" hidden="1">NORDESTE!$T:$XFD</definedName>
    <definedName name="Z_FCC3B493_4306_43B2_9C73_76324485DD47_.wvu.Cols" localSheetId="2" hidden="1">NORTE!$T:$XFD</definedName>
    <definedName name="Z_FCC3B493_4306_43B2_9C73_76324485DD47_.wvu.Cols" localSheetId="3" hidden="1">OCCIDENTE!$T:$XFD</definedName>
    <definedName name="Z_FCC3B493_4306_43B2_9C73_76324485DD47_.wvu.Cols" localSheetId="8" hidden="1">ORIENTE!$T:$XFD</definedName>
    <definedName name="Z_FCC3B493_4306_43B2_9C73_76324485DD47_.wvu.Cols" localSheetId="4" hidden="1">SUROESTE!$T:$XFD</definedName>
    <definedName name="Z_FCC3B493_4306_43B2_9C73_76324485DD47_.wvu.Cols" localSheetId="1" hidden="1">URABA!$T:$XFD</definedName>
    <definedName name="Z_FCC3B493_4306_43B2_9C73_76324485DD47_.wvu.Cols" localSheetId="0" hidden="1">'VALLE DE ABURRA'!$T:$XFD</definedName>
    <definedName name="Z_FCC3B493_4306_43B2_9C73_76324485DD47_.wvu.FilterData" localSheetId="5" hidden="1">'BAJO CAUCA'!$10:$72</definedName>
    <definedName name="Z_FCC3B493_4306_43B2_9C73_76324485DD47_.wvu.FilterData" localSheetId="6" hidden="1">'MAGDALENA MEDIO'!$A$10:$BR$82</definedName>
    <definedName name="Z_FCC3B493_4306_43B2_9C73_76324485DD47_.wvu.FilterData" localSheetId="7" hidden="1">NORDESTE!$A$11:$W$124</definedName>
    <definedName name="Z_FCC3B493_4306_43B2_9C73_76324485DD47_.wvu.FilterData" localSheetId="2" hidden="1">NORTE!$A$8:$S$271</definedName>
    <definedName name="Z_FCC3B493_4306_43B2_9C73_76324485DD47_.wvu.FilterData" localSheetId="3" hidden="1">OCCIDENTE!$A$10:$W$532</definedName>
    <definedName name="Z_FCC3B493_4306_43B2_9C73_76324485DD47_.wvu.FilterData" localSheetId="8" hidden="1">ORIENTE!$A$11:$W$572</definedName>
    <definedName name="Z_FCC3B493_4306_43B2_9C73_76324485DD47_.wvu.FilterData" localSheetId="4" hidden="1">SUROESTE!$A$10:$IV$523</definedName>
    <definedName name="Z_FCC3B493_4306_43B2_9C73_76324485DD47_.wvu.FilterData" localSheetId="1" hidden="1">URABA!$A$10:$W$121</definedName>
    <definedName name="Z_FCC3B493_4306_43B2_9C73_76324485DD47_.wvu.FilterData" localSheetId="0" hidden="1">'VALLE DE ABURRA'!$A$10:$W$233</definedName>
    <definedName name="Z_FCC3B493_4306_43B2_9C73_76324485DD47_.wvu.PrintTitles" localSheetId="6" hidden="1">'MAGDALENA MEDIO'!$7:$7</definedName>
    <definedName name="Z_FCC3B493_4306_43B2_9C73_76324485DD47_.wvu.Rows" localSheetId="5" hidden="1">'BAJO CAUCA'!$722:$1048576,'BAJO CAUCA'!$649:$721</definedName>
    <definedName name="Z_FCC3B493_4306_43B2_9C73_76324485DD47_.wvu.Rows" localSheetId="7" hidden="1">NORDESTE!$342:$1048576</definedName>
    <definedName name="Z_FCC3B493_4306_43B2_9C73_76324485DD47_.wvu.Rows" localSheetId="2" hidden="1">NORTE!$741:$1048576,NORTE!$334:$488,NORTE!$594:$740</definedName>
    <definedName name="Z_FCC3B493_4306_43B2_9C73_76324485DD47_.wvu.Rows" localSheetId="3" hidden="1">OCCIDENTE!$760:$1048576</definedName>
    <definedName name="Z_FCC3B493_4306_43B2_9C73_76324485DD47_.wvu.Rows" localSheetId="8" hidden="1">ORIENTE!$724:$1048576</definedName>
    <definedName name="Z_FCC3B493_4306_43B2_9C73_76324485DD47_.wvu.Rows" localSheetId="4" hidden="1">SUROESTE!$766:$1048576,SUROESTE!$607:$607,SUROESTE!$758:$760</definedName>
    <definedName name="Z_FCC3B493_4306_43B2_9C73_76324485DD47_.wvu.Rows" localSheetId="1" hidden="1">URABA!$489:$1048576,URABA!$277:$432,URABA!$482:$488</definedName>
  </definedNames>
  <calcPr calcId="162913"/>
  <customWorkbookViews>
    <customWorkbookView name="ROGELIO DE JESUS LOPEZ - Vista personalizada" guid="{45C8AF51-29EC-46A5-AB7F-1F0634E55D82}" mergeInterval="0" personalView="1" maximized="1" xWindow="-8" yWindow="-8" windowWidth="1616" windowHeight="876" tabRatio="690" activeSheetId="4"/>
    <customWorkbookView name="JOHN FERNANDO DIAZ HURTADO - Vista personalizada" guid="{FCC3B493-4306-43B2-9C73-76324485DD47}" mergeInterval="0" personalView="1" maximized="1" windowWidth="1436" windowHeight="675" tabRatio="690" activeSheetId="2"/>
    <customWorkbookView name="ERIKA MAYA CORTES - Vista personalizada" guid="{AEDE1BDB-8710-4CDA-8488-31F49D423ACE}" mergeInterval="0" personalView="1" maximized="1" windowWidth="1596" windowHeight="675" tabRatio="690" activeSheetId="11"/>
    <customWorkbookView name="JHON WILLIAM TABARES MORALES - Vista personalizada" guid="{75DD7674-E7DE-4BB1-A36D-76AA33452CB3}" mergeInterval="0" personalView="1" maximized="1" windowWidth="1596" windowHeight="609" tabRatio="686" activeSheetId="9"/>
  </customWorkbookViews>
</workbook>
</file>

<file path=xl/calcChain.xml><?xml version="1.0" encoding="utf-8"?>
<calcChain xmlns="http://schemas.openxmlformats.org/spreadsheetml/2006/main">
  <c r="B79" i="6" l="1"/>
  <c r="B78" i="6"/>
  <c r="B77" i="6"/>
  <c r="B76" i="6"/>
  <c r="B75" i="6"/>
  <c r="Q13" i="1" l="1"/>
  <c r="R13" i="1" s="1"/>
  <c r="S13" i="1" l="1"/>
  <c r="Q42" i="6" l="1"/>
  <c r="S42" i="6" s="1"/>
  <c r="R42" i="6" l="1"/>
  <c r="Q75" i="8" l="1"/>
  <c r="Q76" i="8"/>
  <c r="Q77" i="8"/>
  <c r="Q510" i="9" l="1"/>
  <c r="R510" i="9" s="1"/>
  <c r="S510" i="9" l="1"/>
  <c r="Q462" i="9"/>
  <c r="R462" i="9" s="1"/>
  <c r="Q463" i="9"/>
  <c r="R463" i="9" s="1"/>
  <c r="Q464" i="9"/>
  <c r="S464" i="9" s="1"/>
  <c r="R464" i="9" l="1"/>
  <c r="S462" i="9"/>
  <c r="S463" i="9"/>
  <c r="Q387" i="9" l="1"/>
  <c r="Q279" i="9" l="1"/>
  <c r="R279" i="9" s="1"/>
  <c r="Q288" i="9"/>
  <c r="R288" i="9" s="1"/>
  <c r="S279" i="9" l="1"/>
  <c r="S288" i="9"/>
  <c r="Q244" i="9" l="1"/>
  <c r="R244" i="9" s="1"/>
  <c r="Q265" i="9"/>
  <c r="S265" i="9" s="1"/>
  <c r="R265" i="9" l="1"/>
  <c r="S244" i="9"/>
  <c r="Q150" i="9" l="1"/>
  <c r="Q67" i="9" l="1"/>
  <c r="Q355" i="5" l="1"/>
  <c r="R355" i="5" s="1"/>
  <c r="S355" i="5" l="1"/>
  <c r="Q103" i="5" l="1"/>
  <c r="R103" i="5" s="1"/>
  <c r="S103" i="5" l="1"/>
  <c r="Q397" i="4"/>
  <c r="R397" i="4" s="1"/>
  <c r="Q396" i="4"/>
  <c r="R396" i="4" s="1"/>
  <c r="Q395" i="4"/>
  <c r="R395" i="4" s="1"/>
  <c r="S397" i="4" l="1"/>
  <c r="S396" i="4"/>
  <c r="S395" i="4"/>
  <c r="Q354" i="4" l="1"/>
  <c r="R354" i="4" s="1"/>
  <c r="S354" i="4" l="1"/>
  <c r="Q188" i="3" l="1"/>
  <c r="R188" i="3" s="1"/>
  <c r="S188" i="3" l="1"/>
  <c r="Q159" i="3" l="1"/>
  <c r="Q158" i="3"/>
  <c r="Q20" i="2" l="1"/>
  <c r="R20" i="2" s="1"/>
  <c r="S20" i="2" l="1"/>
  <c r="Q76" i="1"/>
  <c r="S76" i="1" s="1"/>
  <c r="Q75" i="1"/>
  <c r="R75" i="1" s="1"/>
  <c r="Q74" i="1"/>
  <c r="S74" i="1" s="1"/>
  <c r="Q73" i="1"/>
  <c r="R73" i="1" s="1"/>
  <c r="Q72" i="1"/>
  <c r="R72" i="1" s="1"/>
  <c r="Q71" i="1"/>
  <c r="S71" i="1" s="1"/>
  <c r="Q70" i="1"/>
  <c r="S70" i="1" s="1"/>
  <c r="S72" i="1" l="1"/>
  <c r="S73" i="1"/>
  <c r="R76" i="1"/>
  <c r="S75" i="1"/>
  <c r="R71" i="1"/>
  <c r="R70" i="1"/>
  <c r="R74" i="1"/>
  <c r="Q206" i="1" l="1"/>
  <c r="R206" i="1" s="1"/>
  <c r="D205" i="1"/>
  <c r="S206" i="1" l="1"/>
  <c r="P111" i="1" l="1"/>
  <c r="O111" i="1"/>
  <c r="N111" i="1"/>
  <c r="M111" i="1"/>
  <c r="L111" i="1"/>
  <c r="K111" i="1"/>
  <c r="J111" i="1"/>
  <c r="I111" i="1"/>
  <c r="P108" i="1"/>
  <c r="O108" i="1"/>
  <c r="N108" i="1"/>
  <c r="M108" i="1"/>
  <c r="L108" i="1"/>
  <c r="K108" i="1"/>
  <c r="J108" i="1"/>
  <c r="I108" i="1"/>
  <c r="P107" i="1"/>
  <c r="O107" i="1"/>
  <c r="N107" i="1"/>
  <c r="M107" i="1"/>
  <c r="L107" i="1"/>
  <c r="K107" i="1"/>
  <c r="J107" i="1"/>
  <c r="P97" i="1"/>
  <c r="O97" i="1"/>
  <c r="N97" i="1"/>
  <c r="M97" i="1"/>
  <c r="L97" i="1"/>
  <c r="K97" i="1"/>
  <c r="J97" i="1"/>
  <c r="I97" i="1"/>
  <c r="P94" i="1"/>
  <c r="O94" i="1"/>
  <c r="N94" i="1"/>
  <c r="M94" i="1"/>
  <c r="L94" i="1"/>
  <c r="K94" i="1"/>
  <c r="J94" i="1"/>
  <c r="I94" i="1"/>
  <c r="Q48" i="1" l="1"/>
  <c r="S48" i="1" s="1"/>
  <c r="Q47" i="1"/>
  <c r="S47" i="1" s="1"/>
  <c r="Q46" i="1"/>
  <c r="S46" i="1" s="1"/>
  <c r="Q69" i="1"/>
  <c r="R46" i="1" l="1"/>
  <c r="R47" i="1"/>
  <c r="R48" i="1"/>
  <c r="Q44" i="1"/>
  <c r="XFB41" i="1"/>
  <c r="XFD41" i="1" s="1"/>
  <c r="XEM41" i="1"/>
  <c r="XEN41" i="1" s="1"/>
  <c r="XDX41" i="1"/>
  <c r="XDI41" i="1"/>
  <c r="XCT41" i="1"/>
  <c r="XCV41" i="1" s="1"/>
  <c r="XCE41" i="1"/>
  <c r="XBP41" i="1"/>
  <c r="XBA41" i="1"/>
  <c r="XAL41" i="1"/>
  <c r="XAN41" i="1" s="1"/>
  <c r="WZW41" i="1"/>
  <c r="WZH41" i="1"/>
  <c r="WZI41" i="1" s="1"/>
  <c r="WYS41" i="1"/>
  <c r="WYD41" i="1"/>
  <c r="WYF41" i="1" s="1"/>
  <c r="WXO41" i="1"/>
  <c r="WXP41" i="1" s="1"/>
  <c r="WWZ41" i="1"/>
  <c r="WWK41" i="1"/>
  <c r="WVV41" i="1"/>
  <c r="WVX41" i="1" s="1"/>
  <c r="WVG41" i="1"/>
  <c r="WUR41" i="1"/>
  <c r="WUT41" i="1" s="1"/>
  <c r="WUC41" i="1"/>
  <c r="WTN41" i="1"/>
  <c r="WTP41" i="1" s="1"/>
  <c r="WSY41" i="1"/>
  <c r="WSZ41" i="1" s="1"/>
  <c r="WSJ41" i="1"/>
  <c r="WRU41" i="1"/>
  <c r="WRF41" i="1"/>
  <c r="WRH41" i="1" s="1"/>
  <c r="WQQ41" i="1"/>
  <c r="WQB41" i="1"/>
  <c r="WQC41" i="1" s="1"/>
  <c r="WPM41" i="1"/>
  <c r="WOX41" i="1"/>
  <c r="WOZ41" i="1" s="1"/>
  <c r="WOI41" i="1"/>
  <c r="WOJ41" i="1" s="1"/>
  <c r="WNT41" i="1"/>
  <c r="WNE41" i="1"/>
  <c r="WMP41" i="1"/>
  <c r="WMR41" i="1" s="1"/>
  <c r="WMA41" i="1"/>
  <c r="WLL41" i="1"/>
  <c r="WLN41" i="1" s="1"/>
  <c r="WKW41" i="1"/>
  <c r="WKH41" i="1"/>
  <c r="WKJ41" i="1" s="1"/>
  <c r="WJS41" i="1"/>
  <c r="WJT41" i="1" s="1"/>
  <c r="WJD41" i="1"/>
  <c r="WIO41" i="1"/>
  <c r="WHZ41" i="1"/>
  <c r="WIB41" i="1" s="1"/>
  <c r="WHK41" i="1"/>
  <c r="WGV41" i="1"/>
  <c r="WGG41" i="1"/>
  <c r="WFR41" i="1"/>
  <c r="WFT41" i="1" s="1"/>
  <c r="WFC41" i="1"/>
  <c r="WFD41" i="1" s="1"/>
  <c r="WEN41" i="1"/>
  <c r="WEO41" i="1" s="1"/>
  <c r="WDY41" i="1"/>
  <c r="WDJ41" i="1"/>
  <c r="WDL41" i="1" s="1"/>
  <c r="WCU41" i="1"/>
  <c r="WCV41" i="1" s="1"/>
  <c r="WCF41" i="1"/>
  <c r="WCH41" i="1" s="1"/>
  <c r="WBQ41" i="1"/>
  <c r="WBB41" i="1"/>
  <c r="WBD41" i="1" s="1"/>
  <c r="WAM41" i="1"/>
  <c r="WAN41" i="1" s="1"/>
  <c r="VZX41" i="1"/>
  <c r="VZI41" i="1"/>
  <c r="VYT41" i="1"/>
  <c r="VYV41" i="1" s="1"/>
  <c r="VYE41" i="1"/>
  <c r="VXP41" i="1"/>
  <c r="VXA41" i="1"/>
  <c r="VWL41" i="1"/>
  <c r="VWN41" i="1" s="1"/>
  <c r="VVW41" i="1"/>
  <c r="VVX41" i="1" s="1"/>
  <c r="VVH41" i="1"/>
  <c r="VVI41" i="1" s="1"/>
  <c r="VUS41" i="1"/>
  <c r="VUD41" i="1"/>
  <c r="VUF41" i="1" s="1"/>
  <c r="VTO41" i="1"/>
  <c r="VTP41" i="1" s="1"/>
  <c r="VSZ41" i="1"/>
  <c r="VSK41" i="1"/>
  <c r="VRV41" i="1"/>
  <c r="VRX41" i="1" s="1"/>
  <c r="VRG41" i="1"/>
  <c r="VQR41" i="1"/>
  <c r="VQC41" i="1"/>
  <c r="VPN41" i="1"/>
  <c r="VPP41" i="1" s="1"/>
  <c r="VOY41" i="1"/>
  <c r="VOJ41" i="1"/>
  <c r="VOK41" i="1" s="1"/>
  <c r="VNU41" i="1"/>
  <c r="VNF41" i="1"/>
  <c r="VNH41" i="1" s="1"/>
  <c r="VMQ41" i="1"/>
  <c r="VMR41" i="1" s="1"/>
  <c r="VMB41" i="1"/>
  <c r="VLM41" i="1"/>
  <c r="VKX41" i="1"/>
  <c r="VKZ41" i="1" s="1"/>
  <c r="VKI41" i="1"/>
  <c r="VJT41" i="1"/>
  <c r="VJV41" i="1" s="1"/>
  <c r="VJE41" i="1"/>
  <c r="VIP41" i="1"/>
  <c r="VIR41" i="1" s="1"/>
  <c r="VIA41" i="1"/>
  <c r="VIB41" i="1" s="1"/>
  <c r="VHL41" i="1"/>
  <c r="VGW41" i="1"/>
  <c r="VGH41" i="1"/>
  <c r="VGJ41" i="1" s="1"/>
  <c r="VFS41" i="1"/>
  <c r="VFD41" i="1"/>
  <c r="VFF41" i="1" s="1"/>
  <c r="VEO41" i="1"/>
  <c r="VDZ41" i="1"/>
  <c r="VEB41" i="1" s="1"/>
  <c r="VDK41" i="1"/>
  <c r="VDL41" i="1" s="1"/>
  <c r="VCV41" i="1"/>
  <c r="VCW41" i="1" s="1"/>
  <c r="VCG41" i="1"/>
  <c r="VBR41" i="1"/>
  <c r="VBT41" i="1" s="1"/>
  <c r="VBC41" i="1"/>
  <c r="VBD41" i="1" s="1"/>
  <c r="VAN41" i="1"/>
  <c r="VAP41" i="1" s="1"/>
  <c r="UZY41" i="1"/>
  <c r="UZJ41" i="1"/>
  <c r="UZL41" i="1" s="1"/>
  <c r="UYU41" i="1"/>
  <c r="UYF41" i="1"/>
  <c r="UXQ41" i="1"/>
  <c r="UXB41" i="1"/>
  <c r="UXD41" i="1" s="1"/>
  <c r="UWM41" i="1"/>
  <c r="UWN41" i="1" s="1"/>
  <c r="UVX41" i="1"/>
  <c r="UVY41" i="1" s="1"/>
  <c r="UVI41" i="1"/>
  <c r="UUT41" i="1"/>
  <c r="UUE41" i="1"/>
  <c r="UUF41" i="1" s="1"/>
  <c r="UTP41" i="1"/>
  <c r="UTA41" i="1"/>
  <c r="USL41" i="1"/>
  <c r="USN41" i="1" s="1"/>
  <c r="URW41" i="1"/>
  <c r="URX41" i="1" s="1"/>
  <c r="URH41" i="1"/>
  <c r="UQS41" i="1"/>
  <c r="UQT41" i="1" s="1"/>
  <c r="UQD41" i="1"/>
  <c r="UPO41" i="1"/>
  <c r="UPP41" i="1" s="1"/>
  <c r="UOZ41" i="1"/>
  <c r="UOK41" i="1"/>
  <c r="UNV41" i="1"/>
  <c r="UNX41" i="1" s="1"/>
  <c r="UNG41" i="1"/>
  <c r="UNH41" i="1" s="1"/>
  <c r="UMR41" i="1"/>
  <c r="UMC41" i="1"/>
  <c r="ULN41" i="1"/>
  <c r="ULP41" i="1" s="1"/>
  <c r="UKY41" i="1"/>
  <c r="UKZ41" i="1" s="1"/>
  <c r="UKJ41" i="1"/>
  <c r="UKK41" i="1" s="1"/>
  <c r="UJU41" i="1"/>
  <c r="UJF41" i="1"/>
  <c r="UJH41" i="1" s="1"/>
  <c r="UIQ41" i="1"/>
  <c r="UIR41" i="1" s="1"/>
  <c r="UIB41" i="1"/>
  <c r="UHM41" i="1"/>
  <c r="UGX41" i="1"/>
  <c r="UGI41" i="1"/>
  <c r="UGJ41" i="1" s="1"/>
  <c r="UFT41" i="1"/>
  <c r="UFE41" i="1"/>
  <c r="UEP41" i="1"/>
  <c r="UER41" i="1" s="1"/>
  <c r="UEA41" i="1"/>
  <c r="UEB41" i="1" s="1"/>
  <c r="UDL41" i="1"/>
  <c r="UDM41" i="1" s="1"/>
  <c r="UCW41" i="1"/>
  <c r="UCH41" i="1"/>
  <c r="UBS41" i="1"/>
  <c r="UBT41" i="1" s="1"/>
  <c r="UBD41" i="1"/>
  <c r="UAO41" i="1"/>
  <c r="TZZ41" i="1"/>
  <c r="UAB41" i="1" s="1"/>
  <c r="TZK41" i="1"/>
  <c r="TZL41" i="1" s="1"/>
  <c r="TYV41" i="1"/>
  <c r="TYG41" i="1"/>
  <c r="TYH41" i="1" s="1"/>
  <c r="TXR41" i="1"/>
  <c r="TXC41" i="1"/>
  <c r="TXD41" i="1" s="1"/>
  <c r="TWN41" i="1"/>
  <c r="TVY41" i="1"/>
  <c r="TVJ41" i="1"/>
  <c r="TVL41" i="1" s="1"/>
  <c r="TUU41" i="1"/>
  <c r="TUV41" i="1" s="1"/>
  <c r="TUF41" i="1"/>
  <c r="TTQ41" i="1"/>
  <c r="TTB41" i="1"/>
  <c r="TTD41" i="1" s="1"/>
  <c r="TSM41" i="1"/>
  <c r="TSN41" i="1" s="1"/>
  <c r="TRX41" i="1"/>
  <c r="TRY41" i="1" s="1"/>
  <c r="TRI41" i="1"/>
  <c r="TQT41" i="1"/>
  <c r="TQV41" i="1" s="1"/>
  <c r="TQE41" i="1"/>
  <c r="TQF41" i="1" s="1"/>
  <c r="TPP41" i="1"/>
  <c r="TPA41" i="1"/>
  <c r="TOL41" i="1"/>
  <c r="TNW41" i="1"/>
  <c r="TNX41" i="1" s="1"/>
  <c r="TNH41" i="1"/>
  <c r="TMS41" i="1"/>
  <c r="TMD41" i="1"/>
  <c r="TMF41" i="1" s="1"/>
  <c r="TLO41" i="1"/>
  <c r="TLQ41" i="1" s="1"/>
  <c r="TKZ41" i="1"/>
  <c r="TKK41" i="1"/>
  <c r="TJV41" i="1"/>
  <c r="TJG41" i="1"/>
  <c r="TIR41" i="1"/>
  <c r="TIT41" i="1" s="1"/>
  <c r="TIC41" i="1"/>
  <c r="THN41" i="1"/>
  <c r="THO41" i="1" s="1"/>
  <c r="TGY41" i="1"/>
  <c r="THA41" i="1" s="1"/>
  <c r="TGJ41" i="1"/>
  <c r="TGL41" i="1" s="1"/>
  <c r="TFU41" i="1"/>
  <c r="TFF41" i="1"/>
  <c r="TEQ41" i="1"/>
  <c r="TES41" i="1" s="1"/>
  <c r="TEB41" i="1"/>
  <c r="TDM41" i="1"/>
  <c r="TCX41" i="1"/>
  <c r="TCI41" i="1"/>
  <c r="TCK41" i="1" s="1"/>
  <c r="TBT41" i="1"/>
  <c r="TBV41" i="1" s="1"/>
  <c r="TBE41" i="1"/>
  <c r="TAP41" i="1"/>
  <c r="TAQ41" i="1" s="1"/>
  <c r="TAA41" i="1"/>
  <c r="SZL41" i="1"/>
  <c r="SYW41" i="1"/>
  <c r="SYH41" i="1"/>
  <c r="SYI41" i="1" s="1"/>
  <c r="SXS41" i="1"/>
  <c r="SXD41" i="1"/>
  <c r="SXF41" i="1" s="1"/>
  <c r="SWO41" i="1"/>
  <c r="SVZ41" i="1"/>
  <c r="SWA41" i="1" s="1"/>
  <c r="SVK41" i="1"/>
  <c r="SUV41" i="1"/>
  <c r="SUX41" i="1" s="1"/>
  <c r="SUG41" i="1"/>
  <c r="STR41" i="1"/>
  <c r="STS41" i="1" s="1"/>
  <c r="STC41" i="1"/>
  <c r="STE41" i="1" s="1"/>
  <c r="SSN41" i="1"/>
  <c r="SRY41" i="1"/>
  <c r="SRJ41" i="1"/>
  <c r="SRK41" i="1" s="1"/>
  <c r="SQU41" i="1"/>
  <c r="SQF41" i="1"/>
  <c r="SQH41" i="1" s="1"/>
  <c r="SPQ41" i="1"/>
  <c r="SPB41" i="1"/>
  <c r="SPC41" i="1" s="1"/>
  <c r="SOM41" i="1"/>
  <c r="SOO41" i="1" s="1"/>
  <c r="SNX41" i="1"/>
  <c r="SNZ41" i="1" s="1"/>
  <c r="SNI41" i="1"/>
  <c r="SMT41" i="1"/>
  <c r="SME41" i="1"/>
  <c r="SMG41" i="1" s="1"/>
  <c r="SLP41" i="1"/>
  <c r="SLA41" i="1"/>
  <c r="SKL41" i="1"/>
  <c r="SKM41" i="1" s="1"/>
  <c r="SJW41" i="1"/>
  <c r="SJH41" i="1"/>
  <c r="SJJ41" i="1" s="1"/>
  <c r="SIS41" i="1"/>
  <c r="SID41" i="1"/>
  <c r="SIE41" i="1" s="1"/>
  <c r="SHO41" i="1"/>
  <c r="SGZ41" i="1"/>
  <c r="SHB41" i="1" s="1"/>
  <c r="SGK41" i="1"/>
  <c r="SFV41" i="1"/>
  <c r="SFG41" i="1"/>
  <c r="SFI41" i="1" s="1"/>
  <c r="SER41" i="1"/>
  <c r="SEC41" i="1"/>
  <c r="SDN41" i="1"/>
  <c r="SDO41" i="1" s="1"/>
  <c r="SCY41" i="1"/>
  <c r="SCJ41" i="1"/>
  <c r="SCL41" i="1" s="1"/>
  <c r="SBU41" i="1"/>
  <c r="SBF41" i="1"/>
  <c r="SBG41" i="1" s="1"/>
  <c r="SAQ41" i="1"/>
  <c r="SAS41" i="1" s="1"/>
  <c r="SAB41" i="1"/>
  <c r="SAD41" i="1" s="1"/>
  <c r="RZM41" i="1"/>
  <c r="RYX41" i="1"/>
  <c r="RYI41" i="1"/>
  <c r="RXT41" i="1"/>
  <c r="RXE41" i="1"/>
  <c r="RWP41" i="1"/>
  <c r="RWQ41" i="1" s="1"/>
  <c r="RWA41" i="1"/>
  <c r="RVL41" i="1"/>
  <c r="RVN41" i="1" s="1"/>
  <c r="RUW41" i="1"/>
  <c r="RUH41" i="1"/>
  <c r="RUI41" i="1" s="1"/>
  <c r="RTS41" i="1"/>
  <c r="RTU41" i="1" s="1"/>
  <c r="RTD41" i="1"/>
  <c r="RTF41" i="1" s="1"/>
  <c r="RSO41" i="1"/>
  <c r="RRZ41" i="1"/>
  <c r="RRK41" i="1"/>
  <c r="RRM41" i="1" s="1"/>
  <c r="RQV41" i="1"/>
  <c r="RQG41" i="1"/>
  <c r="RPR41" i="1"/>
  <c r="RPS41" i="1" s="1"/>
  <c r="RPC41" i="1"/>
  <c r="RON41" i="1"/>
  <c r="ROP41" i="1" s="1"/>
  <c r="RNY41" i="1"/>
  <c r="RNJ41" i="1"/>
  <c r="RMU41" i="1"/>
  <c r="RMW41" i="1" s="1"/>
  <c r="RMF41" i="1"/>
  <c r="RLQ41" i="1"/>
  <c r="RLB41" i="1"/>
  <c r="RKM41" i="1"/>
  <c r="RKO41" i="1" s="1"/>
  <c r="RJX41" i="1"/>
  <c r="RJI41" i="1"/>
  <c r="RIT41" i="1"/>
  <c r="RIU41" i="1" s="1"/>
  <c r="RIE41" i="1"/>
  <c r="RIG41" i="1" s="1"/>
  <c r="RHP41" i="1"/>
  <c r="RHR41" i="1" s="1"/>
  <c r="RHA41" i="1"/>
  <c r="RGL41" i="1"/>
  <c r="RGM41" i="1" s="1"/>
  <c r="RFW41" i="1"/>
  <c r="RFY41" i="1" s="1"/>
  <c r="RFH41" i="1"/>
  <c r="RFJ41" i="1" s="1"/>
  <c r="RES41" i="1"/>
  <c r="RED41" i="1"/>
  <c r="REE41" i="1" s="1"/>
  <c r="RDO41" i="1"/>
  <c r="RDQ41" i="1" s="1"/>
  <c r="RCZ41" i="1"/>
  <c r="RDB41" i="1" s="1"/>
  <c r="RCK41" i="1"/>
  <c r="RBV41" i="1"/>
  <c r="RBW41" i="1" s="1"/>
  <c r="RBG41" i="1"/>
  <c r="RAR41" i="1"/>
  <c r="RAT41" i="1" s="1"/>
  <c r="RAC41" i="1"/>
  <c r="QZN41" i="1"/>
  <c r="QYY41" i="1"/>
  <c r="QZA41" i="1" s="1"/>
  <c r="QYJ41" i="1"/>
  <c r="QYL41" i="1" s="1"/>
  <c r="QXU41" i="1"/>
  <c r="QXF41" i="1"/>
  <c r="QXG41" i="1" s="1"/>
  <c r="QWQ41" i="1"/>
  <c r="QWB41" i="1"/>
  <c r="QWD41" i="1" s="1"/>
  <c r="QVM41" i="1"/>
  <c r="QUX41" i="1"/>
  <c r="QUI41" i="1"/>
  <c r="QUK41" i="1" s="1"/>
  <c r="QTT41" i="1"/>
  <c r="QTV41" i="1" s="1"/>
  <c r="QTE41" i="1"/>
  <c r="QSP41" i="1"/>
  <c r="QSA41" i="1"/>
  <c r="QSC41" i="1" s="1"/>
  <c r="QRL41" i="1"/>
  <c r="QRN41" i="1" s="1"/>
  <c r="QQW41" i="1"/>
  <c r="QQH41" i="1"/>
  <c r="QQI41" i="1" s="1"/>
  <c r="QPS41" i="1"/>
  <c r="QPU41" i="1" s="1"/>
  <c r="QPD41" i="1"/>
  <c r="QPF41" i="1" s="1"/>
  <c r="QOO41" i="1"/>
  <c r="QNZ41" i="1"/>
  <c r="QOA41" i="1" s="1"/>
  <c r="QNK41" i="1"/>
  <c r="QNM41" i="1" s="1"/>
  <c r="QMV41" i="1"/>
  <c r="QMX41" i="1" s="1"/>
  <c r="QMG41" i="1"/>
  <c r="QLR41" i="1"/>
  <c r="QLS41" i="1" s="1"/>
  <c r="QLC41" i="1"/>
  <c r="QLE41" i="1" s="1"/>
  <c r="QKN41" i="1"/>
  <c r="QKP41" i="1" s="1"/>
  <c r="QJY41" i="1"/>
  <c r="QJJ41" i="1"/>
  <c r="QJK41" i="1" s="1"/>
  <c r="QIU41" i="1"/>
  <c r="QIF41" i="1"/>
  <c r="QIH41" i="1" s="1"/>
  <c r="QHQ41" i="1"/>
  <c r="QHB41" i="1"/>
  <c r="QGM41" i="1"/>
  <c r="QGO41" i="1" s="1"/>
  <c r="QFX41" i="1"/>
  <c r="QFZ41" i="1" s="1"/>
  <c r="QFI41" i="1"/>
  <c r="QET41" i="1"/>
  <c r="QEE41" i="1"/>
  <c r="QDP41" i="1"/>
  <c r="QDQ41" i="1" s="1"/>
  <c r="QDA41" i="1"/>
  <c r="QCL41" i="1"/>
  <c r="QCM41" i="1" s="1"/>
  <c r="QBW41" i="1"/>
  <c r="QBH41" i="1"/>
  <c r="QBJ41" i="1" s="1"/>
  <c r="QAS41" i="1"/>
  <c r="QAD41" i="1"/>
  <c r="QAE41" i="1" s="1"/>
  <c r="PZO41" i="1"/>
  <c r="PYZ41" i="1"/>
  <c r="PZA41" i="1" s="1"/>
  <c r="PYK41" i="1"/>
  <c r="PYM41" i="1" s="1"/>
  <c r="PXV41" i="1"/>
  <c r="PXG41" i="1"/>
  <c r="PXI41" i="1" s="1"/>
  <c r="PWR41" i="1"/>
  <c r="PWT41" i="1" s="1"/>
  <c r="PWC41" i="1"/>
  <c r="PWE41" i="1" s="1"/>
  <c r="PVN41" i="1"/>
  <c r="PVO41" i="1" s="1"/>
  <c r="PUY41" i="1"/>
  <c r="PVA41" i="1" s="1"/>
  <c r="PUJ41" i="1"/>
  <c r="PTU41" i="1"/>
  <c r="PTW41" i="1" s="1"/>
  <c r="PTF41" i="1"/>
  <c r="PTG41" i="1" s="1"/>
  <c r="PSQ41" i="1"/>
  <c r="PSB41" i="1"/>
  <c r="PSD41" i="1" s="1"/>
  <c r="PRM41" i="1"/>
  <c r="PRO41" i="1" s="1"/>
  <c r="PQX41" i="1"/>
  <c r="PQY41" i="1" s="1"/>
  <c r="PQI41" i="1"/>
  <c r="PQJ41" i="1" s="1"/>
  <c r="PPT41" i="1"/>
  <c r="PPU41" i="1" s="1"/>
  <c r="PPE41" i="1"/>
  <c r="PPG41" i="1" s="1"/>
  <c r="POP41" i="1"/>
  <c r="POA41" i="1"/>
  <c r="PNL41" i="1"/>
  <c r="PMW41" i="1"/>
  <c r="PMY41" i="1" s="1"/>
  <c r="PMH41" i="1"/>
  <c r="PLS41" i="1"/>
  <c r="PLT41" i="1" s="1"/>
  <c r="PLD41" i="1"/>
  <c r="PKO41" i="1"/>
  <c r="PJZ41" i="1"/>
  <c r="PKA41" i="1" s="1"/>
  <c r="PJK41" i="1"/>
  <c r="PIV41" i="1"/>
  <c r="PIX41" i="1" s="1"/>
  <c r="PIG41" i="1"/>
  <c r="PHR41" i="1"/>
  <c r="PHC41" i="1"/>
  <c r="PGN41" i="1"/>
  <c r="PFY41" i="1"/>
  <c r="PFJ41" i="1"/>
  <c r="PFL41" i="1" s="1"/>
  <c r="PEU41" i="1"/>
  <c r="PEW41" i="1" s="1"/>
  <c r="PEF41" i="1"/>
  <c r="PEH41" i="1" s="1"/>
  <c r="PDQ41" i="1"/>
  <c r="PDB41" i="1"/>
  <c r="PCM41" i="1"/>
  <c r="PBX41" i="1"/>
  <c r="PBZ41" i="1" s="1"/>
  <c r="PBI41" i="1"/>
  <c r="PAT41" i="1"/>
  <c r="PAU41" i="1" s="1"/>
  <c r="PAE41" i="1"/>
  <c r="OZP41" i="1"/>
  <c r="OZR41" i="1" s="1"/>
  <c r="OZA41" i="1"/>
  <c r="OYL41" i="1"/>
  <c r="OXW41" i="1"/>
  <c r="OXX41" i="1" s="1"/>
  <c r="OXH41" i="1"/>
  <c r="OWS41" i="1"/>
  <c r="OWD41" i="1"/>
  <c r="OWE41" i="1" s="1"/>
  <c r="OVO41" i="1"/>
  <c r="OVQ41" i="1" s="1"/>
  <c r="OUZ41" i="1"/>
  <c r="OVB41" i="1" s="1"/>
  <c r="OUK41" i="1"/>
  <c r="OTV41" i="1"/>
  <c r="OTW41" i="1" s="1"/>
  <c r="OTG41" i="1"/>
  <c r="OTI41" i="1" s="1"/>
  <c r="OSR41" i="1"/>
  <c r="OSC41" i="1"/>
  <c r="ORN41" i="1"/>
  <c r="ORO41" i="1" s="1"/>
  <c r="OQY41" i="1"/>
  <c r="OQJ41" i="1"/>
  <c r="OQL41" i="1" s="1"/>
  <c r="OPU41" i="1"/>
  <c r="OPF41" i="1"/>
  <c r="OOQ41" i="1"/>
  <c r="OOS41" i="1" s="1"/>
  <c r="OOB41" i="1"/>
  <c r="ONM41" i="1"/>
  <c r="OMX41" i="1"/>
  <c r="OMY41" i="1" s="1"/>
  <c r="OMI41" i="1"/>
  <c r="OLT41" i="1"/>
  <c r="OLV41" i="1" s="1"/>
  <c r="OLE41" i="1"/>
  <c r="OKP41" i="1"/>
  <c r="OKR41" i="1" s="1"/>
  <c r="OKA41" i="1"/>
  <c r="OJL41" i="1"/>
  <c r="OJN41" i="1" s="1"/>
  <c r="OIW41" i="1"/>
  <c r="OIH41" i="1"/>
  <c r="OHS41" i="1"/>
  <c r="OHU41" i="1" s="1"/>
  <c r="OHD41" i="1"/>
  <c r="OHF41" i="1" s="1"/>
  <c r="OGO41" i="1"/>
  <c r="OFZ41" i="1"/>
  <c r="OFK41" i="1"/>
  <c r="OFM41" i="1" s="1"/>
  <c r="OEV41" i="1"/>
  <c r="OEG41" i="1"/>
  <c r="ODR41" i="1"/>
  <c r="ODS41" i="1" s="1"/>
  <c r="ODC41" i="1"/>
  <c r="OCN41" i="1"/>
  <c r="OCP41" i="1" s="1"/>
  <c r="OBY41" i="1"/>
  <c r="OBJ41" i="1"/>
  <c r="OBK41" i="1" s="1"/>
  <c r="OAU41" i="1"/>
  <c r="OAW41" i="1" s="1"/>
  <c r="OAF41" i="1"/>
  <c r="NZQ41" i="1"/>
  <c r="NZB41" i="1"/>
  <c r="NYM41" i="1"/>
  <c r="NYO41" i="1" s="1"/>
  <c r="NXX41" i="1"/>
  <c r="NXZ41" i="1" s="1"/>
  <c r="NXI41" i="1"/>
  <c r="NXJ41" i="1" s="1"/>
  <c r="NWT41" i="1"/>
  <c r="NWE41" i="1"/>
  <c r="NWF41" i="1" s="1"/>
  <c r="NVP41" i="1"/>
  <c r="NVR41" i="1" s="1"/>
  <c r="NVA41" i="1"/>
  <c r="NVB41" i="1" s="1"/>
  <c r="NUL41" i="1"/>
  <c r="NUM41" i="1" s="1"/>
  <c r="NTW41" i="1"/>
  <c r="NTY41" i="1" s="1"/>
  <c r="NTH41" i="1"/>
  <c r="NSS41" i="1"/>
  <c r="NST41" i="1" s="1"/>
  <c r="NSD41" i="1"/>
  <c r="NRO41" i="1"/>
  <c r="NQZ41" i="1"/>
  <c r="NRB41" i="1" s="1"/>
  <c r="NQK41" i="1"/>
  <c r="NPV41" i="1"/>
  <c r="NPX41" i="1" s="1"/>
  <c r="NPG41" i="1"/>
  <c r="NOR41" i="1"/>
  <c r="NOC41" i="1"/>
  <c r="NOD41" i="1" s="1"/>
  <c r="NNN41" i="1"/>
  <c r="NMY41" i="1"/>
  <c r="NMJ41" i="1"/>
  <c r="NML41" i="1" s="1"/>
  <c r="NLU41" i="1"/>
  <c r="NLF41" i="1"/>
  <c r="NKQ41" i="1"/>
  <c r="NKS41" i="1" s="1"/>
  <c r="NKB41" i="1"/>
  <c r="NJM41" i="1"/>
  <c r="NIX41" i="1"/>
  <c r="NII41" i="1"/>
  <c r="NIJ41" i="1" s="1"/>
  <c r="NHT41" i="1"/>
  <c r="NHE41" i="1"/>
  <c r="NGP41" i="1"/>
  <c r="NGA41" i="1"/>
  <c r="NGC41" i="1" s="1"/>
  <c r="NFL41" i="1"/>
  <c r="NEW41" i="1"/>
  <c r="NEX41" i="1" s="1"/>
  <c r="NEH41" i="1"/>
  <c r="NEJ41" i="1" s="1"/>
  <c r="NDS41" i="1"/>
  <c r="NDT41" i="1" s="1"/>
  <c r="NDD41" i="1"/>
  <c r="NCO41" i="1"/>
  <c r="NBZ41" i="1"/>
  <c r="NBK41" i="1"/>
  <c r="NAV41" i="1"/>
  <c r="NAG41" i="1"/>
  <c r="NAH41" i="1" s="1"/>
  <c r="MZR41" i="1"/>
  <c r="MZC41" i="1"/>
  <c r="MZD41" i="1" s="1"/>
  <c r="MYN41" i="1"/>
  <c r="MYP41" i="1" s="1"/>
  <c r="MXY41" i="1"/>
  <c r="MXJ41" i="1"/>
  <c r="MXK41" i="1" s="1"/>
  <c r="MWU41" i="1"/>
  <c r="MWW41" i="1" s="1"/>
  <c r="MWF41" i="1"/>
  <c r="MVQ41" i="1"/>
  <c r="MVB41" i="1"/>
  <c r="MUM41" i="1"/>
  <c r="MUN41" i="1" s="1"/>
  <c r="MTX41" i="1"/>
  <c r="MTZ41" i="1" s="1"/>
  <c r="MTI41" i="1"/>
  <c r="MST41" i="1"/>
  <c r="MSE41" i="1"/>
  <c r="MSG41" i="1" s="1"/>
  <c r="MRP41" i="1"/>
  <c r="MRA41" i="1"/>
  <c r="MQL41" i="1"/>
  <c r="MQN41" i="1" s="1"/>
  <c r="MPW41" i="1"/>
  <c r="MPX41" i="1" s="1"/>
  <c r="MPH41" i="1"/>
  <c r="MPJ41" i="1" s="1"/>
  <c r="MOS41" i="1"/>
  <c r="MOD41" i="1"/>
  <c r="MOF41" i="1" s="1"/>
  <c r="MNO41" i="1"/>
  <c r="MNQ41" i="1" s="1"/>
  <c r="MMZ41" i="1"/>
  <c r="MMK41" i="1"/>
  <c r="MML41" i="1" s="1"/>
  <c r="MLV41" i="1"/>
  <c r="MLG41" i="1"/>
  <c r="MLH41" i="1" s="1"/>
  <c r="MKR41" i="1"/>
  <c r="MKC41" i="1"/>
  <c r="MJN41" i="1"/>
  <c r="MIY41" i="1"/>
  <c r="MJA41" i="1" s="1"/>
  <c r="MIJ41" i="1"/>
  <c r="MHU41" i="1"/>
  <c r="MHV41" i="1" s="1"/>
  <c r="MHF41" i="1"/>
  <c r="MHH41" i="1" s="1"/>
  <c r="MGQ41" i="1"/>
  <c r="MGB41" i="1"/>
  <c r="MGD41" i="1" s="1"/>
  <c r="MFM41" i="1"/>
  <c r="MEX41" i="1"/>
  <c r="MEZ41" i="1" s="1"/>
  <c r="MEI41" i="1"/>
  <c r="MDT41" i="1"/>
  <c r="MDE41" i="1"/>
  <c r="MDF41" i="1" s="1"/>
  <c r="MCP41" i="1"/>
  <c r="MCQ41" i="1" s="1"/>
  <c r="MCA41" i="1"/>
  <c r="MBL41" i="1"/>
  <c r="MBN41" i="1" s="1"/>
  <c r="MAW41" i="1"/>
  <c r="MAH41" i="1"/>
  <c r="MAJ41" i="1" s="1"/>
  <c r="LZS41" i="1"/>
  <c r="LZU41" i="1" s="1"/>
  <c r="LZD41" i="1"/>
  <c r="LYO41" i="1"/>
  <c r="LYP41" i="1" s="1"/>
  <c r="LXZ41" i="1"/>
  <c r="LXK41" i="1"/>
  <c r="LXL41" i="1" s="1"/>
  <c r="LWV41" i="1"/>
  <c r="LWX41" i="1" s="1"/>
  <c r="LWG41" i="1"/>
  <c r="LVR41" i="1"/>
  <c r="LVT41" i="1" s="1"/>
  <c r="LVC41" i="1"/>
  <c r="LVE41" i="1" s="1"/>
  <c r="LUN41" i="1"/>
  <c r="LTY41" i="1"/>
  <c r="LTZ41" i="1" s="1"/>
  <c r="LTJ41" i="1"/>
  <c r="LTL41" i="1" s="1"/>
  <c r="LSU41" i="1"/>
  <c r="LSV41" i="1" s="1"/>
  <c r="LSF41" i="1"/>
  <c r="LRQ41" i="1"/>
  <c r="LRB41" i="1"/>
  <c r="LQM41" i="1"/>
  <c r="LPX41" i="1"/>
  <c r="LPI41" i="1"/>
  <c r="LPJ41" i="1" s="1"/>
  <c r="LOT41" i="1"/>
  <c r="LOE41" i="1"/>
  <c r="LNP41" i="1"/>
  <c r="LNR41" i="1" s="1"/>
  <c r="LNA41" i="1"/>
  <c r="LML41" i="1"/>
  <c r="LLW41" i="1"/>
  <c r="LLX41" i="1" s="1"/>
  <c r="LLH41" i="1"/>
  <c r="LKS41" i="1"/>
  <c r="LKT41" i="1" s="1"/>
  <c r="LKD41" i="1"/>
  <c r="LJO41" i="1"/>
  <c r="LJP41" i="1" s="1"/>
  <c r="LIZ41" i="1"/>
  <c r="LJB41" i="1" s="1"/>
  <c r="LIK41" i="1"/>
  <c r="LHV41" i="1"/>
  <c r="LHX41" i="1" s="1"/>
  <c r="LHG41" i="1"/>
  <c r="LHI41" i="1" s="1"/>
  <c r="LGR41" i="1"/>
  <c r="LGC41" i="1"/>
  <c r="LGD41" i="1" s="1"/>
  <c r="LFN41" i="1"/>
  <c r="LFO41" i="1" s="1"/>
  <c r="LEY41" i="1"/>
  <c r="LEZ41" i="1" s="1"/>
  <c r="LEJ41" i="1"/>
  <c r="LDU41" i="1"/>
  <c r="LDF41" i="1"/>
  <c r="LDH41" i="1" s="1"/>
  <c r="LCQ41" i="1"/>
  <c r="LCS41" i="1" s="1"/>
  <c r="LCB41" i="1"/>
  <c r="LBM41" i="1"/>
  <c r="LBN41" i="1" s="1"/>
  <c r="LAX41" i="1"/>
  <c r="LAI41" i="1"/>
  <c r="LAJ41" i="1" s="1"/>
  <c r="KZT41" i="1"/>
  <c r="KZE41" i="1"/>
  <c r="KYP41" i="1"/>
  <c r="KYA41" i="1"/>
  <c r="KYC41" i="1" s="1"/>
  <c r="KXL41" i="1"/>
  <c r="KWW41" i="1"/>
  <c r="KWX41" i="1" s="1"/>
  <c r="KWH41" i="1"/>
  <c r="KWI41" i="1" s="1"/>
  <c r="KVS41" i="1"/>
  <c r="KVD41" i="1"/>
  <c r="KVF41" i="1" s="1"/>
  <c r="KUO41" i="1"/>
  <c r="KTZ41" i="1"/>
  <c r="KUB41" i="1" s="1"/>
  <c r="KTK41" i="1"/>
  <c r="KSV41" i="1"/>
  <c r="KSG41" i="1"/>
  <c r="KSH41" i="1" s="1"/>
  <c r="KRR41" i="1"/>
  <c r="KRC41" i="1"/>
  <c r="KQN41" i="1"/>
  <c r="KQP41" i="1" s="1"/>
  <c r="KPY41" i="1"/>
  <c r="KPJ41" i="1"/>
  <c r="KPL41" i="1" s="1"/>
  <c r="KOU41" i="1"/>
  <c r="KOW41" i="1" s="1"/>
  <c r="KOF41" i="1"/>
  <c r="KNQ41" i="1"/>
  <c r="KNR41" i="1" s="1"/>
  <c r="KNB41" i="1"/>
  <c r="KMM41" i="1"/>
  <c r="KMN41" i="1" s="1"/>
  <c r="KLX41" i="1"/>
  <c r="KLZ41" i="1" s="1"/>
  <c r="KLI41" i="1"/>
  <c r="KKT41" i="1"/>
  <c r="KKE41" i="1"/>
  <c r="KKG41" i="1" s="1"/>
  <c r="KJP41" i="1"/>
  <c r="KJA41" i="1"/>
  <c r="KJB41" i="1" s="1"/>
  <c r="KIL41" i="1"/>
  <c r="KHW41" i="1"/>
  <c r="KHX41" i="1" s="1"/>
  <c r="KHH41" i="1"/>
  <c r="KGS41" i="1"/>
  <c r="KGD41" i="1"/>
  <c r="KFO41" i="1"/>
  <c r="KFQ41" i="1" s="1"/>
  <c r="KEZ41" i="1"/>
  <c r="KEK41" i="1"/>
  <c r="KEL41" i="1" s="1"/>
  <c r="KDV41" i="1"/>
  <c r="KDG41" i="1"/>
  <c r="KCR41" i="1"/>
  <c r="KCT41" i="1" s="1"/>
  <c r="KCC41" i="1"/>
  <c r="KBN41" i="1"/>
  <c r="KBO41" i="1" s="1"/>
  <c r="KAY41" i="1"/>
  <c r="KAJ41" i="1"/>
  <c r="JZU41" i="1"/>
  <c r="JZV41" i="1" s="1"/>
  <c r="JZF41" i="1"/>
  <c r="JYQ41" i="1"/>
  <c r="JYR41" i="1" s="1"/>
  <c r="JYB41" i="1"/>
  <c r="JYD41" i="1" s="1"/>
  <c r="JXM41" i="1"/>
  <c r="JWX41" i="1"/>
  <c r="JWZ41" i="1" s="1"/>
  <c r="JWI41" i="1"/>
  <c r="JWK41" i="1" s="1"/>
  <c r="JVT41" i="1"/>
  <c r="JVE41" i="1"/>
  <c r="JVF41" i="1" s="1"/>
  <c r="JUP41" i="1"/>
  <c r="JUQ41" i="1" s="1"/>
  <c r="JUA41" i="1"/>
  <c r="JUB41" i="1" s="1"/>
  <c r="JTL41" i="1"/>
  <c r="JTN41" i="1" s="1"/>
  <c r="JSW41" i="1"/>
  <c r="JSH41" i="1"/>
  <c r="JRS41" i="1"/>
  <c r="JRU41" i="1" s="1"/>
  <c r="JRD41" i="1"/>
  <c r="JQO41" i="1"/>
  <c r="JQP41" i="1" s="1"/>
  <c r="JPZ41" i="1"/>
  <c r="JQB41" i="1" s="1"/>
  <c r="JPK41" i="1"/>
  <c r="JPL41" i="1" s="1"/>
  <c r="JOV41" i="1"/>
  <c r="JOX41" i="1" s="1"/>
  <c r="JOG41" i="1"/>
  <c r="JNR41" i="1"/>
  <c r="JNT41" i="1" s="1"/>
  <c r="JNC41" i="1"/>
  <c r="JMN41" i="1"/>
  <c r="JLY41" i="1"/>
  <c r="JLZ41" i="1" s="1"/>
  <c r="JLJ41" i="1"/>
  <c r="JKU41" i="1"/>
  <c r="JKF41" i="1"/>
  <c r="JKH41" i="1" s="1"/>
  <c r="JJQ41" i="1"/>
  <c r="JJB41" i="1"/>
  <c r="JJD41" i="1" s="1"/>
  <c r="JIM41" i="1"/>
  <c r="JIN41" i="1" s="1"/>
  <c r="JHX41" i="1"/>
  <c r="JHI41" i="1"/>
  <c r="JHJ41" i="1" s="1"/>
  <c r="JGT41" i="1"/>
  <c r="JGV41" i="1" s="1"/>
  <c r="JGE41" i="1"/>
  <c r="JFP41" i="1"/>
  <c r="JFR41" i="1" s="1"/>
  <c r="JFA41" i="1"/>
  <c r="JEL41" i="1"/>
  <c r="JEN41" i="1" s="1"/>
  <c r="JDW41" i="1"/>
  <c r="JDY41" i="1" s="1"/>
  <c r="JDH41" i="1"/>
  <c r="JCS41" i="1"/>
  <c r="JCT41" i="1" s="1"/>
  <c r="JCD41" i="1"/>
  <c r="JCE41" i="1" s="1"/>
  <c r="JBO41" i="1"/>
  <c r="JBP41" i="1" s="1"/>
  <c r="JAZ41" i="1"/>
  <c r="JAK41" i="1"/>
  <c r="IZV41" i="1"/>
  <c r="IZW41" i="1" s="1"/>
  <c r="IZG41" i="1"/>
  <c r="IZI41" i="1" s="1"/>
  <c r="IYR41" i="1"/>
  <c r="IYC41" i="1"/>
  <c r="IXN41" i="1"/>
  <c r="IXP41" i="1" s="1"/>
  <c r="IWY41" i="1"/>
  <c r="IWJ41" i="1"/>
  <c r="IWK41" i="1" s="1"/>
  <c r="IVU41" i="1"/>
  <c r="IVF41" i="1"/>
  <c r="IVH41" i="1" s="1"/>
  <c r="IUQ41" i="1"/>
  <c r="IUS41" i="1" s="1"/>
  <c r="IUB41" i="1"/>
  <c r="ITM41" i="1"/>
  <c r="ITN41" i="1" s="1"/>
  <c r="ISX41" i="1"/>
  <c r="ISZ41" i="1" s="1"/>
  <c r="ISI41" i="1"/>
  <c r="IRT41" i="1"/>
  <c r="IRU41" i="1" s="1"/>
  <c r="IRE41" i="1"/>
  <c r="IQP41" i="1"/>
  <c r="IQQ41" i="1" s="1"/>
  <c r="IQA41" i="1"/>
  <c r="IQC41" i="1" s="1"/>
  <c r="IPL41" i="1"/>
  <c r="IPM41" i="1" s="1"/>
  <c r="IOW41" i="1"/>
  <c r="IOX41" i="1" s="1"/>
  <c r="IOH41" i="1"/>
  <c r="IOJ41" i="1" s="1"/>
  <c r="INS41" i="1"/>
  <c r="IND41" i="1"/>
  <c r="INE41" i="1" s="1"/>
  <c r="IMO41" i="1"/>
  <c r="IMQ41" i="1" s="1"/>
  <c r="ILZ41" i="1"/>
  <c r="ILK41" i="1"/>
  <c r="ILM41" i="1" s="1"/>
  <c r="IKV41" i="1"/>
  <c r="IKW41" i="1" s="1"/>
  <c r="IKG41" i="1"/>
  <c r="IJR41" i="1"/>
  <c r="IJT41" i="1" s="1"/>
  <c r="IJC41" i="1"/>
  <c r="IJE41" i="1" s="1"/>
  <c r="IIN41" i="1"/>
  <c r="IIO41" i="1" s="1"/>
  <c r="IHY41" i="1"/>
  <c r="IHZ41" i="1" s="1"/>
  <c r="IHJ41" i="1"/>
  <c r="IHL41" i="1" s="1"/>
  <c r="IGU41" i="1"/>
  <c r="IGW41" i="1" s="1"/>
  <c r="IGF41" i="1"/>
  <c r="IGG41" i="1" s="1"/>
  <c r="IFQ41" i="1"/>
  <c r="IFB41" i="1"/>
  <c r="IFD41" i="1" s="1"/>
  <c r="IEM41" i="1"/>
  <c r="IEO41" i="1" s="1"/>
  <c r="IDX41" i="1"/>
  <c r="IDY41" i="1" s="1"/>
  <c r="IDI41" i="1"/>
  <c r="IDK41" i="1" s="1"/>
  <c r="ICT41" i="1"/>
  <c r="ICV41" i="1" s="1"/>
  <c r="ICE41" i="1"/>
  <c r="ICG41" i="1" s="1"/>
  <c r="IBP41" i="1"/>
  <c r="IBQ41" i="1" s="1"/>
  <c r="IBA41" i="1"/>
  <c r="IBB41" i="1" s="1"/>
  <c r="IAL41" i="1"/>
  <c r="IAN41" i="1" s="1"/>
  <c r="HZW41" i="1"/>
  <c r="HZY41" i="1" s="1"/>
  <c r="HZH41" i="1"/>
  <c r="HZI41" i="1" s="1"/>
  <c r="HYS41" i="1"/>
  <c r="HYU41" i="1" s="1"/>
  <c r="HYD41" i="1"/>
  <c r="HXO41" i="1"/>
  <c r="HXQ41" i="1" s="1"/>
  <c r="HWZ41" i="1"/>
  <c r="HWK41" i="1"/>
  <c r="HWL41" i="1" s="1"/>
  <c r="HVV41" i="1"/>
  <c r="HVX41" i="1" s="1"/>
  <c r="HVG41" i="1"/>
  <c r="HUR41" i="1"/>
  <c r="HUS41" i="1" s="1"/>
  <c r="HUC41" i="1"/>
  <c r="HTN41" i="1"/>
  <c r="HTO41" i="1" s="1"/>
  <c r="HSY41" i="1"/>
  <c r="HTA41" i="1" s="1"/>
  <c r="HSJ41" i="1"/>
  <c r="HSK41" i="1" s="1"/>
  <c r="HRU41" i="1"/>
  <c r="HRF41" i="1"/>
  <c r="HRH41" i="1" s="1"/>
  <c r="HQQ41" i="1"/>
  <c r="HQS41" i="1" s="1"/>
  <c r="HQB41" i="1"/>
  <c r="HQC41" i="1" s="1"/>
  <c r="HPM41" i="1"/>
  <c r="HPN41" i="1" s="1"/>
  <c r="HOX41" i="1"/>
  <c r="HOZ41" i="1" s="1"/>
  <c r="HOI41" i="1"/>
  <c r="HOK41" i="1" s="1"/>
  <c r="HNT41" i="1"/>
  <c r="HNU41" i="1" s="1"/>
  <c r="HNE41" i="1"/>
  <c r="HMP41" i="1"/>
  <c r="HMR41" i="1" s="1"/>
  <c r="HMA41" i="1"/>
  <c r="HMC41" i="1" s="1"/>
  <c r="HLL41" i="1"/>
  <c r="HLM41" i="1" s="1"/>
  <c r="HKW41" i="1"/>
  <c r="HKX41" i="1" s="1"/>
  <c r="HKH41" i="1"/>
  <c r="HKJ41" i="1" s="1"/>
  <c r="HJS41" i="1"/>
  <c r="HJU41" i="1" s="1"/>
  <c r="HJD41" i="1"/>
  <c r="HJE41" i="1" s="1"/>
  <c r="HIO41" i="1"/>
  <c r="HIP41" i="1" s="1"/>
  <c r="HHZ41" i="1"/>
  <c r="HIB41" i="1" s="1"/>
  <c r="HHK41" i="1"/>
  <c r="HHM41" i="1" s="1"/>
  <c r="HGV41" i="1"/>
  <c r="HGW41" i="1" s="1"/>
  <c r="HGG41" i="1"/>
  <c r="HGH41" i="1" s="1"/>
  <c r="HFR41" i="1"/>
  <c r="HFT41" i="1" s="1"/>
  <c r="HFC41" i="1"/>
  <c r="HFE41" i="1" s="1"/>
  <c r="HEN41" i="1"/>
  <c r="HEO41" i="1" s="1"/>
  <c r="HDY41" i="1"/>
  <c r="HDZ41" i="1" s="1"/>
  <c r="HDJ41" i="1"/>
  <c r="HDL41" i="1" s="1"/>
  <c r="HCU41" i="1"/>
  <c r="HCW41" i="1" s="1"/>
  <c r="HCF41" i="1"/>
  <c r="HCG41" i="1" s="1"/>
  <c r="HBQ41" i="1"/>
  <c r="HBB41" i="1"/>
  <c r="HBC41" i="1" s="1"/>
  <c r="HAM41" i="1"/>
  <c r="HAO41" i="1" s="1"/>
  <c r="GZX41" i="1"/>
  <c r="GZY41" i="1" s="1"/>
  <c r="GZI41" i="1"/>
  <c r="GZJ41" i="1" s="1"/>
  <c r="GYT41" i="1"/>
  <c r="GYV41" i="1" s="1"/>
  <c r="GYE41" i="1"/>
  <c r="GYG41" i="1" s="1"/>
  <c r="GXP41" i="1"/>
  <c r="GXQ41" i="1" s="1"/>
  <c r="GXA41" i="1"/>
  <c r="GXC41" i="1" s="1"/>
  <c r="GWL41" i="1"/>
  <c r="GWN41" i="1" s="1"/>
  <c r="GVW41" i="1"/>
  <c r="GVY41" i="1" s="1"/>
  <c r="GVH41" i="1"/>
  <c r="GVI41" i="1" s="1"/>
  <c r="GUS41" i="1"/>
  <c r="GUD41" i="1"/>
  <c r="GUF41" i="1" s="1"/>
  <c r="GTO41" i="1"/>
  <c r="GTQ41" i="1" s="1"/>
  <c r="GSZ41" i="1"/>
  <c r="GTA41" i="1" s="1"/>
  <c r="GSK41" i="1"/>
  <c r="GSM41" i="1" s="1"/>
  <c r="GRV41" i="1"/>
  <c r="GRX41" i="1" s="1"/>
  <c r="GRG41" i="1"/>
  <c r="GRI41" i="1" s="1"/>
  <c r="GQR41" i="1"/>
  <c r="GQS41" i="1" s="1"/>
  <c r="GQC41" i="1"/>
  <c r="GPN41" i="1"/>
  <c r="GPP41" i="1" s="1"/>
  <c r="GOY41" i="1"/>
  <c r="GPA41" i="1" s="1"/>
  <c r="GOJ41" i="1"/>
  <c r="GOK41" i="1" s="1"/>
  <c r="GNU41" i="1"/>
  <c r="GNF41" i="1"/>
  <c r="GNH41" i="1" s="1"/>
  <c r="GMQ41" i="1"/>
  <c r="GMS41" i="1" s="1"/>
  <c r="GMB41" i="1"/>
  <c r="GMC41" i="1" s="1"/>
  <c r="GLM41" i="1"/>
  <c r="GLO41" i="1" s="1"/>
  <c r="GKX41" i="1"/>
  <c r="GKZ41" i="1" s="1"/>
  <c r="GKI41" i="1"/>
  <c r="GJT41" i="1"/>
  <c r="GJU41" i="1" s="1"/>
  <c r="GJE41" i="1"/>
  <c r="GIP41" i="1"/>
  <c r="GIR41" i="1" s="1"/>
  <c r="GIA41" i="1"/>
  <c r="GIC41" i="1" s="1"/>
  <c r="GHL41" i="1"/>
  <c r="GHM41" i="1" s="1"/>
  <c r="GGW41" i="1"/>
  <c r="GGX41" i="1" s="1"/>
  <c r="GGH41" i="1"/>
  <c r="GGJ41" i="1" s="1"/>
  <c r="GFS41" i="1"/>
  <c r="GFU41" i="1" s="1"/>
  <c r="GFD41" i="1"/>
  <c r="GFE41" i="1" s="1"/>
  <c r="GEO41" i="1"/>
  <c r="GEQ41" i="1" s="1"/>
  <c r="GDZ41" i="1"/>
  <c r="GEB41" i="1" s="1"/>
  <c r="GDK41" i="1"/>
  <c r="GDM41" i="1" s="1"/>
  <c r="GCV41" i="1"/>
  <c r="GCW41" i="1" s="1"/>
  <c r="GCG41" i="1"/>
  <c r="GCH41" i="1" s="1"/>
  <c r="GBR41" i="1"/>
  <c r="GBT41" i="1" s="1"/>
  <c r="GBC41" i="1"/>
  <c r="GBE41" i="1" s="1"/>
  <c r="GAN41" i="1"/>
  <c r="GAO41" i="1" s="1"/>
  <c r="FZY41" i="1"/>
  <c r="FZZ41" i="1" s="1"/>
  <c r="FZJ41" i="1"/>
  <c r="FZL41" i="1" s="1"/>
  <c r="FYU41" i="1"/>
  <c r="FYW41" i="1" s="1"/>
  <c r="FYF41" i="1"/>
  <c r="FYG41" i="1" s="1"/>
  <c r="FXQ41" i="1"/>
  <c r="FXB41" i="1"/>
  <c r="FXD41" i="1" s="1"/>
  <c r="FWM41" i="1"/>
  <c r="FWO41" i="1" s="1"/>
  <c r="FVX41" i="1"/>
  <c r="FVY41" i="1" s="1"/>
  <c r="FVI41" i="1"/>
  <c r="FVJ41" i="1" s="1"/>
  <c r="FUT41" i="1"/>
  <c r="FUV41" i="1" s="1"/>
  <c r="FUE41" i="1"/>
  <c r="FUG41" i="1" s="1"/>
  <c r="FTP41" i="1"/>
  <c r="FTQ41" i="1" s="1"/>
  <c r="FTA41" i="1"/>
  <c r="FSL41" i="1"/>
  <c r="FSN41" i="1" s="1"/>
  <c r="FRW41" i="1"/>
  <c r="FRH41" i="1"/>
  <c r="FRI41" i="1" s="1"/>
  <c r="FQS41" i="1"/>
  <c r="FQD41" i="1"/>
  <c r="FQF41" i="1" s="1"/>
  <c r="FPO41" i="1"/>
  <c r="FPQ41" i="1" s="1"/>
  <c r="FOZ41" i="1"/>
  <c r="FPA41" i="1" s="1"/>
  <c r="FOK41" i="1"/>
  <c r="FOM41" i="1" s="1"/>
  <c r="FNV41" i="1"/>
  <c r="FNX41" i="1" s="1"/>
  <c r="FNG41" i="1"/>
  <c r="FNI41" i="1" s="1"/>
  <c r="FMR41" i="1"/>
  <c r="FMS41" i="1" s="1"/>
  <c r="FMC41" i="1"/>
  <c r="FME41" i="1" s="1"/>
  <c r="FLN41" i="1"/>
  <c r="FLP41" i="1" s="1"/>
  <c r="FKY41" i="1"/>
  <c r="FLA41" i="1" s="1"/>
  <c r="FKJ41" i="1"/>
  <c r="FKL41" i="1" s="1"/>
  <c r="FJU41" i="1"/>
  <c r="FJW41" i="1" s="1"/>
  <c r="FJF41" i="1"/>
  <c r="FIQ41" i="1"/>
  <c r="FIS41" i="1" s="1"/>
  <c r="FIB41" i="1"/>
  <c r="FIC41" i="1" s="1"/>
  <c r="FHM41" i="1"/>
  <c r="FHO41" i="1" s="1"/>
  <c r="FGX41" i="1"/>
  <c r="FGY41" i="1" s="1"/>
  <c r="FGI41" i="1"/>
  <c r="FGK41" i="1" s="1"/>
  <c r="FFT41" i="1"/>
  <c r="FFV41" i="1" s="1"/>
  <c r="FFE41" i="1"/>
  <c r="FFG41" i="1" s="1"/>
  <c r="FEP41" i="1"/>
  <c r="FEA41" i="1"/>
  <c r="FEC41" i="1" s="1"/>
  <c r="FDL41" i="1"/>
  <c r="FDM41" i="1" s="1"/>
  <c r="FCW41" i="1"/>
  <c r="FCY41" i="1" s="1"/>
  <c r="FCH41" i="1"/>
  <c r="FCJ41" i="1" s="1"/>
  <c r="FBS41" i="1"/>
  <c r="FBD41" i="1"/>
  <c r="FBE41" i="1" s="1"/>
  <c r="FAO41" i="1"/>
  <c r="FAQ41" i="1" s="1"/>
  <c r="EZZ41" i="1"/>
  <c r="FAB41" i="1" s="1"/>
  <c r="EZK41" i="1"/>
  <c r="EZM41" i="1" s="1"/>
  <c r="EYV41" i="1"/>
  <c r="EYX41" i="1" s="1"/>
  <c r="EYG41" i="1"/>
  <c r="EYI41" i="1" s="1"/>
  <c r="EXR41" i="1"/>
  <c r="EXS41" i="1" s="1"/>
  <c r="EXC41" i="1"/>
  <c r="EXE41" i="1" s="1"/>
  <c r="EWN41" i="1"/>
  <c r="EWO41" i="1" s="1"/>
  <c r="EVY41" i="1"/>
  <c r="EWA41" i="1" s="1"/>
  <c r="EVJ41" i="1"/>
  <c r="EVL41" i="1" s="1"/>
  <c r="EUU41" i="1"/>
  <c r="EUW41" i="1" s="1"/>
  <c r="EUF41" i="1"/>
  <c r="EUH41" i="1" s="1"/>
  <c r="ETQ41" i="1"/>
  <c r="ETS41" i="1" s="1"/>
  <c r="ETB41" i="1"/>
  <c r="ETD41" i="1" s="1"/>
  <c r="ESM41" i="1"/>
  <c r="ESO41" i="1" s="1"/>
  <c r="ERX41" i="1"/>
  <c r="ERY41" i="1" s="1"/>
  <c r="ERI41" i="1"/>
  <c r="ERK41" i="1" s="1"/>
  <c r="EQT41" i="1"/>
  <c r="EQV41" i="1" s="1"/>
  <c r="EQE41" i="1"/>
  <c r="EQG41" i="1" s="1"/>
  <c r="EPP41" i="1"/>
  <c r="EPQ41" i="1" s="1"/>
  <c r="EPA41" i="1"/>
  <c r="EPC41" i="1" s="1"/>
  <c r="EOL41" i="1"/>
  <c r="ENW41" i="1"/>
  <c r="ENY41" i="1" s="1"/>
  <c r="ENH41" i="1"/>
  <c r="ENJ41" i="1" s="1"/>
  <c r="EMS41" i="1"/>
  <c r="EMU41" i="1" s="1"/>
  <c r="EMD41" i="1"/>
  <c r="EME41" i="1" s="1"/>
  <c r="ELO41" i="1"/>
  <c r="ELQ41" i="1" s="1"/>
  <c r="EKZ41" i="1"/>
  <c r="ELA41" i="1" s="1"/>
  <c r="EKK41" i="1"/>
  <c r="EKM41" i="1" s="1"/>
  <c r="EJV41" i="1"/>
  <c r="EJG41" i="1"/>
  <c r="EJI41" i="1" s="1"/>
  <c r="EIR41" i="1"/>
  <c r="EIS41" i="1" s="1"/>
  <c r="EIC41" i="1"/>
  <c r="EIE41" i="1" s="1"/>
  <c r="EHN41" i="1"/>
  <c r="EHO41" i="1" s="1"/>
  <c r="EGY41" i="1"/>
  <c r="EHA41" i="1" s="1"/>
  <c r="EGJ41" i="1"/>
  <c r="EGL41" i="1" s="1"/>
  <c r="EFU41" i="1"/>
  <c r="EFW41" i="1" s="1"/>
  <c r="EFF41" i="1"/>
  <c r="EFH41" i="1" s="1"/>
  <c r="EEQ41" i="1"/>
  <c r="EES41" i="1" s="1"/>
  <c r="EEB41" i="1"/>
  <c r="EEC41" i="1" s="1"/>
  <c r="EDM41" i="1"/>
  <c r="EDO41" i="1" s="1"/>
  <c r="ECX41" i="1"/>
  <c r="ECZ41" i="1" s="1"/>
  <c r="ECI41" i="1"/>
  <c r="ECK41" i="1" s="1"/>
  <c r="EBT41" i="1"/>
  <c r="EBU41" i="1" s="1"/>
  <c r="EBE41" i="1"/>
  <c r="EBG41" i="1" s="1"/>
  <c r="EAP41" i="1"/>
  <c r="EAR41" i="1" s="1"/>
  <c r="EAA41" i="1"/>
  <c r="EAC41" i="1" s="1"/>
  <c r="DZL41" i="1"/>
  <c r="DZN41" i="1" s="1"/>
  <c r="DYW41" i="1"/>
  <c r="DYY41" i="1" s="1"/>
  <c r="DYH41" i="1"/>
  <c r="DXS41" i="1"/>
  <c r="DXU41" i="1" s="1"/>
  <c r="DXD41" i="1"/>
  <c r="DXE41" i="1" s="1"/>
  <c r="DWO41" i="1"/>
  <c r="DWQ41" i="1" s="1"/>
  <c r="DVZ41" i="1"/>
  <c r="DWA41" i="1" s="1"/>
  <c r="DVK41" i="1"/>
  <c r="DVM41" i="1" s="1"/>
  <c r="DUV41" i="1"/>
  <c r="DUW41" i="1" s="1"/>
  <c r="DUG41" i="1"/>
  <c r="DUI41" i="1" s="1"/>
  <c r="DTR41" i="1"/>
  <c r="DTC41" i="1"/>
  <c r="DTE41" i="1" s="1"/>
  <c r="DSN41" i="1"/>
  <c r="DSO41" i="1" s="1"/>
  <c r="DRY41" i="1"/>
  <c r="DSA41" i="1" s="1"/>
  <c r="DRJ41" i="1"/>
  <c r="DRK41" i="1" s="1"/>
  <c r="DQU41" i="1"/>
  <c r="DQF41" i="1"/>
  <c r="DQH41" i="1" s="1"/>
  <c r="DPQ41" i="1"/>
  <c r="DPS41" i="1" s="1"/>
  <c r="DPB41" i="1"/>
  <c r="DPD41" i="1" s="1"/>
  <c r="DOM41" i="1"/>
  <c r="DOO41" i="1" s="1"/>
  <c r="DNX41" i="1"/>
  <c r="DNY41" i="1" s="1"/>
  <c r="DNI41" i="1"/>
  <c r="DNK41" i="1" s="1"/>
  <c r="DMT41" i="1"/>
  <c r="DMU41" i="1" s="1"/>
  <c r="DME41" i="1"/>
  <c r="DMG41" i="1" s="1"/>
  <c r="DLP41" i="1"/>
  <c r="DLQ41" i="1" s="1"/>
  <c r="DLA41" i="1"/>
  <c r="DLC41" i="1" s="1"/>
  <c r="DKL41" i="1"/>
  <c r="DKN41" i="1" s="1"/>
  <c r="DJW41" i="1"/>
  <c r="DJY41" i="1" s="1"/>
  <c r="DJH41" i="1"/>
  <c r="DJI41" i="1" s="1"/>
  <c r="DIS41" i="1"/>
  <c r="DIU41" i="1" s="1"/>
  <c r="DID41" i="1"/>
  <c r="DIE41" i="1" s="1"/>
  <c r="DHO41" i="1"/>
  <c r="DHQ41" i="1" s="1"/>
  <c r="DGZ41" i="1"/>
  <c r="DHB41" i="1" s="1"/>
  <c r="DGK41" i="1"/>
  <c r="DGM41" i="1" s="1"/>
  <c r="DFV41" i="1"/>
  <c r="DFX41" i="1" s="1"/>
  <c r="DFG41" i="1"/>
  <c r="DFI41" i="1" s="1"/>
  <c r="DER41" i="1"/>
  <c r="DES41" i="1" s="1"/>
  <c r="DEC41" i="1"/>
  <c r="DEE41" i="1" s="1"/>
  <c r="DDN41" i="1"/>
  <c r="DCY41" i="1"/>
  <c r="DDA41" i="1" s="1"/>
  <c r="DCJ41" i="1"/>
  <c r="DCL41" i="1" s="1"/>
  <c r="DBU41" i="1"/>
  <c r="DBW41" i="1" s="1"/>
  <c r="DBF41" i="1"/>
  <c r="DBG41" i="1" s="1"/>
  <c r="DAQ41" i="1"/>
  <c r="DAS41" i="1" s="1"/>
  <c r="DAB41" i="1"/>
  <c r="DAC41" i="1" s="1"/>
  <c r="CZM41" i="1"/>
  <c r="CZO41" i="1" s="1"/>
  <c r="CYX41" i="1"/>
  <c r="CYI41" i="1"/>
  <c r="CYK41" i="1" s="1"/>
  <c r="CXT41" i="1"/>
  <c r="CXU41" i="1" s="1"/>
  <c r="CXE41" i="1"/>
  <c r="CXG41" i="1" s="1"/>
  <c r="CWP41" i="1"/>
  <c r="CWR41" i="1" s="1"/>
  <c r="CWA41" i="1"/>
  <c r="CWC41" i="1" s="1"/>
  <c r="CVL41" i="1"/>
  <c r="CVN41" i="1" s="1"/>
  <c r="CUW41" i="1"/>
  <c r="CUY41" i="1" s="1"/>
  <c r="CUH41" i="1"/>
  <c r="CUJ41" i="1" s="1"/>
  <c r="CTS41" i="1"/>
  <c r="CTU41" i="1" s="1"/>
  <c r="CTD41" i="1"/>
  <c r="CTE41" i="1" s="1"/>
  <c r="CSO41" i="1"/>
  <c r="CSQ41" i="1" s="1"/>
  <c r="CRZ41" i="1"/>
  <c r="CSB41" i="1" s="1"/>
  <c r="CRK41" i="1"/>
  <c r="CRM41" i="1" s="1"/>
  <c r="CQV41" i="1"/>
  <c r="CQX41" i="1" s="1"/>
  <c r="CQG41" i="1"/>
  <c r="CQI41" i="1" s="1"/>
  <c r="CPR41" i="1"/>
  <c r="CPT41" i="1" s="1"/>
  <c r="CPC41" i="1"/>
  <c r="CPE41" i="1" s="1"/>
  <c r="CON41" i="1"/>
  <c r="COO41" i="1" s="1"/>
  <c r="CNY41" i="1"/>
  <c r="COA41" i="1" s="1"/>
  <c r="CNJ41" i="1"/>
  <c r="CMU41" i="1"/>
  <c r="CMW41" i="1" s="1"/>
  <c r="CMF41" i="1"/>
  <c r="CMH41" i="1" s="1"/>
  <c r="CLQ41" i="1"/>
  <c r="CLS41" i="1" s="1"/>
  <c r="CLB41" i="1"/>
  <c r="CLD41" i="1" s="1"/>
  <c r="CKM41" i="1"/>
  <c r="CKO41" i="1" s="1"/>
  <c r="CJX41" i="1"/>
  <c r="CJY41" i="1" s="1"/>
  <c r="CJI41" i="1"/>
  <c r="CJK41" i="1" s="1"/>
  <c r="CIT41" i="1"/>
  <c r="CIE41" i="1"/>
  <c r="CIG41" i="1" s="1"/>
  <c r="CHP41" i="1"/>
  <c r="CHR41" i="1" s="1"/>
  <c r="CHA41" i="1"/>
  <c r="CHC41" i="1" s="1"/>
  <c r="CGL41" i="1"/>
  <c r="CGM41" i="1" s="1"/>
  <c r="CFW41" i="1"/>
  <c r="CFH41" i="1"/>
  <c r="CFJ41" i="1" s="1"/>
  <c r="CES41" i="1"/>
  <c r="CEU41" i="1" s="1"/>
  <c r="CED41" i="1"/>
  <c r="CEF41" i="1" s="1"/>
  <c r="CDO41" i="1"/>
  <c r="CDQ41" i="1" s="1"/>
  <c r="CCZ41" i="1"/>
  <c r="CDB41" i="1" s="1"/>
  <c r="CCK41" i="1"/>
  <c r="CCM41" i="1" s="1"/>
  <c r="CBV41" i="1"/>
  <c r="CBX41" i="1" s="1"/>
  <c r="CBG41" i="1"/>
  <c r="CBI41" i="1" s="1"/>
  <c r="CAR41" i="1"/>
  <c r="CAS41" i="1" s="1"/>
  <c r="CAC41" i="1"/>
  <c r="CAE41" i="1" s="1"/>
  <c r="BZN41" i="1"/>
  <c r="BZP41" i="1" s="1"/>
  <c r="BYY41" i="1"/>
  <c r="BZA41" i="1" s="1"/>
  <c r="BYJ41" i="1"/>
  <c r="BYK41" i="1" s="1"/>
  <c r="BXU41" i="1"/>
  <c r="BXW41" i="1" s="1"/>
  <c r="BXF41" i="1"/>
  <c r="BXH41" i="1" s="1"/>
  <c r="BWQ41" i="1"/>
  <c r="BWS41" i="1" s="1"/>
  <c r="BWB41" i="1"/>
  <c r="BWD41" i="1" s="1"/>
  <c r="BVM41" i="1"/>
  <c r="BVO41" i="1" s="1"/>
  <c r="BUX41" i="1"/>
  <c r="BUZ41" i="1" s="1"/>
  <c r="BUI41" i="1"/>
  <c r="BUK41" i="1" s="1"/>
  <c r="BTT41" i="1"/>
  <c r="BTU41" i="1" s="1"/>
  <c r="BTE41" i="1"/>
  <c r="BTG41" i="1" s="1"/>
  <c r="BSP41" i="1"/>
  <c r="BSA41" i="1"/>
  <c r="BSC41" i="1" s="1"/>
  <c r="BRL41" i="1"/>
  <c r="BRN41" i="1" s="1"/>
  <c r="BQW41" i="1"/>
  <c r="BQY41" i="1" s="1"/>
  <c r="BQH41" i="1"/>
  <c r="BQJ41" i="1" s="1"/>
  <c r="BPS41" i="1"/>
  <c r="BPU41" i="1" s="1"/>
  <c r="BPD41" i="1"/>
  <c r="BPE41" i="1" s="1"/>
  <c r="BOO41" i="1"/>
  <c r="BOQ41" i="1" s="1"/>
  <c r="BNZ41" i="1"/>
  <c r="BNK41" i="1"/>
  <c r="BNM41" i="1" s="1"/>
  <c r="BMV41" i="1"/>
  <c r="BMX41" i="1" s="1"/>
  <c r="BMG41" i="1"/>
  <c r="BMI41" i="1" s="1"/>
  <c r="BLR41" i="1"/>
  <c r="BLS41" i="1" s="1"/>
  <c r="BLC41" i="1"/>
  <c r="BKN41" i="1"/>
  <c r="BKP41" i="1" s="1"/>
  <c r="BJY41" i="1"/>
  <c r="BKA41" i="1" s="1"/>
  <c r="BJJ41" i="1"/>
  <c r="BIU41" i="1"/>
  <c r="BIF41" i="1"/>
  <c r="BIG41" i="1" s="1"/>
  <c r="BHQ41" i="1"/>
  <c r="BHS41" i="1" s="1"/>
  <c r="BHB41" i="1"/>
  <c r="BHC41" i="1" s="1"/>
  <c r="BGM41" i="1"/>
  <c r="BGN41" i="1" s="1"/>
  <c r="BFX41" i="1"/>
  <c r="BFY41" i="1" s="1"/>
  <c r="BFI41" i="1"/>
  <c r="BFK41" i="1" s="1"/>
  <c r="BET41" i="1"/>
  <c r="BEU41" i="1" s="1"/>
  <c r="BEE41" i="1"/>
  <c r="BEG41" i="1" s="1"/>
  <c r="BDP41" i="1"/>
  <c r="BDR41" i="1" s="1"/>
  <c r="BDA41" i="1"/>
  <c r="BDC41" i="1" s="1"/>
  <c r="BCL41" i="1"/>
  <c r="BCM41" i="1" s="1"/>
  <c r="BBW41" i="1"/>
  <c r="BBH41" i="1"/>
  <c r="BBI41" i="1" s="1"/>
  <c r="BAS41" i="1"/>
  <c r="BAU41" i="1" s="1"/>
  <c r="BAD41" i="1"/>
  <c r="AZO41" i="1"/>
  <c r="AYZ41" i="1"/>
  <c r="AZB41" i="1" s="1"/>
  <c r="AYK41" i="1"/>
  <c r="AYM41" i="1" s="1"/>
  <c r="AXV41" i="1"/>
  <c r="AXW41" i="1" s="1"/>
  <c r="AXG41" i="1"/>
  <c r="AXH41" i="1" s="1"/>
  <c r="AWR41" i="1"/>
  <c r="AWS41" i="1" s="1"/>
  <c r="AWC41" i="1"/>
  <c r="AWE41" i="1" s="1"/>
  <c r="AVN41" i="1"/>
  <c r="AVO41" i="1" s="1"/>
  <c r="AUY41" i="1"/>
  <c r="AUJ41" i="1"/>
  <c r="AUL41" i="1" s="1"/>
  <c r="ATU41" i="1"/>
  <c r="ATW41" i="1" s="1"/>
  <c r="ATF41" i="1"/>
  <c r="ASQ41" i="1"/>
  <c r="ASB41" i="1"/>
  <c r="ASC41" i="1" s="1"/>
  <c r="ARM41" i="1"/>
  <c r="ARO41" i="1" s="1"/>
  <c r="AQX41" i="1"/>
  <c r="AQI41" i="1"/>
  <c r="AQJ41" i="1" s="1"/>
  <c r="APT41" i="1"/>
  <c r="APV41" i="1" s="1"/>
  <c r="APE41" i="1"/>
  <c r="APG41" i="1" s="1"/>
  <c r="AOP41" i="1"/>
  <c r="AOQ41" i="1" s="1"/>
  <c r="AOA41" i="1"/>
  <c r="ANL41" i="1"/>
  <c r="ANM41" i="1" s="1"/>
  <c r="AMW41" i="1"/>
  <c r="AMY41" i="1" s="1"/>
  <c r="AMH41" i="1"/>
  <c r="ALS41" i="1"/>
  <c r="ALU41" i="1" s="1"/>
  <c r="ALD41" i="1"/>
  <c r="ALF41" i="1" s="1"/>
  <c r="AKO41" i="1"/>
  <c r="AKQ41" i="1" s="1"/>
  <c r="AJZ41" i="1"/>
  <c r="AKA41" i="1" s="1"/>
  <c r="AJK41" i="1"/>
  <c r="AIV41" i="1"/>
  <c r="AIW41" i="1" s="1"/>
  <c r="AIG41" i="1"/>
  <c r="AII41" i="1" s="1"/>
  <c r="AHR41" i="1"/>
  <c r="AHC41" i="1"/>
  <c r="AHD41" i="1" s="1"/>
  <c r="AGN41" i="1"/>
  <c r="AGP41" i="1" s="1"/>
  <c r="AFY41" i="1"/>
  <c r="AGA41" i="1" s="1"/>
  <c r="AFJ41" i="1"/>
  <c r="AFK41" i="1" s="1"/>
  <c r="AEU41" i="1"/>
  <c r="AEF41" i="1"/>
  <c r="AEG41" i="1" s="1"/>
  <c r="ADQ41" i="1"/>
  <c r="ADS41" i="1" s="1"/>
  <c r="ADB41" i="1"/>
  <c r="ACM41" i="1"/>
  <c r="ACO41" i="1" s="1"/>
  <c r="ABX41" i="1"/>
  <c r="ABZ41" i="1" s="1"/>
  <c r="ABI41" i="1"/>
  <c r="ABK41" i="1" s="1"/>
  <c r="AAT41" i="1"/>
  <c r="AAU41" i="1" s="1"/>
  <c r="AAE41" i="1"/>
  <c r="ZP41" i="1"/>
  <c r="ZQ41" i="1" s="1"/>
  <c r="ZA41" i="1"/>
  <c r="ZC41" i="1" s="1"/>
  <c r="YL41" i="1"/>
  <c r="XW41" i="1"/>
  <c r="XH41" i="1"/>
  <c r="XJ41" i="1" s="1"/>
  <c r="WS41" i="1"/>
  <c r="WU41" i="1" s="1"/>
  <c r="WD41" i="1"/>
  <c r="WE41" i="1" s="1"/>
  <c r="VO41" i="1"/>
  <c r="VP41" i="1" s="1"/>
  <c r="UZ41" i="1"/>
  <c r="VA41" i="1" s="1"/>
  <c r="UK41" i="1"/>
  <c r="UM41" i="1" s="1"/>
  <c r="TV41" i="1"/>
  <c r="TW41" i="1" s="1"/>
  <c r="TG41" i="1"/>
  <c r="TI41" i="1" s="1"/>
  <c r="SR41" i="1"/>
  <c r="SS41" i="1" s="1"/>
  <c r="SC41" i="1"/>
  <c r="SE41" i="1" s="1"/>
  <c r="RN41" i="1"/>
  <c r="RO41" i="1" s="1"/>
  <c r="QY41" i="1"/>
  <c r="QJ41" i="1"/>
  <c r="QL41" i="1" s="1"/>
  <c r="PU41" i="1"/>
  <c r="PW41" i="1" s="1"/>
  <c r="PF41" i="1"/>
  <c r="OQ41" i="1"/>
  <c r="OB41" i="1"/>
  <c r="OC41" i="1" s="1"/>
  <c r="NM41" i="1"/>
  <c r="NO41" i="1" s="1"/>
  <c r="MX41" i="1"/>
  <c r="MY41" i="1" s="1"/>
  <c r="MI41" i="1"/>
  <c r="MK41" i="1" s="1"/>
  <c r="LT41" i="1"/>
  <c r="LV41" i="1" s="1"/>
  <c r="LE41" i="1"/>
  <c r="LG41" i="1" s="1"/>
  <c r="KP41" i="1"/>
  <c r="KQ41" i="1" s="1"/>
  <c r="KA41" i="1"/>
  <c r="JL41" i="1"/>
  <c r="JM41" i="1" s="1"/>
  <c r="IW41" i="1"/>
  <c r="IY41" i="1" s="1"/>
  <c r="IH41" i="1"/>
  <c r="HS41" i="1"/>
  <c r="HD41" i="1"/>
  <c r="HF41" i="1" s="1"/>
  <c r="GO41" i="1"/>
  <c r="GQ41" i="1" s="1"/>
  <c r="FZ41" i="1"/>
  <c r="FK41" i="1"/>
  <c r="FL41" i="1" s="1"/>
  <c r="EV41" i="1"/>
  <c r="EW41" i="1" s="1"/>
  <c r="EG41" i="1"/>
  <c r="EI41" i="1" s="1"/>
  <c r="DR41" i="1"/>
  <c r="DS41" i="1" s="1"/>
  <c r="DC41" i="1"/>
  <c r="DE41" i="1" s="1"/>
  <c r="CN41" i="1"/>
  <c r="CP41" i="1" s="1"/>
  <c r="BY41" i="1"/>
  <c r="CA41" i="1" s="1"/>
  <c r="BJ41" i="1"/>
  <c r="BK41" i="1" s="1"/>
  <c r="AU41" i="1"/>
  <c r="AW41" i="1" s="1"/>
  <c r="AF41" i="1"/>
  <c r="AG41" i="1" s="1"/>
  <c r="Q41" i="1"/>
  <c r="S41" i="1" s="1"/>
  <c r="Q19" i="1"/>
  <c r="S19" i="1" s="1"/>
  <c r="HGI41" i="1" l="1"/>
  <c r="HKY41" i="1"/>
  <c r="CGN41" i="1"/>
  <c r="HHL41" i="1"/>
  <c r="HJF41" i="1"/>
  <c r="HMB41" i="1"/>
  <c r="AXI41" i="1"/>
  <c r="EMF41" i="1"/>
  <c r="ORP41" i="1"/>
  <c r="OTH41" i="1"/>
  <c r="SJI41" i="1"/>
  <c r="AVP41" i="1"/>
  <c r="BQI41" i="1"/>
  <c r="DIF41" i="1"/>
  <c r="GAA41" i="1"/>
  <c r="KSI41" i="1"/>
  <c r="KUA41" i="1"/>
  <c r="LLY41" i="1"/>
  <c r="QXH41" i="1"/>
  <c r="SXE41" i="1"/>
  <c r="AAV41" i="1"/>
  <c r="ACN41" i="1"/>
  <c r="BGO41" i="1"/>
  <c r="BXG41" i="1"/>
  <c r="CWQ41" i="1"/>
  <c r="DRL41" i="1"/>
  <c r="GGY41" i="1"/>
  <c r="HZX41" i="1"/>
  <c r="IBR41" i="1"/>
  <c r="IDJ41" i="1"/>
  <c r="IZX41" i="1"/>
  <c r="OXY41" i="1"/>
  <c r="UVZ41" i="1"/>
  <c r="ECY41" i="1"/>
  <c r="EXT41" i="1"/>
  <c r="FOL41" i="1"/>
  <c r="GXB41" i="1"/>
  <c r="HPO41" i="1"/>
  <c r="JUR41" i="1"/>
  <c r="THP41" i="1"/>
  <c r="DBH41" i="1"/>
  <c r="FGZ41" i="1"/>
  <c r="FKZ41" i="1"/>
  <c r="NOE41" i="1"/>
  <c r="NPW41" i="1"/>
  <c r="VVJ41" i="1"/>
  <c r="CPS41" i="1"/>
  <c r="DFW41" i="1"/>
  <c r="ETC41" i="1"/>
  <c r="FCI41" i="1"/>
  <c r="GSL41" i="1"/>
  <c r="GTP41" i="1"/>
  <c r="KBP41" i="1"/>
  <c r="KFP41" i="1"/>
  <c r="SDP41" i="1"/>
  <c r="VQ41" i="1"/>
  <c r="AQK41" i="1"/>
  <c r="CBW41" i="1"/>
  <c r="CSA41" i="1"/>
  <c r="DMV41" i="1"/>
  <c r="DWB41" i="1"/>
  <c r="EAB41" i="1"/>
  <c r="EHP41" i="1"/>
  <c r="EJH41" i="1"/>
  <c r="EQU41" i="1"/>
  <c r="FLO41" i="1"/>
  <c r="FVK41" i="1"/>
  <c r="GCI41" i="1"/>
  <c r="HFS41" i="1"/>
  <c r="IIA41" i="1"/>
  <c r="JHK41" i="1"/>
  <c r="JQA41" i="1"/>
  <c r="LVS41" i="1"/>
  <c r="LWW41" i="1"/>
  <c r="MDG41" i="1"/>
  <c r="MHG41" i="1"/>
  <c r="OTX41" i="1"/>
  <c r="OVP41" i="1"/>
  <c r="RKN41" i="1"/>
  <c r="SCK41" i="1"/>
  <c r="TX41" i="1"/>
  <c r="AHE41" i="1"/>
  <c r="CYJ41" i="1"/>
  <c r="GZK41" i="1"/>
  <c r="HBD41" i="1"/>
  <c r="IJD41" i="1"/>
  <c r="MXL41" i="1"/>
  <c r="MZE41" i="1"/>
  <c r="NUN41" i="1"/>
  <c r="NYN41" i="1"/>
  <c r="PLU41" i="1"/>
  <c r="QDR41" i="1"/>
  <c r="REF41" i="1"/>
  <c r="RFX41" i="1"/>
  <c r="SRL41" i="1"/>
  <c r="BLT41" i="1"/>
  <c r="BNL41" i="1"/>
  <c r="BUY41" i="1"/>
  <c r="CLC41" i="1"/>
  <c r="FM41" i="1"/>
  <c r="BEV41" i="1"/>
  <c r="CPD41" i="1"/>
  <c r="ESN41" i="1"/>
  <c r="EVK41" i="1"/>
  <c r="GBD41" i="1"/>
  <c r="HQR41" i="1"/>
  <c r="IQR41" i="1"/>
  <c r="MQM41" i="1"/>
  <c r="MUO41" i="1"/>
  <c r="OBL41" i="1"/>
  <c r="SKN41" i="1"/>
  <c r="SON41" i="1"/>
  <c r="SYJ41" i="1"/>
  <c r="UDN41" i="1"/>
  <c r="KC41" i="1"/>
  <c r="KB41" i="1"/>
  <c r="CIV41" i="1"/>
  <c r="CIU41" i="1"/>
  <c r="DQW41" i="1"/>
  <c r="DQV41" i="1"/>
  <c r="EJX41" i="1"/>
  <c r="EJW41" i="1"/>
  <c r="ISK41" i="1"/>
  <c r="ISJ41" i="1"/>
  <c r="IXA41" i="1"/>
  <c r="IWZ41" i="1"/>
  <c r="II41" i="1"/>
  <c r="IJ41" i="1"/>
  <c r="AOC41" i="1"/>
  <c r="AOB41" i="1"/>
  <c r="AZP41" i="1"/>
  <c r="AZQ41" i="1"/>
  <c r="CFY41" i="1"/>
  <c r="CFX41" i="1"/>
  <c r="DPC41" i="1"/>
  <c r="DYJ41" i="1"/>
  <c r="DYI41" i="1"/>
  <c r="JWY41" i="1"/>
  <c r="KWJ41" i="1"/>
  <c r="NGR41" i="1"/>
  <c r="NGQ41" i="1"/>
  <c r="NLH41" i="1"/>
  <c r="NLG41" i="1"/>
  <c r="PLE41" i="1"/>
  <c r="PLF41" i="1"/>
  <c r="UMT41" i="1"/>
  <c r="UMS41" i="1"/>
  <c r="WEP41" i="1"/>
  <c r="BL41" i="1"/>
  <c r="DD41" i="1"/>
  <c r="XX41" i="1"/>
  <c r="XY41" i="1"/>
  <c r="AMI41" i="1"/>
  <c r="AMJ41" i="1"/>
  <c r="AVA41" i="1"/>
  <c r="AUZ41" i="1"/>
  <c r="CEE41" i="1"/>
  <c r="CNL41" i="1"/>
  <c r="CNK41" i="1"/>
  <c r="DKM41" i="1"/>
  <c r="EFG41" i="1"/>
  <c r="EON41" i="1"/>
  <c r="EOM41" i="1"/>
  <c r="FAA41" i="1"/>
  <c r="FJH41" i="1"/>
  <c r="FJG41" i="1"/>
  <c r="GNV41" i="1"/>
  <c r="GNW41" i="1"/>
  <c r="IPN41" i="1"/>
  <c r="IRG41" i="1"/>
  <c r="IRF41" i="1"/>
  <c r="IVW41" i="1"/>
  <c r="IVV41" i="1"/>
  <c r="JSJ41" i="1"/>
  <c r="JSI41" i="1"/>
  <c r="KLY41" i="1"/>
  <c r="KNS41" i="1"/>
  <c r="KPK41" i="1"/>
  <c r="KRS41" i="1"/>
  <c r="KRT41" i="1"/>
  <c r="LFP41" i="1"/>
  <c r="LOF41" i="1"/>
  <c r="LOG41" i="1"/>
  <c r="MWV41" i="1"/>
  <c r="NJN41" i="1"/>
  <c r="NJO41" i="1"/>
  <c r="PAV41" i="1"/>
  <c r="PEV41" i="1"/>
  <c r="PTH41" i="1"/>
  <c r="PUZ41" i="1"/>
  <c r="QOB41" i="1"/>
  <c r="QUY41" i="1"/>
  <c r="QUZ41" i="1"/>
  <c r="RLC41" i="1"/>
  <c r="RLD41" i="1"/>
  <c r="RXV41" i="1"/>
  <c r="RXU41" i="1"/>
  <c r="SJY41" i="1"/>
  <c r="SJX41" i="1"/>
  <c r="TAR41" i="1"/>
  <c r="TCY41" i="1"/>
  <c r="TCZ41" i="1"/>
  <c r="AEW41" i="1"/>
  <c r="AEV41" i="1"/>
  <c r="BIV41" i="1"/>
  <c r="BIW41" i="1"/>
  <c r="DDP41" i="1"/>
  <c r="DDO41" i="1"/>
  <c r="FER41" i="1"/>
  <c r="FEQ41" i="1"/>
  <c r="MLX41" i="1"/>
  <c r="MLW41" i="1"/>
  <c r="PAG41" i="1"/>
  <c r="PAF41" i="1"/>
  <c r="POQ41" i="1"/>
  <c r="POR41" i="1"/>
  <c r="SDA41" i="1"/>
  <c r="SCZ41" i="1"/>
  <c r="TJW41" i="1"/>
  <c r="TJX41" i="1"/>
  <c r="ADC41" i="1"/>
  <c r="ADD41" i="1"/>
  <c r="BSR41" i="1"/>
  <c r="BSQ41" i="1"/>
  <c r="FBU41" i="1"/>
  <c r="FBT41" i="1"/>
  <c r="GUT41" i="1"/>
  <c r="GUU41" i="1"/>
  <c r="HYT41" i="1"/>
  <c r="JVG41" i="1"/>
  <c r="LAZ41" i="1"/>
  <c r="LAY41" i="1"/>
  <c r="OYM41" i="1"/>
  <c r="OYN41" i="1"/>
  <c r="PWD41" i="1"/>
  <c r="QWS41" i="1"/>
  <c r="QWR41" i="1"/>
  <c r="ROO41" i="1"/>
  <c r="RQX41" i="1"/>
  <c r="RQW41" i="1"/>
  <c r="TGK41" i="1"/>
  <c r="UKL41" i="1"/>
  <c r="KR41" i="1"/>
  <c r="MJ41" i="1"/>
  <c r="CYZ41" i="1"/>
  <c r="CYY41" i="1"/>
  <c r="DHP41" i="1"/>
  <c r="OR41" i="1"/>
  <c r="OS41" i="1"/>
  <c r="ATG41" i="1"/>
  <c r="ATH41" i="1"/>
  <c r="BOB41" i="1"/>
  <c r="BOA41" i="1"/>
  <c r="BWR41" i="1"/>
  <c r="BZO41" i="1"/>
  <c r="CUI41" i="1"/>
  <c r="DTT41" i="1"/>
  <c r="DTS41" i="1"/>
  <c r="EAQ41" i="1"/>
  <c r="FTC41" i="1"/>
  <c r="FTB41" i="1"/>
  <c r="HTP41" i="1"/>
  <c r="HYF41" i="1"/>
  <c r="HYE41" i="1"/>
  <c r="IEN41" i="1"/>
  <c r="IMA41" i="1"/>
  <c r="IMB41" i="1"/>
  <c r="IUC41" i="1"/>
  <c r="IUD41" i="1"/>
  <c r="JCF41" i="1"/>
  <c r="JNE41" i="1"/>
  <c r="JND41" i="1"/>
  <c r="KKV41" i="1"/>
  <c r="KKU41" i="1"/>
  <c r="LEL41" i="1"/>
  <c r="LEK41" i="1"/>
  <c r="LMM41" i="1"/>
  <c r="LMN41" i="1"/>
  <c r="NHV41" i="1"/>
  <c r="NHU41" i="1"/>
  <c r="ODT41" i="1"/>
  <c r="OII41" i="1"/>
  <c r="OIJ41" i="1"/>
  <c r="PPV41" i="1"/>
  <c r="RJZ41" i="1"/>
  <c r="RJY41" i="1"/>
  <c r="RTT41" i="1"/>
  <c r="STT41" i="1"/>
  <c r="SXU41" i="1"/>
  <c r="SXT41" i="1"/>
  <c r="TRZ41" i="1"/>
  <c r="TUH41" i="1"/>
  <c r="TUG41" i="1"/>
  <c r="VCX41" i="1"/>
  <c r="JZW41" i="1"/>
  <c r="LGE41" i="1"/>
  <c r="LHW41" i="1"/>
  <c r="MCR41" i="1"/>
  <c r="OMZ41" i="1"/>
  <c r="OOR41" i="1"/>
  <c r="OWF41" i="1"/>
  <c r="PKB41" i="1"/>
  <c r="PQK41" i="1"/>
  <c r="PZB41" i="1"/>
  <c r="QLT41" i="1"/>
  <c r="QNL41" i="1"/>
  <c r="RGN41" i="1"/>
  <c r="RTE41" i="1"/>
  <c r="RUJ41" i="1"/>
  <c r="SAC41" i="1"/>
  <c r="SHA41" i="1"/>
  <c r="SNY41" i="1"/>
  <c r="SPD41" i="1"/>
  <c r="TGZ41" i="1"/>
  <c r="VDM41" i="1"/>
  <c r="VFE41" i="1"/>
  <c r="RA41" i="1"/>
  <c r="QZ41" i="1"/>
  <c r="AJM41" i="1"/>
  <c r="AJL41" i="1"/>
  <c r="BBY41" i="1"/>
  <c r="BBX41" i="1"/>
  <c r="IYD41" i="1"/>
  <c r="IYE41" i="1"/>
  <c r="RMH41" i="1"/>
  <c r="RMG41" i="1"/>
  <c r="RSA41" i="1"/>
  <c r="RSB41" i="1"/>
  <c r="RYY41" i="1"/>
  <c r="RYZ41" i="1"/>
  <c r="SMU41" i="1"/>
  <c r="SMV41" i="1"/>
  <c r="SVM41" i="1"/>
  <c r="SVL41" i="1"/>
  <c r="TED41" i="1"/>
  <c r="TEC41" i="1"/>
  <c r="UCJ41" i="1"/>
  <c r="UCI41" i="1"/>
  <c r="VKJ41" i="1"/>
  <c r="VKK41" i="1"/>
  <c r="VRH41" i="1"/>
  <c r="VRI41" i="1"/>
  <c r="VXQ41" i="1"/>
  <c r="VXR41" i="1"/>
  <c r="PG41" i="1"/>
  <c r="PH41" i="1"/>
  <c r="BAE41" i="1"/>
  <c r="BAF41" i="1"/>
  <c r="BUJ41" i="1"/>
  <c r="CDP41" i="1"/>
  <c r="CWB41" i="1"/>
  <c r="DFH41" i="1"/>
  <c r="EQF41" i="1"/>
  <c r="EZL41" i="1"/>
  <c r="GFT41" i="1"/>
  <c r="AV41" i="1"/>
  <c r="HU41" i="1"/>
  <c r="HT41" i="1"/>
  <c r="RP41" i="1"/>
  <c r="TH41" i="1"/>
  <c r="AAG41" i="1"/>
  <c r="AAF41" i="1"/>
  <c r="AKB41" i="1"/>
  <c r="ALT41" i="1"/>
  <c r="ASS41" i="1"/>
  <c r="ASR41" i="1"/>
  <c r="BCN41" i="1"/>
  <c r="BEF41" i="1"/>
  <c r="BLE41" i="1"/>
  <c r="BLD41" i="1"/>
  <c r="BSB41" i="1"/>
  <c r="CBH41" i="1"/>
  <c r="CKN41" i="1"/>
  <c r="CTT41" i="1"/>
  <c r="DCZ41" i="1"/>
  <c r="DMF41" i="1"/>
  <c r="DVL41" i="1"/>
  <c r="EER41" i="1"/>
  <c r="ENX41" i="1"/>
  <c r="EXD41" i="1"/>
  <c r="FGJ41" i="1"/>
  <c r="GEP41" i="1"/>
  <c r="GLN41" i="1"/>
  <c r="HCV41" i="1"/>
  <c r="HEP41" i="1"/>
  <c r="HNF41" i="1"/>
  <c r="HNG41" i="1"/>
  <c r="HUE41" i="1"/>
  <c r="HUD41" i="1"/>
  <c r="IKH41" i="1"/>
  <c r="IKI41" i="1"/>
  <c r="HVI41" i="1"/>
  <c r="HVH41" i="1"/>
  <c r="MSV41" i="1"/>
  <c r="MSU41" i="1"/>
  <c r="NBM41" i="1"/>
  <c r="NBL41" i="1"/>
  <c r="NSF41" i="1"/>
  <c r="NSE41" i="1"/>
  <c r="OAH41" i="1"/>
  <c r="OAG41" i="1"/>
  <c r="OPG41" i="1"/>
  <c r="OPH41" i="1"/>
  <c r="PCO41" i="1"/>
  <c r="PCN41" i="1"/>
  <c r="PXW41" i="1"/>
  <c r="PXX41" i="1"/>
  <c r="QZO41" i="1"/>
  <c r="QZP41" i="1"/>
  <c r="SFW41" i="1"/>
  <c r="SFX41" i="1"/>
  <c r="TLB41" i="1"/>
  <c r="TLA41" i="1"/>
  <c r="UUV41" i="1"/>
  <c r="UUU41" i="1"/>
  <c r="AHS41" i="1"/>
  <c r="AHT41" i="1"/>
  <c r="CMV41" i="1"/>
  <c r="DON41" i="1"/>
  <c r="DXT41" i="1"/>
  <c r="EGZ41" i="1"/>
  <c r="FIR41" i="1"/>
  <c r="FRY41" i="1"/>
  <c r="FRX41" i="1"/>
  <c r="FXS41" i="1"/>
  <c r="FXR41" i="1"/>
  <c r="GJG41" i="1"/>
  <c r="GJF41" i="1"/>
  <c r="HRV41" i="1"/>
  <c r="HRW41" i="1"/>
  <c r="INU41" i="1"/>
  <c r="INT41" i="1"/>
  <c r="GA41" i="1"/>
  <c r="GB41" i="1"/>
  <c r="YM41" i="1"/>
  <c r="YN41" i="1"/>
  <c r="AQY41" i="1"/>
  <c r="AQZ41" i="1"/>
  <c r="BJK41" i="1"/>
  <c r="BJL41" i="1"/>
  <c r="BPT41" i="1"/>
  <c r="BYZ41" i="1"/>
  <c r="CIF41" i="1"/>
  <c r="CRL41" i="1"/>
  <c r="DAR41" i="1"/>
  <c r="DJX41" i="1"/>
  <c r="DTD41" i="1"/>
  <c r="ECJ41" i="1"/>
  <c r="ELP41" i="1"/>
  <c r="EUV41" i="1"/>
  <c r="FEB41" i="1"/>
  <c r="FNH41" i="1"/>
  <c r="FQU41" i="1"/>
  <c r="FQT41" i="1"/>
  <c r="GKK41" i="1"/>
  <c r="GKJ41" i="1"/>
  <c r="GQE41" i="1"/>
  <c r="GQD41" i="1"/>
  <c r="GYF41" i="1"/>
  <c r="HBS41" i="1"/>
  <c r="HBR41" i="1"/>
  <c r="HXA41" i="1"/>
  <c r="HXB41" i="1"/>
  <c r="IFR41" i="1"/>
  <c r="IFS41" i="1"/>
  <c r="KBA41" i="1"/>
  <c r="KAZ41" i="1"/>
  <c r="KIN41" i="1"/>
  <c r="KIM41" i="1"/>
  <c r="MRB41" i="1"/>
  <c r="MRC41" i="1"/>
  <c r="NWV41" i="1"/>
  <c r="NWU41" i="1"/>
  <c r="OGB41" i="1"/>
  <c r="OGA41" i="1"/>
  <c r="QSQ41" i="1"/>
  <c r="QSR41" i="1"/>
  <c r="WNV41" i="1"/>
  <c r="WNU41" i="1"/>
  <c r="WXB41" i="1"/>
  <c r="WXA41" i="1"/>
  <c r="MVR41" i="1"/>
  <c r="MVS41" i="1"/>
  <c r="RNK41" i="1"/>
  <c r="RNL41" i="1"/>
  <c r="SLR41" i="1"/>
  <c r="SLQ41" i="1"/>
  <c r="SSP41" i="1"/>
  <c r="SSO41" i="1"/>
  <c r="TFG41" i="1"/>
  <c r="TFH41" i="1"/>
  <c r="KYR41" i="1"/>
  <c r="KYQ41" i="1"/>
  <c r="MJP41" i="1"/>
  <c r="MJO41" i="1"/>
  <c r="QIW41" i="1"/>
  <c r="QIV41" i="1"/>
  <c r="WGW41" i="1"/>
  <c r="WGX41" i="1"/>
  <c r="XDZ41" i="1"/>
  <c r="XDY41" i="1"/>
  <c r="IMP41" i="1"/>
  <c r="JBB41" i="1"/>
  <c r="JBA41" i="1"/>
  <c r="JLL41" i="1"/>
  <c r="JLK41" i="1"/>
  <c r="LQO41" i="1"/>
  <c r="LQN41" i="1"/>
  <c r="NNP41" i="1"/>
  <c r="NNO41" i="1"/>
  <c r="NZD41" i="1"/>
  <c r="NZC41" i="1"/>
  <c r="QHC41" i="1"/>
  <c r="QHD41" i="1"/>
  <c r="RWC41" i="1"/>
  <c r="RWB41" i="1"/>
  <c r="SET41" i="1"/>
  <c r="SES41" i="1"/>
  <c r="SZN41" i="1"/>
  <c r="SZM41" i="1"/>
  <c r="UBF41" i="1"/>
  <c r="UBE41" i="1"/>
  <c r="UTR41" i="1"/>
  <c r="UTQ41" i="1"/>
  <c r="WMB41" i="1"/>
  <c r="WMC41" i="1"/>
  <c r="WVH41" i="1"/>
  <c r="WVI41" i="1"/>
  <c r="XCF41" i="1"/>
  <c r="XCG41" i="1"/>
  <c r="DT41" i="1"/>
  <c r="MZ41" i="1"/>
  <c r="WF41" i="1"/>
  <c r="AFL41" i="1"/>
  <c r="AOR41" i="1"/>
  <c r="AXX41" i="1"/>
  <c r="BHD41" i="1"/>
  <c r="FWN41" i="1"/>
  <c r="GOZ41" i="1"/>
  <c r="KDH41" i="1"/>
  <c r="KDI41" i="1"/>
  <c r="KZV41" i="1"/>
  <c r="KZU41" i="1"/>
  <c r="MKT41" i="1"/>
  <c r="MKS41" i="1"/>
  <c r="ODE41" i="1"/>
  <c r="ODD41" i="1"/>
  <c r="ORA41" i="1"/>
  <c r="OQZ41" i="1"/>
  <c r="RBI41" i="1"/>
  <c r="RBH41" i="1"/>
  <c r="TPB41" i="1"/>
  <c r="TPC41" i="1"/>
  <c r="UHN41" i="1"/>
  <c r="UHO41" i="1"/>
  <c r="VMD41" i="1"/>
  <c r="VMC41" i="1"/>
  <c r="VTB41" i="1"/>
  <c r="VTA41" i="1"/>
  <c r="JIO41" i="1"/>
  <c r="JYS41" i="1"/>
  <c r="LJQ41" i="1"/>
  <c r="MIZ41" i="1"/>
  <c r="OJM41" i="1"/>
  <c r="PBY41" i="1"/>
  <c r="PXH41" i="1"/>
  <c r="QCN41" i="1"/>
  <c r="QJL41" i="1"/>
  <c r="QQJ41" i="1"/>
  <c r="QSB41" i="1"/>
  <c r="RBX41" i="1"/>
  <c r="RIV41" i="1"/>
  <c r="RMV41" i="1"/>
  <c r="RPT41" i="1"/>
  <c r="RVM41" i="1"/>
  <c r="RWR41" i="1"/>
  <c r="SBH41" i="1"/>
  <c r="SFH41" i="1"/>
  <c r="SIF41" i="1"/>
  <c r="SMF41" i="1"/>
  <c r="SQG41" i="1"/>
  <c r="SUW41" i="1"/>
  <c r="SWB41" i="1"/>
  <c r="TBU41" i="1"/>
  <c r="TER41" i="1"/>
  <c r="TIS41" i="1"/>
  <c r="TTC41" i="1"/>
  <c r="TYI41" i="1"/>
  <c r="ULO41" i="1"/>
  <c r="UQU41" i="1"/>
  <c r="VBE41" i="1"/>
  <c r="VOL41" i="1"/>
  <c r="VTQ41" i="1"/>
  <c r="WCW41" i="1"/>
  <c r="WJU41" i="1"/>
  <c r="WLM41" i="1"/>
  <c r="WQD41" i="1"/>
  <c r="WZJ41" i="1"/>
  <c r="XEO41" i="1"/>
  <c r="TNJ41" i="1"/>
  <c r="TNI41" i="1"/>
  <c r="UFV41" i="1"/>
  <c r="UFU41" i="1"/>
  <c r="VZZ41" i="1"/>
  <c r="VZY41" i="1"/>
  <c r="FQE41" i="1"/>
  <c r="FUU41" i="1"/>
  <c r="FZK41" i="1"/>
  <c r="GEA41" i="1"/>
  <c r="GIQ41" i="1"/>
  <c r="GNG41" i="1"/>
  <c r="GRW41" i="1"/>
  <c r="GWM41" i="1"/>
  <c r="GZZ41" i="1"/>
  <c r="HIQ41" i="1"/>
  <c r="HOY41" i="1"/>
  <c r="HSL41" i="1"/>
  <c r="IBC41" i="1"/>
  <c r="IHK41" i="1"/>
  <c r="IKX41" i="1"/>
  <c r="ITO41" i="1"/>
  <c r="JCU41" i="1"/>
  <c r="JEM41" i="1"/>
  <c r="JKV41" i="1"/>
  <c r="JKW41" i="1"/>
  <c r="LDG41" i="1"/>
  <c r="LTK41" i="1"/>
  <c r="MCB41" i="1"/>
  <c r="MCC41" i="1"/>
  <c r="MGR41" i="1"/>
  <c r="MGS41" i="1"/>
  <c r="NWG41" i="1"/>
  <c r="OAV41" i="1"/>
  <c r="OKC41" i="1"/>
  <c r="OKB41" i="1"/>
  <c r="PHE41" i="1"/>
  <c r="PHD41" i="1"/>
  <c r="PJM41" i="1"/>
  <c r="PJL41" i="1"/>
  <c r="POC41" i="1"/>
  <c r="POB41" i="1"/>
  <c r="PSS41" i="1"/>
  <c r="PSR41" i="1"/>
  <c r="PUL41" i="1"/>
  <c r="PUK41" i="1"/>
  <c r="SAR41" i="1"/>
  <c r="SHQ41" i="1"/>
  <c r="SHP41" i="1"/>
  <c r="TLP41" i="1"/>
  <c r="TPR41" i="1"/>
  <c r="TPQ41" i="1"/>
  <c r="UCX41" i="1"/>
  <c r="UCY41" i="1"/>
  <c r="UID41" i="1"/>
  <c r="UIC41" i="1"/>
  <c r="UVJ41" i="1"/>
  <c r="UVK41" i="1"/>
  <c r="UYV41" i="1"/>
  <c r="UYW41" i="1"/>
  <c r="KDX41" i="1"/>
  <c r="KDW41" i="1"/>
  <c r="NDF41" i="1"/>
  <c r="NDE41" i="1"/>
  <c r="PDD41" i="1"/>
  <c r="PDC41" i="1"/>
  <c r="QBY41" i="1"/>
  <c r="QBX41" i="1"/>
  <c r="SQW41" i="1"/>
  <c r="SQV41" i="1"/>
  <c r="TXT41" i="1"/>
  <c r="TXS41" i="1"/>
  <c r="UQF41" i="1"/>
  <c r="UQE41" i="1"/>
  <c r="UYH41" i="1"/>
  <c r="UYG41" i="1"/>
  <c r="FPB41" i="1"/>
  <c r="FTR41" i="1"/>
  <c r="FYH41" i="1"/>
  <c r="GCX41" i="1"/>
  <c r="GHN41" i="1"/>
  <c r="GMD41" i="1"/>
  <c r="GQT41" i="1"/>
  <c r="GVJ41" i="1"/>
  <c r="HEA41" i="1"/>
  <c r="HKI41" i="1"/>
  <c r="HNV41" i="1"/>
  <c r="HWM41" i="1"/>
  <c r="ICU41" i="1"/>
  <c r="IGH41" i="1"/>
  <c r="IOY41" i="1"/>
  <c r="IVG41" i="1"/>
  <c r="JGU41" i="1"/>
  <c r="JJC41" i="1"/>
  <c r="JNS41" i="1"/>
  <c r="JOW41" i="1"/>
  <c r="JTM41" i="1"/>
  <c r="JZH41" i="1"/>
  <c r="JZG41" i="1"/>
  <c r="KGF41" i="1"/>
  <c r="KGE41" i="1"/>
  <c r="KND41" i="1"/>
  <c r="KNC41" i="1"/>
  <c r="KTM41" i="1"/>
  <c r="KTL41" i="1"/>
  <c r="KYB41" i="1"/>
  <c r="LKU41" i="1"/>
  <c r="LOV41" i="1"/>
  <c r="LOU41" i="1"/>
  <c r="LSH41" i="1"/>
  <c r="LSG41" i="1"/>
  <c r="LYQ41" i="1"/>
  <c r="MAI41" i="1"/>
  <c r="MEY41" i="1"/>
  <c r="MPI41" i="1"/>
  <c r="MVD41" i="1"/>
  <c r="MVC41" i="1"/>
  <c r="NCB41" i="1"/>
  <c r="NCA41" i="1"/>
  <c r="NIZ41" i="1"/>
  <c r="NIY41" i="1"/>
  <c r="NPI41" i="1"/>
  <c r="NPH41" i="1"/>
  <c r="NTX41" i="1"/>
  <c r="OHT41" i="1"/>
  <c r="OMK41" i="1"/>
  <c r="OMJ41" i="1"/>
  <c r="PFK41" i="1"/>
  <c r="PHT41" i="1"/>
  <c r="PHS41" i="1"/>
  <c r="QEG41" i="1"/>
  <c r="QEF41" i="1"/>
  <c r="RRL41" i="1"/>
  <c r="RYK41" i="1"/>
  <c r="RYJ41" i="1"/>
  <c r="TCJ41" i="1"/>
  <c r="TJI41" i="1"/>
  <c r="TJH41" i="1"/>
  <c r="VHN41" i="1"/>
  <c r="VHM41" i="1"/>
  <c r="WSL41" i="1"/>
  <c r="WSK41" i="1"/>
  <c r="JGF41" i="1"/>
  <c r="JGG41" i="1"/>
  <c r="KHJ41" i="1"/>
  <c r="KHI41" i="1"/>
  <c r="LKF41" i="1"/>
  <c r="LKE41" i="1"/>
  <c r="LRD41" i="1"/>
  <c r="LRC41" i="1"/>
  <c r="LYB41" i="1"/>
  <c r="LYA41" i="1"/>
  <c r="MEK41" i="1"/>
  <c r="MEJ41" i="1"/>
  <c r="MZT41" i="1"/>
  <c r="MZS41" i="1"/>
  <c r="OST41" i="1"/>
  <c r="OSS41" i="1"/>
  <c r="PZQ41" i="1"/>
  <c r="PZP41" i="1"/>
  <c r="KRD41" i="1"/>
  <c r="KRE41" i="1"/>
  <c r="KVT41" i="1"/>
  <c r="KVU41" i="1"/>
  <c r="MOE41" i="1"/>
  <c r="NEI41" i="1"/>
  <c r="NMZ41" i="1"/>
  <c r="NNA41" i="1"/>
  <c r="NRP41" i="1"/>
  <c r="NRQ41" i="1"/>
  <c r="OFL41" i="1"/>
  <c r="OKQ41" i="1"/>
  <c r="QGN41" i="1"/>
  <c r="QLD41" i="1"/>
  <c r="QPT41" i="1"/>
  <c r="QUJ41" i="1"/>
  <c r="QYZ41" i="1"/>
  <c r="RDP41" i="1"/>
  <c r="RIF41" i="1"/>
  <c r="RPE41" i="1"/>
  <c r="RPD41" i="1"/>
  <c r="STD41" i="1"/>
  <c r="TAC41" i="1"/>
  <c r="TAB41" i="1"/>
  <c r="VFT41" i="1"/>
  <c r="VFU41" i="1"/>
  <c r="VYF41" i="1"/>
  <c r="VYG41" i="1"/>
  <c r="WQR41" i="1"/>
  <c r="WQS41" i="1"/>
  <c r="TON41" i="1"/>
  <c r="TOM41" i="1"/>
  <c r="TWP41" i="1"/>
  <c r="TWO41" i="1"/>
  <c r="UGZ41" i="1"/>
  <c r="UGY41" i="1"/>
  <c r="UPB41" i="1"/>
  <c r="UPA41" i="1"/>
  <c r="VAO41" i="1"/>
  <c r="VIC41" i="1"/>
  <c r="VJU41" i="1"/>
  <c r="VQT41" i="1"/>
  <c r="VQS41" i="1"/>
  <c r="WAO41" i="1"/>
  <c r="WCG41" i="1"/>
  <c r="WJF41" i="1"/>
  <c r="WJE41" i="1"/>
  <c r="WTA41" i="1"/>
  <c r="WUS41" i="1"/>
  <c r="XBR41" i="1"/>
  <c r="XBQ41" i="1"/>
  <c r="QAU41" i="1"/>
  <c r="QAT41" i="1"/>
  <c r="TTR41" i="1"/>
  <c r="TTS41" i="1"/>
  <c r="TYX41" i="1"/>
  <c r="TYW41" i="1"/>
  <c r="UMD41" i="1"/>
  <c r="UME41" i="1"/>
  <c r="URJ41" i="1"/>
  <c r="URI41" i="1"/>
  <c r="VOZ41" i="1"/>
  <c r="VPA41" i="1"/>
  <c r="WHL41" i="1"/>
  <c r="WHM41" i="1"/>
  <c r="WZX41" i="1"/>
  <c r="WZY41" i="1"/>
  <c r="PMX41" i="1"/>
  <c r="PRN41" i="1"/>
  <c r="PTV41" i="1"/>
  <c r="PVP41" i="1"/>
  <c r="PWS41" i="1"/>
  <c r="QFY41" i="1"/>
  <c r="QIG41" i="1"/>
  <c r="QKO41" i="1"/>
  <c r="QMW41" i="1"/>
  <c r="QPE41" i="1"/>
  <c r="QRM41" i="1"/>
  <c r="QTU41" i="1"/>
  <c r="QWC41" i="1"/>
  <c r="QYK41" i="1"/>
  <c r="RAS41" i="1"/>
  <c r="RDA41" i="1"/>
  <c r="RFI41" i="1"/>
  <c r="RHQ41" i="1"/>
  <c r="VMS41" i="1"/>
  <c r="VVY41" i="1"/>
  <c r="WFE41" i="1"/>
  <c r="WOK41" i="1"/>
  <c r="WXQ41" i="1"/>
  <c r="CHQ41" i="1"/>
  <c r="JDJ41" i="1"/>
  <c r="JDI41" i="1"/>
  <c r="JJR41" i="1"/>
  <c r="JJS41" i="1"/>
  <c r="JVV41" i="1"/>
  <c r="JVU41" i="1"/>
  <c r="KCD41" i="1"/>
  <c r="KCE41" i="1"/>
  <c r="LGT41" i="1"/>
  <c r="LGS41" i="1"/>
  <c r="LNB41" i="1"/>
  <c r="LNC41" i="1"/>
  <c r="MRR41" i="1"/>
  <c r="MRQ41" i="1"/>
  <c r="MXZ41" i="1"/>
  <c r="MYA41" i="1"/>
  <c r="NKD41" i="1"/>
  <c r="NKC41" i="1"/>
  <c r="NQL41" i="1"/>
  <c r="NQM41" i="1"/>
  <c r="TRK41" i="1"/>
  <c r="TRJ41" i="1"/>
  <c r="UJW41" i="1"/>
  <c r="UJV41" i="1"/>
  <c r="WEA41" i="1"/>
  <c r="WDZ41" i="1"/>
  <c r="WWM41" i="1"/>
  <c r="WWL41" i="1"/>
  <c r="CO41" i="1"/>
  <c r="HE41" i="1"/>
  <c r="LU41" i="1"/>
  <c r="QK41" i="1"/>
  <c r="XI41" i="1"/>
  <c r="ABY41" i="1"/>
  <c r="AGO41" i="1"/>
  <c r="ALE41" i="1"/>
  <c r="APU41" i="1"/>
  <c r="AUK41" i="1"/>
  <c r="AZA41" i="1"/>
  <c r="BDQ41" i="1"/>
  <c r="BKO41" i="1"/>
  <c r="BMW41" i="1"/>
  <c r="BRM41" i="1"/>
  <c r="BWC41" i="1"/>
  <c r="CDA41" i="1"/>
  <c r="CFI41" i="1"/>
  <c r="CMG41" i="1"/>
  <c r="CQW41" i="1"/>
  <c r="CVM41" i="1"/>
  <c r="DCK41" i="1"/>
  <c r="DHA41" i="1"/>
  <c r="DQG41" i="1"/>
  <c r="DZM41" i="1"/>
  <c r="EGK41" i="1"/>
  <c r="ENI41" i="1"/>
  <c r="EUG41" i="1"/>
  <c r="EYW41" i="1"/>
  <c r="FFU41" i="1"/>
  <c r="FKK41" i="1"/>
  <c r="IZH41" i="1"/>
  <c r="JFQ41" i="1"/>
  <c r="JMA41" i="1"/>
  <c r="JOH41" i="1"/>
  <c r="JOI41" i="1"/>
  <c r="JRT41" i="1"/>
  <c r="KAL41" i="1"/>
  <c r="KAK41" i="1"/>
  <c r="KKF41" i="1"/>
  <c r="KQO41" i="1"/>
  <c r="KWY41" i="1"/>
  <c r="KZF41" i="1"/>
  <c r="KZG41" i="1"/>
  <c r="LCR41" i="1"/>
  <c r="LJA41" i="1"/>
  <c r="LLJ41" i="1"/>
  <c r="LLI41" i="1"/>
  <c r="LRR41" i="1"/>
  <c r="LRS41" i="1"/>
  <c r="LSW41" i="1"/>
  <c r="LVD41" i="1"/>
  <c r="MBM41" i="1"/>
  <c r="MDV41" i="1"/>
  <c r="MDU41" i="1"/>
  <c r="MLI41" i="1"/>
  <c r="MNP41" i="1"/>
  <c r="MTY41" i="1"/>
  <c r="MWH41" i="1"/>
  <c r="MWG41" i="1"/>
  <c r="NAI41" i="1"/>
  <c r="NCP41" i="1"/>
  <c r="NCQ41" i="1"/>
  <c r="NDU41" i="1"/>
  <c r="NGB41" i="1"/>
  <c r="NOT41" i="1"/>
  <c r="NOS41" i="1"/>
  <c r="NSU41" i="1"/>
  <c r="OCO41" i="1"/>
  <c r="OEX41" i="1"/>
  <c r="OEW41" i="1"/>
  <c r="OVA41" i="1"/>
  <c r="OXJ41" i="1"/>
  <c r="OXI41" i="1"/>
  <c r="PKQ41" i="1"/>
  <c r="PKP41" i="1"/>
  <c r="VAA41" i="1"/>
  <c r="UZZ41" i="1"/>
  <c r="VJG41" i="1"/>
  <c r="VJF41" i="1"/>
  <c r="VSM41" i="1"/>
  <c r="VSL41" i="1"/>
  <c r="WBS41" i="1"/>
  <c r="WBR41" i="1"/>
  <c r="WKY41" i="1"/>
  <c r="WKX41" i="1"/>
  <c r="WUE41" i="1"/>
  <c r="WUD41" i="1"/>
  <c r="XDK41" i="1"/>
  <c r="XDJ41" i="1"/>
  <c r="R41" i="1"/>
  <c r="AH41" i="1"/>
  <c r="BZ41" i="1"/>
  <c r="EH41" i="1"/>
  <c r="EX41" i="1"/>
  <c r="GP41" i="1"/>
  <c r="IX41" i="1"/>
  <c r="JN41" i="1"/>
  <c r="LF41" i="1"/>
  <c r="NN41" i="1"/>
  <c r="OD41" i="1"/>
  <c r="PV41" i="1"/>
  <c r="SD41" i="1"/>
  <c r="ST41" i="1"/>
  <c r="UL41" i="1"/>
  <c r="VB41" i="1"/>
  <c r="WT41" i="1"/>
  <c r="ZB41" i="1"/>
  <c r="ZR41" i="1"/>
  <c r="ABJ41" i="1"/>
  <c r="ADR41" i="1"/>
  <c r="AEH41" i="1"/>
  <c r="AFZ41" i="1"/>
  <c r="AIH41" i="1"/>
  <c r="AIX41" i="1"/>
  <c r="AKP41" i="1"/>
  <c r="AMX41" i="1"/>
  <c r="ANN41" i="1"/>
  <c r="APF41" i="1"/>
  <c r="ARN41" i="1"/>
  <c r="ASD41" i="1"/>
  <c r="ATV41" i="1"/>
  <c r="AWD41" i="1"/>
  <c r="AWT41" i="1"/>
  <c r="AYL41" i="1"/>
  <c r="BAT41" i="1"/>
  <c r="BBJ41" i="1"/>
  <c r="BDB41" i="1"/>
  <c r="BFJ41" i="1"/>
  <c r="BFZ41" i="1"/>
  <c r="BHR41" i="1"/>
  <c r="BIH41" i="1"/>
  <c r="BJZ41" i="1"/>
  <c r="BMH41" i="1"/>
  <c r="BOP41" i="1"/>
  <c r="BPF41" i="1"/>
  <c r="BQX41" i="1"/>
  <c r="BTF41" i="1"/>
  <c r="BTV41" i="1"/>
  <c r="BVN41" i="1"/>
  <c r="BXV41" i="1"/>
  <c r="BYL41" i="1"/>
  <c r="CAD41" i="1"/>
  <c r="CAT41" i="1"/>
  <c r="CCL41" i="1"/>
  <c r="CET41" i="1"/>
  <c r="CHB41" i="1"/>
  <c r="CJJ41" i="1"/>
  <c r="CJZ41" i="1"/>
  <c r="CLR41" i="1"/>
  <c r="CNZ41" i="1"/>
  <c r="COP41" i="1"/>
  <c r="CQH41" i="1"/>
  <c r="CSP41" i="1"/>
  <c r="CTF41" i="1"/>
  <c r="CUX41" i="1"/>
  <c r="CXF41" i="1"/>
  <c r="CXV41" i="1"/>
  <c r="CZN41" i="1"/>
  <c r="DAD41" i="1"/>
  <c r="DBV41" i="1"/>
  <c r="DED41" i="1"/>
  <c r="DET41" i="1"/>
  <c r="DGL41" i="1"/>
  <c r="DIT41" i="1"/>
  <c r="DJJ41" i="1"/>
  <c r="DLB41" i="1"/>
  <c r="DLR41" i="1"/>
  <c r="DNJ41" i="1"/>
  <c r="DNZ41" i="1"/>
  <c r="DPR41" i="1"/>
  <c r="DRZ41" i="1"/>
  <c r="DSP41" i="1"/>
  <c r="DUH41" i="1"/>
  <c r="DUX41" i="1"/>
  <c r="DWP41" i="1"/>
  <c r="DXF41" i="1"/>
  <c r="DYX41" i="1"/>
  <c r="EBF41" i="1"/>
  <c r="EBV41" i="1"/>
  <c r="EDN41" i="1"/>
  <c r="EED41" i="1"/>
  <c r="EFV41" i="1"/>
  <c r="EID41" i="1"/>
  <c r="EIT41" i="1"/>
  <c r="EKL41" i="1"/>
  <c r="ELB41" i="1"/>
  <c r="EMT41" i="1"/>
  <c r="EPB41" i="1"/>
  <c r="EPR41" i="1"/>
  <c r="ERJ41" i="1"/>
  <c r="ERZ41" i="1"/>
  <c r="ETR41" i="1"/>
  <c r="EVZ41" i="1"/>
  <c r="EWP41" i="1"/>
  <c r="EYH41" i="1"/>
  <c r="FAP41" i="1"/>
  <c r="FBF41" i="1"/>
  <c r="FCX41" i="1"/>
  <c r="FDN41" i="1"/>
  <c r="FFF41" i="1"/>
  <c r="FHN41" i="1"/>
  <c r="FID41" i="1"/>
  <c r="FJV41" i="1"/>
  <c r="FMD41" i="1"/>
  <c r="FMT41" i="1"/>
  <c r="FNW41" i="1"/>
  <c r="FPP41" i="1"/>
  <c r="FRJ41" i="1"/>
  <c r="FSM41" i="1"/>
  <c r="FUF41" i="1"/>
  <c r="FVZ41" i="1"/>
  <c r="FXC41" i="1"/>
  <c r="FYV41" i="1"/>
  <c r="GAP41" i="1"/>
  <c r="GBS41" i="1"/>
  <c r="GDL41" i="1"/>
  <c r="GFF41" i="1"/>
  <c r="GGI41" i="1"/>
  <c r="GIB41" i="1"/>
  <c r="GJV41" i="1"/>
  <c r="GKY41" i="1"/>
  <c r="GMR41" i="1"/>
  <c r="GOL41" i="1"/>
  <c r="GPO41" i="1"/>
  <c r="GRH41" i="1"/>
  <c r="GTB41" i="1"/>
  <c r="GUE41" i="1"/>
  <c r="GVX41" i="1"/>
  <c r="GXR41" i="1"/>
  <c r="GYU41" i="1"/>
  <c r="HAN41" i="1"/>
  <c r="HCH41" i="1"/>
  <c r="HDK41" i="1"/>
  <c r="HFD41" i="1"/>
  <c r="HGX41" i="1"/>
  <c r="HIA41" i="1"/>
  <c r="HJT41" i="1"/>
  <c r="HLN41" i="1"/>
  <c r="HMQ41" i="1"/>
  <c r="HOJ41" i="1"/>
  <c r="HQD41" i="1"/>
  <c r="HRG41" i="1"/>
  <c r="HSZ41" i="1"/>
  <c r="HUT41" i="1"/>
  <c r="HVW41" i="1"/>
  <c r="HXP41" i="1"/>
  <c r="HZJ41" i="1"/>
  <c r="IAM41" i="1"/>
  <c r="ICF41" i="1"/>
  <c r="IDZ41" i="1"/>
  <c r="IFC41" i="1"/>
  <c r="IGV41" i="1"/>
  <c r="IIP41" i="1"/>
  <c r="IJS41" i="1"/>
  <c r="ILL41" i="1"/>
  <c r="INF41" i="1"/>
  <c r="IOI41" i="1"/>
  <c r="IQB41" i="1"/>
  <c r="IRV41" i="1"/>
  <c r="ISY41" i="1"/>
  <c r="IUR41" i="1"/>
  <c r="IWL41" i="1"/>
  <c r="IXO41" i="1"/>
  <c r="JAL41" i="1"/>
  <c r="JAM41" i="1"/>
  <c r="JBQ41" i="1"/>
  <c r="JDX41" i="1"/>
  <c r="JKG41" i="1"/>
  <c r="JMP41" i="1"/>
  <c r="JMO41" i="1"/>
  <c r="JQQ41" i="1"/>
  <c r="JSX41" i="1"/>
  <c r="JSY41" i="1"/>
  <c r="JUC41" i="1"/>
  <c r="JWJ41" i="1"/>
  <c r="KCS41" i="1"/>
  <c r="KFB41" i="1"/>
  <c r="KFA41" i="1"/>
  <c r="KJC41" i="1"/>
  <c r="KLJ41" i="1"/>
  <c r="KLK41" i="1"/>
  <c r="KMO41" i="1"/>
  <c r="KOV41" i="1"/>
  <c r="KVE41" i="1"/>
  <c r="KXN41" i="1"/>
  <c r="KXM41" i="1"/>
  <c r="LBO41" i="1"/>
  <c r="LDV41" i="1"/>
  <c r="LDW41" i="1"/>
  <c r="LFA41" i="1"/>
  <c r="LHH41" i="1"/>
  <c r="LNQ41" i="1"/>
  <c r="LPZ41" i="1"/>
  <c r="LPY41" i="1"/>
  <c r="LUA41" i="1"/>
  <c r="LWH41" i="1"/>
  <c r="LWI41" i="1"/>
  <c r="LXM41" i="1"/>
  <c r="LZT41" i="1"/>
  <c r="MGC41" i="1"/>
  <c r="MIL41" i="1"/>
  <c r="MIK41" i="1"/>
  <c r="MMM41" i="1"/>
  <c r="MOT41" i="1"/>
  <c r="MOU41" i="1"/>
  <c r="MPY41" i="1"/>
  <c r="MSF41" i="1"/>
  <c r="MYO41" i="1"/>
  <c r="NAX41" i="1"/>
  <c r="NAW41" i="1"/>
  <c r="NEY41" i="1"/>
  <c r="NHF41" i="1"/>
  <c r="NHG41" i="1"/>
  <c r="NIK41" i="1"/>
  <c r="NKR41" i="1"/>
  <c r="NRA41" i="1"/>
  <c r="NTJ41" i="1"/>
  <c r="NTI41" i="1"/>
  <c r="NXK41" i="1"/>
  <c r="ONO41" i="1"/>
  <c r="ONN41" i="1"/>
  <c r="OPW41" i="1"/>
  <c r="OPV41" i="1"/>
  <c r="PGA41" i="1"/>
  <c r="PFZ41" i="1"/>
  <c r="PII41" i="1"/>
  <c r="PIH41" i="1"/>
  <c r="PPF41" i="1"/>
  <c r="PQZ41" i="1"/>
  <c r="PSC41" i="1"/>
  <c r="QEU41" i="1"/>
  <c r="QEV41" i="1"/>
  <c r="KOH41" i="1"/>
  <c r="KOG41" i="1"/>
  <c r="KUP41" i="1"/>
  <c r="KUQ41" i="1"/>
  <c r="LZF41" i="1"/>
  <c r="LZE41" i="1"/>
  <c r="MFN41" i="1"/>
  <c r="MFO41" i="1"/>
  <c r="OEI41" i="1"/>
  <c r="OEH41" i="1"/>
  <c r="OGQ41" i="1"/>
  <c r="OGP41" i="1"/>
  <c r="OWU41" i="1"/>
  <c r="OWT41" i="1"/>
  <c r="OZC41" i="1"/>
  <c r="OZB41" i="1"/>
  <c r="PMI41" i="1"/>
  <c r="PMJ41" i="1"/>
  <c r="UAQ41" i="1"/>
  <c r="UAP41" i="1"/>
  <c r="UTC41" i="1"/>
  <c r="UTB41" i="1"/>
  <c r="VCI41" i="1"/>
  <c r="VCH41" i="1"/>
  <c r="VLO41" i="1"/>
  <c r="VLN41" i="1"/>
  <c r="VUU41" i="1"/>
  <c r="VUT41" i="1"/>
  <c r="WNG41" i="1"/>
  <c r="WNF41" i="1"/>
  <c r="JHZ41" i="1"/>
  <c r="JHY41" i="1"/>
  <c r="JPM41" i="1"/>
  <c r="JYC41" i="1"/>
  <c r="KEM41" i="1"/>
  <c r="KGT41" i="1"/>
  <c r="KGU41" i="1"/>
  <c r="KHY41" i="1"/>
  <c r="KSX41" i="1"/>
  <c r="KSW41" i="1"/>
  <c r="LAK41" i="1"/>
  <c r="LPK41" i="1"/>
  <c r="MHW41" i="1"/>
  <c r="MKD41" i="1"/>
  <c r="MKE41" i="1"/>
  <c r="NMK41" i="1"/>
  <c r="IYT41" i="1"/>
  <c r="IYS41" i="1"/>
  <c r="JFB41" i="1"/>
  <c r="JFC41" i="1"/>
  <c r="JRF41" i="1"/>
  <c r="JRE41" i="1"/>
  <c r="JXN41" i="1"/>
  <c r="JXO41" i="1"/>
  <c r="KJR41" i="1"/>
  <c r="KJQ41" i="1"/>
  <c r="KPZ41" i="1"/>
  <c r="KQA41" i="1"/>
  <c r="LCD41" i="1"/>
  <c r="LCC41" i="1"/>
  <c r="LIL41" i="1"/>
  <c r="LIM41" i="1"/>
  <c r="LUP41" i="1"/>
  <c r="LUO41" i="1"/>
  <c r="MAX41" i="1"/>
  <c r="MAY41" i="1"/>
  <c r="MNB41" i="1"/>
  <c r="MNA41" i="1"/>
  <c r="MTJ41" i="1"/>
  <c r="MTK41" i="1"/>
  <c r="NFN41" i="1"/>
  <c r="NFM41" i="1"/>
  <c r="NLV41" i="1"/>
  <c r="NLW41" i="1"/>
  <c r="NVQ41" i="1"/>
  <c r="OLU41" i="1"/>
  <c r="OOD41" i="1"/>
  <c r="OOC41" i="1"/>
  <c r="PEG41" i="1"/>
  <c r="PGP41" i="1"/>
  <c r="PGO41" i="1"/>
  <c r="PNN41" i="1"/>
  <c r="PNM41" i="1"/>
  <c r="QDC41" i="1"/>
  <c r="QDB41" i="1"/>
  <c r="NZS41" i="1"/>
  <c r="NZR41" i="1"/>
  <c r="OIY41" i="1"/>
  <c r="OIX41" i="1"/>
  <c r="OSE41" i="1"/>
  <c r="OSD41" i="1"/>
  <c r="PBK41" i="1"/>
  <c r="PBJ41" i="1"/>
  <c r="TMU41" i="1"/>
  <c r="TMT41" i="1"/>
  <c r="TWA41" i="1"/>
  <c r="TVZ41" i="1"/>
  <c r="UFG41" i="1"/>
  <c r="UFF41" i="1"/>
  <c r="UOM41" i="1"/>
  <c r="UOL41" i="1"/>
  <c r="UXS41" i="1"/>
  <c r="UXR41" i="1"/>
  <c r="NVC41" i="1"/>
  <c r="NXY41" i="1"/>
  <c r="OCA41" i="1"/>
  <c r="OBZ41" i="1"/>
  <c r="OHE41" i="1"/>
  <c r="OLG41" i="1"/>
  <c r="OLF41" i="1"/>
  <c r="OQK41" i="1"/>
  <c r="OUM41" i="1"/>
  <c r="OUL41" i="1"/>
  <c r="OZQ41" i="1"/>
  <c r="PDS41" i="1"/>
  <c r="PDR41" i="1"/>
  <c r="PIW41" i="1"/>
  <c r="PYL41" i="1"/>
  <c r="QAF41" i="1"/>
  <c r="QBI41" i="1"/>
  <c r="QFK41" i="1"/>
  <c r="QFJ41" i="1"/>
  <c r="QHS41" i="1"/>
  <c r="QHR41" i="1"/>
  <c r="QKA41" i="1"/>
  <c r="QJZ41" i="1"/>
  <c r="QMI41" i="1"/>
  <c r="QMH41" i="1"/>
  <c r="QOQ41" i="1"/>
  <c r="QOP41" i="1"/>
  <c r="QQY41" i="1"/>
  <c r="QQX41" i="1"/>
  <c r="QTG41" i="1"/>
  <c r="QTF41" i="1"/>
  <c r="QVO41" i="1"/>
  <c r="QVN41" i="1"/>
  <c r="QXW41" i="1"/>
  <c r="QXV41" i="1"/>
  <c r="RAE41" i="1"/>
  <c r="RAD41" i="1"/>
  <c r="RCM41" i="1"/>
  <c r="RCL41" i="1"/>
  <c r="REU41" i="1"/>
  <c r="RET41" i="1"/>
  <c r="RHC41" i="1"/>
  <c r="RHB41" i="1"/>
  <c r="RJK41" i="1"/>
  <c r="RJJ41" i="1"/>
  <c r="RLS41" i="1"/>
  <c r="RLR41" i="1"/>
  <c r="ROA41" i="1"/>
  <c r="RNZ41" i="1"/>
  <c r="RQI41" i="1"/>
  <c r="RQH41" i="1"/>
  <c r="RSQ41" i="1"/>
  <c r="RSP41" i="1"/>
  <c r="RUY41" i="1"/>
  <c r="RUX41" i="1"/>
  <c r="RXG41" i="1"/>
  <c r="RXF41" i="1"/>
  <c r="RZO41" i="1"/>
  <c r="RZN41" i="1"/>
  <c r="SBW41" i="1"/>
  <c r="SBV41" i="1"/>
  <c r="SEE41" i="1"/>
  <c r="SED41" i="1"/>
  <c r="SGM41" i="1"/>
  <c r="SGL41" i="1"/>
  <c r="SIU41" i="1"/>
  <c r="SIT41" i="1"/>
  <c r="SLC41" i="1"/>
  <c r="SLB41" i="1"/>
  <c r="SNK41" i="1"/>
  <c r="SNJ41" i="1"/>
  <c r="SPS41" i="1"/>
  <c r="SPR41" i="1"/>
  <c r="SSA41" i="1"/>
  <c r="SRZ41" i="1"/>
  <c r="SUI41" i="1"/>
  <c r="SUH41" i="1"/>
  <c r="SWQ41" i="1"/>
  <c r="SWP41" i="1"/>
  <c r="SYY41" i="1"/>
  <c r="SYX41" i="1"/>
  <c r="TBG41" i="1"/>
  <c r="TBF41" i="1"/>
  <c r="TDO41" i="1"/>
  <c r="TDN41" i="1"/>
  <c r="TFW41" i="1"/>
  <c r="TFV41" i="1"/>
  <c r="TIE41" i="1"/>
  <c r="TID41" i="1"/>
  <c r="TKM41" i="1"/>
  <c r="TKL41" i="1"/>
  <c r="TQG41" i="1"/>
  <c r="TUW41" i="1"/>
  <c r="TZM41" i="1"/>
  <c r="UEC41" i="1"/>
  <c r="UIS41" i="1"/>
  <c r="UNI41" i="1"/>
  <c r="URY41" i="1"/>
  <c r="UWO41" i="1"/>
  <c r="VGY41" i="1"/>
  <c r="VGX41" i="1"/>
  <c r="VQE41" i="1"/>
  <c r="VQD41" i="1"/>
  <c r="VZK41" i="1"/>
  <c r="VZJ41" i="1"/>
  <c r="WIQ41" i="1"/>
  <c r="WIP41" i="1"/>
  <c r="WRW41" i="1"/>
  <c r="WRV41" i="1"/>
  <c r="XBC41" i="1"/>
  <c r="XBB41" i="1"/>
  <c r="TME41" i="1"/>
  <c r="TNY41" i="1"/>
  <c r="TQU41" i="1"/>
  <c r="TSO41" i="1"/>
  <c r="TVK41" i="1"/>
  <c r="TXE41" i="1"/>
  <c r="UAA41" i="1"/>
  <c r="UBU41" i="1"/>
  <c r="UEQ41" i="1"/>
  <c r="UGK41" i="1"/>
  <c r="UJG41" i="1"/>
  <c r="ULA41" i="1"/>
  <c r="UNW41" i="1"/>
  <c r="UPQ41" i="1"/>
  <c r="USM41" i="1"/>
  <c r="UUG41" i="1"/>
  <c r="UXC41" i="1"/>
  <c r="VEQ41" i="1"/>
  <c r="VEP41" i="1"/>
  <c r="VNW41" i="1"/>
  <c r="VNV41" i="1"/>
  <c r="VXC41" i="1"/>
  <c r="VXB41" i="1"/>
  <c r="WGI41" i="1"/>
  <c r="WGH41" i="1"/>
  <c r="WPO41" i="1"/>
  <c r="WPN41" i="1"/>
  <c r="WYU41" i="1"/>
  <c r="WYT41" i="1"/>
  <c r="UZK41" i="1"/>
  <c r="VBS41" i="1"/>
  <c r="VEA41" i="1"/>
  <c r="VGI41" i="1"/>
  <c r="VIQ41" i="1"/>
  <c r="VKY41" i="1"/>
  <c r="VNG41" i="1"/>
  <c r="VPO41" i="1"/>
  <c r="VRW41" i="1"/>
  <c r="VUE41" i="1"/>
  <c r="VWM41" i="1"/>
  <c r="VYU41" i="1"/>
  <c r="WBC41" i="1"/>
  <c r="WDK41" i="1"/>
  <c r="WFS41" i="1"/>
  <c r="WIA41" i="1"/>
  <c r="WKI41" i="1"/>
  <c r="WMQ41" i="1"/>
  <c r="WOY41" i="1"/>
  <c r="WRG41" i="1"/>
  <c r="WTO41" i="1"/>
  <c r="WVW41" i="1"/>
  <c r="WYE41" i="1"/>
  <c r="XAM41" i="1"/>
  <c r="XCU41" i="1"/>
  <c r="XFC41" i="1"/>
  <c r="R19" i="1"/>
  <c r="XFB39" i="1" l="1"/>
  <c r="XFD39" i="1" s="1"/>
  <c r="XEM39" i="1"/>
  <c r="XEN39" i="1" s="1"/>
  <c r="XDX39" i="1"/>
  <c r="XDI39" i="1"/>
  <c r="XDJ39" i="1" s="1"/>
  <c r="XCT39" i="1"/>
  <c r="XCV39" i="1" s="1"/>
  <c r="XCE39" i="1"/>
  <c r="XCF39" i="1" s="1"/>
  <c r="XBP39" i="1"/>
  <c r="XBQ39" i="1" s="1"/>
  <c r="XBA39" i="1"/>
  <c r="XBB39" i="1" s="1"/>
  <c r="XAL39" i="1"/>
  <c r="XAN39" i="1" s="1"/>
  <c r="WZW39" i="1"/>
  <c r="WZX39" i="1" s="1"/>
  <c r="WZH39" i="1"/>
  <c r="WZI39" i="1" s="1"/>
  <c r="WYS39" i="1"/>
  <c r="WYD39" i="1"/>
  <c r="WYF39" i="1" s="1"/>
  <c r="WXO39" i="1"/>
  <c r="WWZ39" i="1"/>
  <c r="WXA39" i="1" s="1"/>
  <c r="WWK39" i="1"/>
  <c r="WVV39" i="1"/>
  <c r="WVX39" i="1" s="1"/>
  <c r="WVG39" i="1"/>
  <c r="WUR39" i="1"/>
  <c r="WUC39" i="1"/>
  <c r="WTN39" i="1"/>
  <c r="WTP39" i="1" s="1"/>
  <c r="WSY39" i="1"/>
  <c r="WSJ39" i="1"/>
  <c r="WSL39" i="1" s="1"/>
  <c r="WRU39" i="1"/>
  <c r="WRF39" i="1"/>
  <c r="WRH39" i="1" s="1"/>
  <c r="WQQ39" i="1"/>
  <c r="WQB39" i="1"/>
  <c r="WQC39" i="1" s="1"/>
  <c r="WPM39" i="1"/>
  <c r="WOX39" i="1"/>
  <c r="WOZ39" i="1" s="1"/>
  <c r="WOI39" i="1"/>
  <c r="WNT39" i="1"/>
  <c r="WNV39" i="1" s="1"/>
  <c r="WNE39" i="1"/>
  <c r="WMP39" i="1"/>
  <c r="WMR39" i="1" s="1"/>
  <c r="WMA39" i="1"/>
  <c r="WLL39" i="1"/>
  <c r="WKW39" i="1"/>
  <c r="WKH39" i="1"/>
  <c r="WKJ39" i="1" s="1"/>
  <c r="WJS39" i="1"/>
  <c r="WJD39" i="1"/>
  <c r="WJF39" i="1" s="1"/>
  <c r="WIO39" i="1"/>
  <c r="WIP39" i="1" s="1"/>
  <c r="WHZ39" i="1"/>
  <c r="WIB39" i="1" s="1"/>
  <c r="WHK39" i="1"/>
  <c r="WHL39" i="1" s="1"/>
  <c r="WGV39" i="1"/>
  <c r="WGW39" i="1" s="1"/>
  <c r="WGG39" i="1"/>
  <c r="WFR39" i="1"/>
  <c r="WFT39" i="1" s="1"/>
  <c r="WFC39" i="1"/>
  <c r="WEN39" i="1"/>
  <c r="WEP39" i="1" s="1"/>
  <c r="WDY39" i="1"/>
  <c r="WDJ39" i="1"/>
  <c r="WDL39" i="1" s="1"/>
  <c r="WCU39" i="1"/>
  <c r="WCF39" i="1"/>
  <c r="WBQ39" i="1"/>
  <c r="WBR39" i="1" s="1"/>
  <c r="WBB39" i="1"/>
  <c r="WAM39" i="1"/>
  <c r="WAN39" i="1" s="1"/>
  <c r="VZX39" i="1"/>
  <c r="VZY39" i="1" s="1"/>
  <c r="VZI39" i="1"/>
  <c r="VYT39" i="1"/>
  <c r="VYV39" i="1" s="1"/>
  <c r="VYE39" i="1"/>
  <c r="VXP39" i="1"/>
  <c r="VXR39" i="1" s="1"/>
  <c r="VXA39" i="1"/>
  <c r="VXC39" i="1" s="1"/>
  <c r="VWL39" i="1"/>
  <c r="VVW39" i="1"/>
  <c r="VVH39" i="1"/>
  <c r="VUS39" i="1"/>
  <c r="VUT39" i="1" s="1"/>
  <c r="VUD39" i="1"/>
  <c r="VUF39" i="1" s="1"/>
  <c r="VTO39" i="1"/>
  <c r="VSZ39" i="1"/>
  <c r="VTA39" i="1" s="1"/>
  <c r="VSK39" i="1"/>
  <c r="VSL39" i="1" s="1"/>
  <c r="VRV39" i="1"/>
  <c r="VRG39" i="1"/>
  <c r="VRH39" i="1" s="1"/>
  <c r="VQR39" i="1"/>
  <c r="VQT39" i="1" s="1"/>
  <c r="VQC39" i="1"/>
  <c r="VQD39" i="1" s="1"/>
  <c r="VPN39" i="1"/>
  <c r="VOY39" i="1"/>
  <c r="VOJ39" i="1"/>
  <c r="VOL39" i="1" s="1"/>
  <c r="VNU39" i="1"/>
  <c r="VNV39" i="1" s="1"/>
  <c r="VNF39" i="1"/>
  <c r="VMQ39" i="1"/>
  <c r="VMR39" i="1" s="1"/>
  <c r="VMB39" i="1"/>
  <c r="VLM39" i="1"/>
  <c r="VLN39" i="1" s="1"/>
  <c r="VKX39" i="1"/>
  <c r="VKZ39" i="1" s="1"/>
  <c r="VKI39" i="1"/>
  <c r="VJT39" i="1"/>
  <c r="VJV39" i="1" s="1"/>
  <c r="VJE39" i="1"/>
  <c r="VJF39" i="1" s="1"/>
  <c r="VIP39" i="1"/>
  <c r="VIA39" i="1"/>
  <c r="VIB39" i="1" s="1"/>
  <c r="VHL39" i="1"/>
  <c r="VGW39" i="1"/>
  <c r="VGH39" i="1"/>
  <c r="VGJ39" i="1" s="1"/>
  <c r="VFS39" i="1"/>
  <c r="VFD39" i="1"/>
  <c r="VEO39" i="1"/>
  <c r="VEQ39" i="1" s="1"/>
  <c r="VDZ39" i="1"/>
  <c r="VDK39" i="1"/>
  <c r="VCV39" i="1"/>
  <c r="VCX39" i="1" s="1"/>
  <c r="VCG39" i="1"/>
  <c r="VCH39" i="1" s="1"/>
  <c r="VBR39" i="1"/>
  <c r="VBT39" i="1" s="1"/>
  <c r="VBC39" i="1"/>
  <c r="VAN39" i="1"/>
  <c r="VAO39" i="1" s="1"/>
  <c r="UZY39" i="1"/>
  <c r="UZJ39" i="1"/>
  <c r="UYU39" i="1"/>
  <c r="UYV39" i="1" s="1"/>
  <c r="UYF39" i="1"/>
  <c r="UXQ39" i="1"/>
  <c r="UXB39" i="1"/>
  <c r="UWM39" i="1"/>
  <c r="UVX39" i="1"/>
  <c r="UVZ39" i="1" s="1"/>
  <c r="UVI39" i="1"/>
  <c r="UUT39" i="1"/>
  <c r="UUE39" i="1"/>
  <c r="UUF39" i="1" s="1"/>
  <c r="UTP39" i="1"/>
  <c r="UTA39" i="1"/>
  <c r="UTB39" i="1" s="1"/>
  <c r="USL39" i="1"/>
  <c r="USN39" i="1" s="1"/>
  <c r="URW39" i="1"/>
  <c r="URH39" i="1"/>
  <c r="UQS39" i="1"/>
  <c r="UQT39" i="1" s="1"/>
  <c r="UQD39" i="1"/>
  <c r="UPO39" i="1"/>
  <c r="UOZ39" i="1"/>
  <c r="UOK39" i="1"/>
  <c r="UNV39" i="1"/>
  <c r="UNX39" i="1" s="1"/>
  <c r="UNG39" i="1"/>
  <c r="UMR39" i="1"/>
  <c r="UMS39" i="1" s="1"/>
  <c r="UMC39" i="1"/>
  <c r="UME39" i="1" s="1"/>
  <c r="ULN39" i="1"/>
  <c r="UKY39" i="1"/>
  <c r="UKJ39" i="1"/>
  <c r="UJU39" i="1"/>
  <c r="UJV39" i="1" s="1"/>
  <c r="UJF39" i="1"/>
  <c r="UJH39" i="1" s="1"/>
  <c r="UIQ39" i="1"/>
  <c r="UIB39" i="1"/>
  <c r="UID39" i="1" s="1"/>
  <c r="UHM39" i="1"/>
  <c r="UHO39" i="1" s="1"/>
  <c r="UGX39" i="1"/>
  <c r="UGI39" i="1"/>
  <c r="UGJ39" i="1" s="1"/>
  <c r="UFT39" i="1"/>
  <c r="UFE39" i="1"/>
  <c r="UFF39" i="1" s="1"/>
  <c r="UEP39" i="1"/>
  <c r="UEA39" i="1"/>
  <c r="UDL39" i="1"/>
  <c r="UDN39" i="1" s="1"/>
  <c r="UCW39" i="1"/>
  <c r="UCX39" i="1" s="1"/>
  <c r="UCH39" i="1"/>
  <c r="UBS39" i="1"/>
  <c r="UBT39" i="1" s="1"/>
  <c r="UBD39" i="1"/>
  <c r="UBF39" i="1" s="1"/>
  <c r="UAO39" i="1"/>
  <c r="UAP39" i="1" s="1"/>
  <c r="TZZ39" i="1"/>
  <c r="UAB39" i="1" s="1"/>
  <c r="TZK39" i="1"/>
  <c r="TYV39" i="1"/>
  <c r="TYW39" i="1" s="1"/>
  <c r="TYG39" i="1"/>
  <c r="TYH39" i="1" s="1"/>
  <c r="TXR39" i="1"/>
  <c r="TXC39" i="1"/>
  <c r="TXD39" i="1" s="1"/>
  <c r="TWN39" i="1"/>
  <c r="TWP39" i="1" s="1"/>
  <c r="TVY39" i="1"/>
  <c r="TVJ39" i="1"/>
  <c r="TUU39" i="1"/>
  <c r="TUF39" i="1"/>
  <c r="TTQ39" i="1"/>
  <c r="TTS39" i="1" s="1"/>
  <c r="TTB39" i="1"/>
  <c r="TSM39" i="1"/>
  <c r="TRX39" i="1"/>
  <c r="TRY39" i="1" s="1"/>
  <c r="TRI39" i="1"/>
  <c r="TRJ39" i="1" s="1"/>
  <c r="TQT39" i="1"/>
  <c r="TQV39" i="1" s="1"/>
  <c r="TQE39" i="1"/>
  <c r="TPP39" i="1"/>
  <c r="TPR39" i="1" s="1"/>
  <c r="TPA39" i="1"/>
  <c r="TPC39" i="1" s="1"/>
  <c r="TOL39" i="1"/>
  <c r="TNW39" i="1"/>
  <c r="TNX39" i="1" s="1"/>
  <c r="TNH39" i="1"/>
  <c r="TNJ39" i="1" s="1"/>
  <c r="TMS39" i="1"/>
  <c r="TMT39" i="1" s="1"/>
  <c r="TMD39" i="1"/>
  <c r="TLO39" i="1"/>
  <c r="TLQ39" i="1" s="1"/>
  <c r="TKZ39" i="1"/>
  <c r="TKK39" i="1"/>
  <c r="TKL39" i="1" s="1"/>
  <c r="TJV39" i="1"/>
  <c r="TJX39" i="1" s="1"/>
  <c r="TJG39" i="1"/>
  <c r="TIR39" i="1"/>
  <c r="TIS39" i="1" s="1"/>
  <c r="TIC39" i="1"/>
  <c r="TID39" i="1" s="1"/>
  <c r="THN39" i="1"/>
  <c r="TGY39" i="1"/>
  <c r="THA39" i="1" s="1"/>
  <c r="TGJ39" i="1"/>
  <c r="TFU39" i="1"/>
  <c r="TFF39" i="1"/>
  <c r="TFG39" i="1" s="1"/>
  <c r="TEQ39" i="1"/>
  <c r="TEB39" i="1"/>
  <c r="TEC39" i="1" s="1"/>
  <c r="TDM39" i="1"/>
  <c r="TDO39" i="1" s="1"/>
  <c r="TCX39" i="1"/>
  <c r="TCY39" i="1" s="1"/>
  <c r="TCI39" i="1"/>
  <c r="TCK39" i="1" s="1"/>
  <c r="TBT39" i="1"/>
  <c r="TBE39" i="1"/>
  <c r="TBG39" i="1" s="1"/>
  <c r="TAP39" i="1"/>
  <c r="TAR39" i="1" s="1"/>
  <c r="TAA39" i="1"/>
  <c r="SZL39" i="1"/>
  <c r="SZM39" i="1" s="1"/>
  <c r="SYW39" i="1"/>
  <c r="SYH39" i="1"/>
  <c r="SYI39" i="1" s="1"/>
  <c r="SXS39" i="1"/>
  <c r="SXD39" i="1"/>
  <c r="SWO39" i="1"/>
  <c r="SVZ39" i="1"/>
  <c r="SWB39" i="1" s="1"/>
  <c r="SVK39" i="1"/>
  <c r="SUV39" i="1"/>
  <c r="SUW39" i="1" s="1"/>
  <c r="SUG39" i="1"/>
  <c r="SUH39" i="1" s="1"/>
  <c r="STR39" i="1"/>
  <c r="STS39" i="1" s="1"/>
  <c r="STC39" i="1"/>
  <c r="STE39" i="1" s="1"/>
  <c r="SSN39" i="1"/>
  <c r="SRY39" i="1"/>
  <c r="SRJ39" i="1"/>
  <c r="SRL39" i="1" s="1"/>
  <c r="SQU39" i="1"/>
  <c r="SQF39" i="1"/>
  <c r="SQG39" i="1" s="1"/>
  <c r="SPQ39" i="1"/>
  <c r="SPB39" i="1"/>
  <c r="SPC39" i="1" s="1"/>
  <c r="SOM39" i="1"/>
  <c r="SOO39" i="1" s="1"/>
  <c r="SNX39" i="1"/>
  <c r="SNI39" i="1"/>
  <c r="SNK39" i="1" s="1"/>
  <c r="SMT39" i="1"/>
  <c r="SMU39" i="1" s="1"/>
  <c r="SME39" i="1"/>
  <c r="SLP39" i="1"/>
  <c r="SLA39" i="1"/>
  <c r="SLC39" i="1" s="1"/>
  <c r="SKL39" i="1"/>
  <c r="SKM39" i="1" s="1"/>
  <c r="SJW39" i="1"/>
  <c r="SJH39" i="1"/>
  <c r="SIS39" i="1"/>
  <c r="SID39" i="1"/>
  <c r="SIF39" i="1" s="1"/>
  <c r="SHO39" i="1"/>
  <c r="SGZ39" i="1"/>
  <c r="SHA39" i="1" s="1"/>
  <c r="SGK39" i="1"/>
  <c r="SGM39" i="1" s="1"/>
  <c r="SFV39" i="1"/>
  <c r="SFW39" i="1" s="1"/>
  <c r="SFG39" i="1"/>
  <c r="SFI39" i="1" s="1"/>
  <c r="SER39" i="1"/>
  <c r="SEC39" i="1"/>
  <c r="SED39" i="1" s="1"/>
  <c r="SDN39" i="1"/>
  <c r="SCY39" i="1"/>
  <c r="SCJ39" i="1"/>
  <c r="SCK39" i="1" s="1"/>
  <c r="SBU39" i="1"/>
  <c r="SBF39" i="1"/>
  <c r="SAQ39" i="1"/>
  <c r="SAS39" i="1" s="1"/>
  <c r="SAB39" i="1"/>
  <c r="RZM39" i="1"/>
  <c r="RZN39" i="1" s="1"/>
  <c r="RYX39" i="1"/>
  <c r="RYI39" i="1"/>
  <c r="RXT39" i="1"/>
  <c r="RXE39" i="1"/>
  <c r="RWP39" i="1"/>
  <c r="RWA39" i="1"/>
  <c r="RWC39" i="1" s="1"/>
  <c r="RVL39" i="1"/>
  <c r="RUW39" i="1"/>
  <c r="RUX39" i="1" s="1"/>
  <c r="RUH39" i="1"/>
  <c r="RUI39" i="1" s="1"/>
  <c r="RTS39" i="1"/>
  <c r="RTD39" i="1"/>
  <c r="RTE39" i="1" s="1"/>
  <c r="RSO39" i="1"/>
  <c r="RSQ39" i="1" s="1"/>
  <c r="RRZ39" i="1"/>
  <c r="RSA39" i="1" s="1"/>
  <c r="RRK39" i="1"/>
  <c r="RQV39" i="1"/>
  <c r="RQG39" i="1"/>
  <c r="RQI39" i="1" s="1"/>
  <c r="RPR39" i="1"/>
  <c r="RPT39" i="1" s="1"/>
  <c r="RPC39" i="1"/>
  <c r="RON39" i="1"/>
  <c r="ROO39" i="1" s="1"/>
  <c r="RNY39" i="1"/>
  <c r="RNZ39" i="1" s="1"/>
  <c r="RNJ39" i="1"/>
  <c r="RNK39" i="1" s="1"/>
  <c r="RMU39" i="1"/>
  <c r="RMF39" i="1"/>
  <c r="RLQ39" i="1"/>
  <c r="RLB39" i="1"/>
  <c r="RKM39" i="1"/>
  <c r="RJX39" i="1"/>
  <c r="RJY39" i="1" s="1"/>
  <c r="RJI39" i="1"/>
  <c r="RIT39" i="1"/>
  <c r="RIE39" i="1"/>
  <c r="RIG39" i="1" s="1"/>
  <c r="RHP39" i="1"/>
  <c r="RHA39" i="1"/>
  <c r="RGL39" i="1"/>
  <c r="RGN39" i="1" s="1"/>
  <c r="RFW39" i="1"/>
  <c r="RFH39" i="1"/>
  <c r="RES39" i="1"/>
  <c r="RED39" i="1"/>
  <c r="REE39" i="1" s="1"/>
  <c r="RDO39" i="1"/>
  <c r="RDQ39" i="1" s="1"/>
  <c r="RCZ39" i="1"/>
  <c r="RCK39" i="1"/>
  <c r="RCM39" i="1" s="1"/>
  <c r="RBV39" i="1"/>
  <c r="RBW39" i="1" s="1"/>
  <c r="RBG39" i="1"/>
  <c r="RAR39" i="1"/>
  <c r="RAC39" i="1"/>
  <c r="RAE39" i="1" s="1"/>
  <c r="QZN39" i="1"/>
  <c r="QZO39" i="1" s="1"/>
  <c r="QYY39" i="1"/>
  <c r="QYJ39" i="1"/>
  <c r="QXU39" i="1"/>
  <c r="QXV39" i="1" s="1"/>
  <c r="QXF39" i="1"/>
  <c r="QXH39" i="1" s="1"/>
  <c r="QWQ39" i="1"/>
  <c r="QWB39" i="1"/>
  <c r="QWC39" i="1" s="1"/>
  <c r="QVM39" i="1"/>
  <c r="QVO39" i="1" s="1"/>
  <c r="QUX39" i="1"/>
  <c r="QUY39" i="1" s="1"/>
  <c r="QUI39" i="1"/>
  <c r="QUK39" i="1" s="1"/>
  <c r="QTT39" i="1"/>
  <c r="QTE39" i="1"/>
  <c r="QSP39" i="1"/>
  <c r="QSA39" i="1"/>
  <c r="QRL39" i="1"/>
  <c r="QRM39" i="1" s="1"/>
  <c r="QQW39" i="1"/>
  <c r="QQH39" i="1"/>
  <c r="QPS39" i="1"/>
  <c r="QPU39" i="1" s="1"/>
  <c r="QPD39" i="1"/>
  <c r="QOO39" i="1"/>
  <c r="QOP39" i="1" s="1"/>
  <c r="QNZ39" i="1"/>
  <c r="QNK39" i="1"/>
  <c r="QMV39" i="1"/>
  <c r="QMG39" i="1"/>
  <c r="QLR39" i="1"/>
  <c r="QLC39" i="1"/>
  <c r="QLE39" i="1" s="1"/>
  <c r="QKN39" i="1"/>
  <c r="QJY39" i="1"/>
  <c r="QKA39" i="1" s="1"/>
  <c r="QJJ39" i="1"/>
  <c r="QIU39" i="1"/>
  <c r="QIF39" i="1"/>
  <c r="QIG39" i="1" s="1"/>
  <c r="QHQ39" i="1"/>
  <c r="QHB39" i="1"/>
  <c r="QHC39" i="1" s="1"/>
  <c r="QGM39" i="1"/>
  <c r="QFX39" i="1"/>
  <c r="QFI39" i="1"/>
  <c r="QET39" i="1"/>
  <c r="QEV39" i="1" s="1"/>
  <c r="QEE39" i="1"/>
  <c r="QDP39" i="1"/>
  <c r="QDQ39" i="1" s="1"/>
  <c r="QDA39" i="1"/>
  <c r="QDC39" i="1" s="1"/>
  <c r="QCL39" i="1"/>
  <c r="QCM39" i="1" s="1"/>
  <c r="QBW39" i="1"/>
  <c r="QBY39" i="1" s="1"/>
  <c r="QBH39" i="1"/>
  <c r="QAS39" i="1"/>
  <c r="QAD39" i="1"/>
  <c r="PZO39" i="1"/>
  <c r="PYZ39" i="1"/>
  <c r="PZA39" i="1" s="1"/>
  <c r="PYK39" i="1"/>
  <c r="PXV39" i="1"/>
  <c r="PXG39" i="1"/>
  <c r="PXI39" i="1" s="1"/>
  <c r="PWR39" i="1"/>
  <c r="PWC39" i="1"/>
  <c r="PWE39" i="1" s="1"/>
  <c r="PVN39" i="1"/>
  <c r="PUY39" i="1"/>
  <c r="PUJ39" i="1"/>
  <c r="PTU39" i="1"/>
  <c r="PTF39" i="1"/>
  <c r="PSQ39" i="1"/>
  <c r="PSS39" i="1" s="1"/>
  <c r="PSB39" i="1"/>
  <c r="PRM39" i="1"/>
  <c r="PRO39" i="1" s="1"/>
  <c r="PQX39" i="1"/>
  <c r="PQI39" i="1"/>
  <c r="PPT39" i="1"/>
  <c r="PPU39" i="1" s="1"/>
  <c r="PPE39" i="1"/>
  <c r="POP39" i="1"/>
  <c r="POQ39" i="1" s="1"/>
  <c r="POA39" i="1"/>
  <c r="PNL39" i="1"/>
  <c r="PMW39" i="1"/>
  <c r="PMY39" i="1" s="1"/>
  <c r="PMH39" i="1"/>
  <c r="PMJ39" i="1" s="1"/>
  <c r="PLS39" i="1"/>
  <c r="PLD39" i="1"/>
  <c r="PLE39" i="1" s="1"/>
  <c r="PKO39" i="1"/>
  <c r="PJZ39" i="1"/>
  <c r="PKA39" i="1" s="1"/>
  <c r="PJK39" i="1"/>
  <c r="PIV39" i="1"/>
  <c r="PIG39" i="1"/>
  <c r="PIH39" i="1" s="1"/>
  <c r="PHR39" i="1"/>
  <c r="PHC39" i="1"/>
  <c r="PGN39" i="1"/>
  <c r="PGO39" i="1" s="1"/>
  <c r="PFY39" i="1"/>
  <c r="PFJ39" i="1"/>
  <c r="PEU39" i="1"/>
  <c r="PEW39" i="1" s="1"/>
  <c r="PEF39" i="1"/>
  <c r="PDQ39" i="1"/>
  <c r="PDB39" i="1"/>
  <c r="PDC39" i="1" s="1"/>
  <c r="PCM39" i="1"/>
  <c r="PBX39" i="1"/>
  <c r="PBI39" i="1"/>
  <c r="PBJ39" i="1" s="1"/>
  <c r="PAT39" i="1"/>
  <c r="PAU39" i="1" s="1"/>
  <c r="PAE39" i="1"/>
  <c r="PAG39" i="1" s="1"/>
  <c r="OZP39" i="1"/>
  <c r="OZA39" i="1"/>
  <c r="OZC39" i="1" s="1"/>
  <c r="OYL39" i="1"/>
  <c r="OXW39" i="1"/>
  <c r="OXH39" i="1"/>
  <c r="OWS39" i="1"/>
  <c r="OWT39" i="1" s="1"/>
  <c r="OWD39" i="1"/>
  <c r="OWE39" i="1" s="1"/>
  <c r="OVO39" i="1"/>
  <c r="OUZ39" i="1"/>
  <c r="OUK39" i="1"/>
  <c r="OUM39" i="1" s="1"/>
  <c r="OTV39" i="1"/>
  <c r="OTX39" i="1" s="1"/>
  <c r="OTG39" i="1"/>
  <c r="OSR39" i="1"/>
  <c r="OSS39" i="1" s="1"/>
  <c r="OSC39" i="1"/>
  <c r="OSE39" i="1" s="1"/>
  <c r="ORN39" i="1"/>
  <c r="ORO39" i="1" s="1"/>
  <c r="OQY39" i="1"/>
  <c r="OQJ39" i="1"/>
  <c r="OPU39" i="1"/>
  <c r="OPF39" i="1"/>
  <c r="OOQ39" i="1"/>
  <c r="OOB39" i="1"/>
  <c r="OOC39" i="1" s="1"/>
  <c r="ONM39" i="1"/>
  <c r="OMX39" i="1"/>
  <c r="OMI39" i="1"/>
  <c r="OMK39" i="1" s="1"/>
  <c r="OLT39" i="1"/>
  <c r="OLE39" i="1"/>
  <c r="OLG39" i="1" s="1"/>
  <c r="OKP39" i="1"/>
  <c r="OKA39" i="1"/>
  <c r="OJL39" i="1"/>
  <c r="OIW39" i="1"/>
  <c r="OIY39" i="1" s="1"/>
  <c r="OIH39" i="1"/>
  <c r="OHS39" i="1"/>
  <c r="OHU39" i="1" s="1"/>
  <c r="OHD39" i="1"/>
  <c r="OGO39" i="1"/>
  <c r="OFZ39" i="1"/>
  <c r="OGA39" i="1" s="1"/>
  <c r="OFK39" i="1"/>
  <c r="OEV39" i="1"/>
  <c r="OEW39" i="1" s="1"/>
  <c r="OEG39" i="1"/>
  <c r="OEI39" i="1" s="1"/>
  <c r="ODR39" i="1"/>
  <c r="ODC39" i="1"/>
  <c r="OCN39" i="1"/>
  <c r="OCP39" i="1" s="1"/>
  <c r="OBY39" i="1"/>
  <c r="OCA39" i="1" s="1"/>
  <c r="OBJ39" i="1"/>
  <c r="OBK39" i="1" s="1"/>
  <c r="OAU39" i="1"/>
  <c r="OAV39" i="1" s="1"/>
  <c r="OAF39" i="1"/>
  <c r="OAH39" i="1" s="1"/>
  <c r="NZQ39" i="1"/>
  <c r="NZS39" i="1" s="1"/>
  <c r="NZB39" i="1"/>
  <c r="NYM39" i="1"/>
  <c r="NYO39" i="1" s="1"/>
  <c r="NXX39" i="1"/>
  <c r="NXZ39" i="1" s="1"/>
  <c r="NXI39" i="1"/>
  <c r="NXK39" i="1" s="1"/>
  <c r="NWT39" i="1"/>
  <c r="NWU39" i="1" s="1"/>
  <c r="NWE39" i="1"/>
  <c r="NWG39" i="1" s="1"/>
  <c r="NVP39" i="1"/>
  <c r="NVR39" i="1" s="1"/>
  <c r="NVA39" i="1"/>
  <c r="NVC39" i="1" s="1"/>
  <c r="NUL39" i="1"/>
  <c r="NTW39" i="1"/>
  <c r="NTH39" i="1"/>
  <c r="NTJ39" i="1" s="1"/>
  <c r="NSS39" i="1"/>
  <c r="NSU39" i="1" s="1"/>
  <c r="NSD39" i="1"/>
  <c r="NSE39" i="1" s="1"/>
  <c r="NRO39" i="1"/>
  <c r="NRP39" i="1" s="1"/>
  <c r="NQZ39" i="1"/>
  <c r="NRB39" i="1" s="1"/>
  <c r="NQK39" i="1"/>
  <c r="NQM39" i="1" s="1"/>
  <c r="NPV39" i="1"/>
  <c r="NPG39" i="1"/>
  <c r="NPI39" i="1" s="1"/>
  <c r="NOR39" i="1"/>
  <c r="NOT39" i="1" s="1"/>
  <c r="NOC39" i="1"/>
  <c r="NOE39" i="1" s="1"/>
  <c r="NNN39" i="1"/>
  <c r="NNO39" i="1" s="1"/>
  <c r="NMY39" i="1"/>
  <c r="NNA39" i="1" s="1"/>
  <c r="NMJ39" i="1"/>
  <c r="NML39" i="1" s="1"/>
  <c r="NLU39" i="1"/>
  <c r="NLW39" i="1" s="1"/>
  <c r="NLF39" i="1"/>
  <c r="NKQ39" i="1"/>
  <c r="NKB39" i="1"/>
  <c r="NKD39" i="1" s="1"/>
  <c r="NJM39" i="1"/>
  <c r="NJO39" i="1" s="1"/>
  <c r="NIX39" i="1"/>
  <c r="NIY39" i="1" s="1"/>
  <c r="NII39" i="1"/>
  <c r="NIJ39" i="1" s="1"/>
  <c r="NHT39" i="1"/>
  <c r="NHV39" i="1" s="1"/>
  <c r="NHE39" i="1"/>
  <c r="NHG39" i="1" s="1"/>
  <c r="NGP39" i="1"/>
  <c r="NGA39" i="1"/>
  <c r="NGC39" i="1" s="1"/>
  <c r="NFL39" i="1"/>
  <c r="NFN39" i="1" s="1"/>
  <c r="NEW39" i="1"/>
  <c r="NEY39" i="1" s="1"/>
  <c r="NEH39" i="1"/>
  <c r="NEI39" i="1" s="1"/>
  <c r="NDS39" i="1"/>
  <c r="NDU39" i="1" s="1"/>
  <c r="NDD39" i="1"/>
  <c r="NDF39" i="1" s="1"/>
  <c r="NCO39" i="1"/>
  <c r="NCQ39" i="1" s="1"/>
  <c r="NBZ39" i="1"/>
  <c r="NBK39" i="1"/>
  <c r="NAV39" i="1"/>
  <c r="NAX39" i="1" s="1"/>
  <c r="NAG39" i="1"/>
  <c r="NAI39" i="1" s="1"/>
  <c r="MZR39" i="1"/>
  <c r="MZS39" i="1" s="1"/>
  <c r="MZC39" i="1"/>
  <c r="MZD39" i="1" s="1"/>
  <c r="MYN39" i="1"/>
  <c r="MYP39" i="1" s="1"/>
  <c r="MXY39" i="1"/>
  <c r="MYA39" i="1" s="1"/>
  <c r="MXJ39" i="1"/>
  <c r="MWU39" i="1"/>
  <c r="MWW39" i="1" s="1"/>
  <c r="MWF39" i="1"/>
  <c r="MWH39" i="1" s="1"/>
  <c r="MVQ39" i="1"/>
  <c r="MVS39" i="1" s="1"/>
  <c r="MVB39" i="1"/>
  <c r="MVC39" i="1" s="1"/>
  <c r="MUM39" i="1"/>
  <c r="MUO39" i="1" s="1"/>
  <c r="MTX39" i="1"/>
  <c r="MTZ39" i="1" s="1"/>
  <c r="MTI39" i="1"/>
  <c r="MTK39" i="1" s="1"/>
  <c r="MST39" i="1"/>
  <c r="MSE39" i="1"/>
  <c r="MRP39" i="1"/>
  <c r="MRR39" i="1" s="1"/>
  <c r="MRA39" i="1"/>
  <c r="MRC39" i="1" s="1"/>
  <c r="MQL39" i="1"/>
  <c r="MQM39" i="1" s="1"/>
  <c r="MPW39" i="1"/>
  <c r="MPX39" i="1" s="1"/>
  <c r="MPH39" i="1"/>
  <c r="MPJ39" i="1" s="1"/>
  <c r="MOS39" i="1"/>
  <c r="MOU39" i="1" s="1"/>
  <c r="MOD39" i="1"/>
  <c r="MNO39" i="1"/>
  <c r="MNQ39" i="1" s="1"/>
  <c r="MMZ39" i="1"/>
  <c r="MNB39" i="1" s="1"/>
  <c r="MMK39" i="1"/>
  <c r="MMM39" i="1" s="1"/>
  <c r="MLV39" i="1"/>
  <c r="MLW39" i="1" s="1"/>
  <c r="MLG39" i="1"/>
  <c r="MLI39" i="1" s="1"/>
  <c r="MKR39" i="1"/>
  <c r="MKT39" i="1" s="1"/>
  <c r="MKC39" i="1"/>
  <c r="MKE39" i="1" s="1"/>
  <c r="MJN39" i="1"/>
  <c r="MIY39" i="1"/>
  <c r="MIJ39" i="1"/>
  <c r="MIL39" i="1" s="1"/>
  <c r="MHU39" i="1"/>
  <c r="MHW39" i="1" s="1"/>
  <c r="MHF39" i="1"/>
  <c r="MHG39" i="1" s="1"/>
  <c r="MGQ39" i="1"/>
  <c r="MGR39" i="1" s="1"/>
  <c r="MGB39" i="1"/>
  <c r="MGD39" i="1" s="1"/>
  <c r="MFM39" i="1"/>
  <c r="MFO39" i="1" s="1"/>
  <c r="MEX39" i="1"/>
  <c r="MEI39" i="1"/>
  <c r="MEK39" i="1" s="1"/>
  <c r="MDT39" i="1"/>
  <c r="MDV39" i="1" s="1"/>
  <c r="MDE39" i="1"/>
  <c r="MDG39" i="1" s="1"/>
  <c r="MCP39" i="1"/>
  <c r="MCQ39" i="1" s="1"/>
  <c r="MCA39" i="1"/>
  <c r="MCC39" i="1" s="1"/>
  <c r="MBL39" i="1"/>
  <c r="MBN39" i="1" s="1"/>
  <c r="MAW39" i="1"/>
  <c r="MAY39" i="1" s="1"/>
  <c r="MAH39" i="1"/>
  <c r="LZS39" i="1"/>
  <c r="LZD39" i="1"/>
  <c r="LZF39" i="1" s="1"/>
  <c r="LYO39" i="1"/>
  <c r="LYQ39" i="1" s="1"/>
  <c r="LXZ39" i="1"/>
  <c r="LYA39" i="1" s="1"/>
  <c r="LXK39" i="1"/>
  <c r="LXL39" i="1" s="1"/>
  <c r="LWV39" i="1"/>
  <c r="LWX39" i="1" s="1"/>
  <c r="LWG39" i="1"/>
  <c r="LWI39" i="1" s="1"/>
  <c r="LVR39" i="1"/>
  <c r="LVC39" i="1"/>
  <c r="LVE39" i="1" s="1"/>
  <c r="LUN39" i="1"/>
  <c r="LUP39" i="1" s="1"/>
  <c r="LTY39" i="1"/>
  <c r="LUA39" i="1" s="1"/>
  <c r="LTJ39" i="1"/>
  <c r="LTK39" i="1" s="1"/>
  <c r="LSU39" i="1"/>
  <c r="LSW39" i="1" s="1"/>
  <c r="LSF39" i="1"/>
  <c r="LSH39" i="1" s="1"/>
  <c r="LRQ39" i="1"/>
  <c r="LRS39" i="1" s="1"/>
  <c r="LRB39" i="1"/>
  <c r="LQM39" i="1"/>
  <c r="LPX39" i="1"/>
  <c r="LPZ39" i="1" s="1"/>
  <c r="LPI39" i="1"/>
  <c r="LPK39" i="1" s="1"/>
  <c r="LOT39" i="1"/>
  <c r="LOU39" i="1" s="1"/>
  <c r="LOE39" i="1"/>
  <c r="LOF39" i="1" s="1"/>
  <c r="LNP39" i="1"/>
  <c r="LNR39" i="1" s="1"/>
  <c r="LNA39" i="1"/>
  <c r="LNC39" i="1" s="1"/>
  <c r="LML39" i="1"/>
  <c r="LLW39" i="1"/>
  <c r="LLY39" i="1" s="1"/>
  <c r="LLH39" i="1"/>
  <c r="LLJ39" i="1" s="1"/>
  <c r="LKS39" i="1"/>
  <c r="LKU39" i="1" s="1"/>
  <c r="LKD39" i="1"/>
  <c r="LKE39" i="1" s="1"/>
  <c r="LJO39" i="1"/>
  <c r="LJQ39" i="1" s="1"/>
  <c r="LIZ39" i="1"/>
  <c r="LJB39" i="1" s="1"/>
  <c r="LIK39" i="1"/>
  <c r="LIM39" i="1" s="1"/>
  <c r="LHV39" i="1"/>
  <c r="LHG39" i="1"/>
  <c r="LGR39" i="1"/>
  <c r="LGT39" i="1" s="1"/>
  <c r="LGC39" i="1"/>
  <c r="LGE39" i="1" s="1"/>
  <c r="LFN39" i="1"/>
  <c r="LFO39" i="1" s="1"/>
  <c r="LEY39" i="1"/>
  <c r="LEZ39" i="1" s="1"/>
  <c r="LEJ39" i="1"/>
  <c r="LEL39" i="1" s="1"/>
  <c r="LDU39" i="1"/>
  <c r="LDW39" i="1" s="1"/>
  <c r="LDF39" i="1"/>
  <c r="LCQ39" i="1"/>
  <c r="LCS39" i="1" s="1"/>
  <c r="LCB39" i="1"/>
  <c r="LCD39" i="1" s="1"/>
  <c r="LBM39" i="1"/>
  <c r="LBO39" i="1" s="1"/>
  <c r="LAX39" i="1"/>
  <c r="LAY39" i="1" s="1"/>
  <c r="LAI39" i="1"/>
  <c r="LAK39" i="1" s="1"/>
  <c r="KZT39" i="1"/>
  <c r="KZV39" i="1" s="1"/>
  <c r="KZE39" i="1"/>
  <c r="KZG39" i="1" s="1"/>
  <c r="KYP39" i="1"/>
  <c r="KYA39" i="1"/>
  <c r="KXL39" i="1"/>
  <c r="KXN39" i="1" s="1"/>
  <c r="KWW39" i="1"/>
  <c r="KWY39" i="1" s="1"/>
  <c r="KWH39" i="1"/>
  <c r="KWI39" i="1" s="1"/>
  <c r="KVS39" i="1"/>
  <c r="KVT39" i="1" s="1"/>
  <c r="KVD39" i="1"/>
  <c r="KVF39" i="1" s="1"/>
  <c r="KUO39" i="1"/>
  <c r="KUQ39" i="1" s="1"/>
  <c r="KTZ39" i="1"/>
  <c r="KTK39" i="1"/>
  <c r="KTM39" i="1" s="1"/>
  <c r="KSV39" i="1"/>
  <c r="KSX39" i="1" s="1"/>
  <c r="KSG39" i="1"/>
  <c r="KSI39" i="1" s="1"/>
  <c r="KRR39" i="1"/>
  <c r="KRS39" i="1" s="1"/>
  <c r="KRC39" i="1"/>
  <c r="KRE39" i="1" s="1"/>
  <c r="KQN39" i="1"/>
  <c r="KQP39" i="1" s="1"/>
  <c r="KPY39" i="1"/>
  <c r="KQA39" i="1" s="1"/>
  <c r="KPJ39" i="1"/>
  <c r="KOU39" i="1"/>
  <c r="KOF39" i="1"/>
  <c r="KOH39" i="1" s="1"/>
  <c r="KNQ39" i="1"/>
  <c r="KNS39" i="1" s="1"/>
  <c r="KNB39" i="1"/>
  <c r="KNC39" i="1" s="1"/>
  <c r="KMM39" i="1"/>
  <c r="KMN39" i="1" s="1"/>
  <c r="KLX39" i="1"/>
  <c r="KLZ39" i="1" s="1"/>
  <c r="KLI39" i="1"/>
  <c r="KLK39" i="1" s="1"/>
  <c r="KKT39" i="1"/>
  <c r="KKE39" i="1"/>
  <c r="KKG39" i="1" s="1"/>
  <c r="KJP39" i="1"/>
  <c r="KJR39" i="1" s="1"/>
  <c r="KJA39" i="1"/>
  <c r="KJC39" i="1" s="1"/>
  <c r="KIL39" i="1"/>
  <c r="KIM39" i="1" s="1"/>
  <c r="KHW39" i="1"/>
  <c r="KHY39" i="1" s="1"/>
  <c r="KHH39" i="1"/>
  <c r="KGS39" i="1"/>
  <c r="KGU39" i="1" s="1"/>
  <c r="KGD39" i="1"/>
  <c r="KFO39" i="1"/>
  <c r="KFQ39" i="1" s="1"/>
  <c r="KEZ39" i="1"/>
  <c r="KFB39" i="1" s="1"/>
  <c r="KEK39" i="1"/>
  <c r="KDV39" i="1"/>
  <c r="KDW39" i="1" s="1"/>
  <c r="KDG39" i="1"/>
  <c r="KDH39" i="1" s="1"/>
  <c r="KCR39" i="1"/>
  <c r="KCT39" i="1" s="1"/>
  <c r="KCC39" i="1"/>
  <c r="KCE39" i="1" s="1"/>
  <c r="KBN39" i="1"/>
  <c r="KAY39" i="1"/>
  <c r="KAZ39" i="1" s="1"/>
  <c r="KAJ39" i="1"/>
  <c r="KAL39" i="1" s="1"/>
  <c r="JZU39" i="1"/>
  <c r="JZW39" i="1" s="1"/>
  <c r="JZF39" i="1"/>
  <c r="JZG39" i="1" s="1"/>
  <c r="JYQ39" i="1"/>
  <c r="JYS39" i="1" s="1"/>
  <c r="JYB39" i="1"/>
  <c r="JXM39" i="1"/>
  <c r="JXO39" i="1" s="1"/>
  <c r="JWX39" i="1"/>
  <c r="JWI39" i="1"/>
  <c r="JWK39" i="1" s="1"/>
  <c r="JVT39" i="1"/>
  <c r="JVV39" i="1" s="1"/>
  <c r="JVE39" i="1"/>
  <c r="JUP39" i="1"/>
  <c r="JUQ39" i="1" s="1"/>
  <c r="JUA39" i="1"/>
  <c r="JUB39" i="1" s="1"/>
  <c r="JTL39" i="1"/>
  <c r="JTN39" i="1" s="1"/>
  <c r="JSW39" i="1"/>
  <c r="JSY39" i="1" s="1"/>
  <c r="JSH39" i="1"/>
  <c r="JRS39" i="1"/>
  <c r="JRU39" i="1" s="1"/>
  <c r="JRD39" i="1"/>
  <c r="JRF39" i="1" s="1"/>
  <c r="JQO39" i="1"/>
  <c r="JQQ39" i="1" s="1"/>
  <c r="JPZ39" i="1"/>
  <c r="JQA39" i="1" s="1"/>
  <c r="JPK39" i="1"/>
  <c r="JPM39" i="1" s="1"/>
  <c r="JOV39" i="1"/>
  <c r="JOG39" i="1"/>
  <c r="JOI39" i="1" s="1"/>
  <c r="JNR39" i="1"/>
  <c r="JNC39" i="1"/>
  <c r="JNE39" i="1" s="1"/>
  <c r="JMN39" i="1"/>
  <c r="JMP39" i="1" s="1"/>
  <c r="JLY39" i="1"/>
  <c r="JLJ39" i="1"/>
  <c r="JLK39" i="1" s="1"/>
  <c r="JKU39" i="1"/>
  <c r="JKF39" i="1"/>
  <c r="JKH39" i="1" s="1"/>
  <c r="JJQ39" i="1"/>
  <c r="JJS39" i="1" s="1"/>
  <c r="JJB39" i="1"/>
  <c r="JIM39" i="1"/>
  <c r="JIN39" i="1" s="1"/>
  <c r="JHX39" i="1"/>
  <c r="JHZ39" i="1" s="1"/>
  <c r="JHI39" i="1"/>
  <c r="JHK39" i="1" s="1"/>
  <c r="JGT39" i="1"/>
  <c r="JGU39" i="1" s="1"/>
  <c r="JGE39" i="1"/>
  <c r="JGG39" i="1" s="1"/>
  <c r="JFP39" i="1"/>
  <c r="JFA39" i="1"/>
  <c r="JFC39" i="1" s="1"/>
  <c r="JEL39" i="1"/>
  <c r="JDW39" i="1"/>
  <c r="JDX39" i="1" s="1"/>
  <c r="JDH39" i="1"/>
  <c r="JDJ39" i="1" s="1"/>
  <c r="JCS39" i="1"/>
  <c r="JCD39" i="1"/>
  <c r="JCE39" i="1" s="1"/>
  <c r="JBO39" i="1"/>
  <c r="JAZ39" i="1"/>
  <c r="JBB39" i="1" s="1"/>
  <c r="JAK39" i="1"/>
  <c r="JAM39" i="1" s="1"/>
  <c r="IZV39" i="1"/>
  <c r="IZG39" i="1"/>
  <c r="IZH39" i="1" s="1"/>
  <c r="IYR39" i="1"/>
  <c r="IYT39" i="1" s="1"/>
  <c r="IYC39" i="1"/>
  <c r="IYE39" i="1" s="1"/>
  <c r="IXN39" i="1"/>
  <c r="IXO39" i="1" s="1"/>
  <c r="IWY39" i="1"/>
  <c r="IXA39" i="1" s="1"/>
  <c r="IWJ39" i="1"/>
  <c r="IVU39" i="1"/>
  <c r="IVW39" i="1" s="1"/>
  <c r="IVF39" i="1"/>
  <c r="IUQ39" i="1"/>
  <c r="IUS39" i="1" s="1"/>
  <c r="IUB39" i="1"/>
  <c r="IUD39" i="1" s="1"/>
  <c r="ITM39" i="1"/>
  <c r="ISX39" i="1"/>
  <c r="ISY39" i="1" s="1"/>
  <c r="ISI39" i="1"/>
  <c r="IRT39" i="1"/>
  <c r="IRV39" i="1" s="1"/>
  <c r="IRE39" i="1"/>
  <c r="IRG39" i="1" s="1"/>
  <c r="IQP39" i="1"/>
  <c r="IQA39" i="1"/>
  <c r="IQB39" i="1" s="1"/>
  <c r="IPL39" i="1"/>
  <c r="IPN39" i="1" s="1"/>
  <c r="IOW39" i="1"/>
  <c r="IOY39" i="1" s="1"/>
  <c r="IOH39" i="1"/>
  <c r="IOI39" i="1" s="1"/>
  <c r="INS39" i="1"/>
  <c r="INU39" i="1" s="1"/>
  <c r="IND39" i="1"/>
  <c r="IMO39" i="1"/>
  <c r="IMQ39" i="1" s="1"/>
  <c r="ILZ39" i="1"/>
  <c r="ILK39" i="1"/>
  <c r="ILM39" i="1" s="1"/>
  <c r="IKV39" i="1"/>
  <c r="IKX39" i="1" s="1"/>
  <c r="IKG39" i="1"/>
  <c r="IJR39" i="1"/>
  <c r="IJS39" i="1" s="1"/>
  <c r="IJC39" i="1"/>
  <c r="IIN39" i="1"/>
  <c r="IIP39" i="1" s="1"/>
  <c r="IHY39" i="1"/>
  <c r="IIA39" i="1" s="1"/>
  <c r="IHJ39" i="1"/>
  <c r="IGU39" i="1"/>
  <c r="IGV39" i="1" s="1"/>
  <c r="IGF39" i="1"/>
  <c r="IGH39" i="1" s="1"/>
  <c r="IFQ39" i="1"/>
  <c r="IFS39" i="1" s="1"/>
  <c r="IFB39" i="1"/>
  <c r="IFC39" i="1" s="1"/>
  <c r="IEM39" i="1"/>
  <c r="IEO39" i="1" s="1"/>
  <c r="IDX39" i="1"/>
  <c r="IDI39" i="1"/>
  <c r="IDK39" i="1" s="1"/>
  <c r="ICT39" i="1"/>
  <c r="ICE39" i="1"/>
  <c r="ICG39" i="1" s="1"/>
  <c r="IBP39" i="1"/>
  <c r="IBR39" i="1" s="1"/>
  <c r="IBA39" i="1"/>
  <c r="IAL39" i="1"/>
  <c r="IAM39" i="1" s="1"/>
  <c r="HZW39" i="1"/>
  <c r="HZH39" i="1"/>
  <c r="HZJ39" i="1" s="1"/>
  <c r="HYS39" i="1"/>
  <c r="HYU39" i="1" s="1"/>
  <c r="HYD39" i="1"/>
  <c r="HXO39" i="1"/>
  <c r="HXP39" i="1" s="1"/>
  <c r="HWZ39" i="1"/>
  <c r="HXB39" i="1" s="1"/>
  <c r="HWK39" i="1"/>
  <c r="HWM39" i="1" s="1"/>
  <c r="HVV39" i="1"/>
  <c r="HVW39" i="1" s="1"/>
  <c r="HVG39" i="1"/>
  <c r="HVI39" i="1" s="1"/>
  <c r="HUR39" i="1"/>
  <c r="HUC39" i="1"/>
  <c r="HUE39" i="1" s="1"/>
  <c r="HTN39" i="1"/>
  <c r="HSY39" i="1"/>
  <c r="HTA39" i="1" s="1"/>
  <c r="HSJ39" i="1"/>
  <c r="HSL39" i="1" s="1"/>
  <c r="HRU39" i="1"/>
  <c r="HRF39" i="1"/>
  <c r="HRG39" i="1" s="1"/>
  <c r="HQQ39" i="1"/>
  <c r="HQB39" i="1"/>
  <c r="HQD39" i="1" s="1"/>
  <c r="HPM39" i="1"/>
  <c r="HPO39" i="1" s="1"/>
  <c r="HOX39" i="1"/>
  <c r="HOI39" i="1"/>
  <c r="HOK39" i="1" s="1"/>
  <c r="HNT39" i="1"/>
  <c r="HNV39" i="1" s="1"/>
  <c r="HNE39" i="1"/>
  <c r="HNG39" i="1" s="1"/>
  <c r="HMP39" i="1"/>
  <c r="HMQ39" i="1" s="1"/>
  <c r="HMA39" i="1"/>
  <c r="HMC39" i="1" s="1"/>
  <c r="HLL39" i="1"/>
  <c r="HKW39" i="1"/>
  <c r="HKY39" i="1" s="1"/>
  <c r="HKH39" i="1"/>
  <c r="HJS39" i="1"/>
  <c r="HJU39" i="1" s="1"/>
  <c r="HJD39" i="1"/>
  <c r="HJF39" i="1" s="1"/>
  <c r="HIO39" i="1"/>
  <c r="HHZ39" i="1"/>
  <c r="HIA39" i="1" s="1"/>
  <c r="HHK39" i="1"/>
  <c r="HGV39" i="1"/>
  <c r="HGX39" i="1" s="1"/>
  <c r="HGG39" i="1"/>
  <c r="HGI39" i="1" s="1"/>
  <c r="HFR39" i="1"/>
  <c r="HFC39" i="1"/>
  <c r="HFE39" i="1" s="1"/>
  <c r="HEN39" i="1"/>
  <c r="HEP39" i="1" s="1"/>
  <c r="HDY39" i="1"/>
  <c r="HEA39" i="1" s="1"/>
  <c r="HDJ39" i="1"/>
  <c r="HDK39" i="1" s="1"/>
  <c r="HCU39" i="1"/>
  <c r="HCW39" i="1" s="1"/>
  <c r="HCF39" i="1"/>
  <c r="HBQ39" i="1"/>
  <c r="HBS39" i="1" s="1"/>
  <c r="HBB39" i="1"/>
  <c r="HAM39" i="1"/>
  <c r="HAO39" i="1" s="1"/>
  <c r="GZX39" i="1"/>
  <c r="GZZ39" i="1" s="1"/>
  <c r="GZI39" i="1"/>
  <c r="GYT39" i="1"/>
  <c r="GYU39" i="1" s="1"/>
  <c r="GYE39" i="1"/>
  <c r="GXP39" i="1"/>
  <c r="GXR39" i="1" s="1"/>
  <c r="GXA39" i="1"/>
  <c r="GXC39" i="1" s="1"/>
  <c r="GWL39" i="1"/>
  <c r="GVW39" i="1"/>
  <c r="GVX39" i="1" s="1"/>
  <c r="GVH39" i="1"/>
  <c r="GVJ39" i="1" s="1"/>
  <c r="GUS39" i="1"/>
  <c r="GUU39" i="1" s="1"/>
  <c r="GUD39" i="1"/>
  <c r="GUE39" i="1" s="1"/>
  <c r="GTO39" i="1"/>
  <c r="GTQ39" i="1" s="1"/>
  <c r="GSZ39" i="1"/>
  <c r="GSK39" i="1"/>
  <c r="GSM39" i="1" s="1"/>
  <c r="GRV39" i="1"/>
  <c r="GRG39" i="1"/>
  <c r="GRI39" i="1" s="1"/>
  <c r="GQR39" i="1"/>
  <c r="GQT39" i="1" s="1"/>
  <c r="GQC39" i="1"/>
  <c r="GPN39" i="1"/>
  <c r="GPO39" i="1" s="1"/>
  <c r="GOY39" i="1"/>
  <c r="GOJ39" i="1"/>
  <c r="GOL39" i="1" s="1"/>
  <c r="GNU39" i="1"/>
  <c r="GNW39" i="1" s="1"/>
  <c r="GNF39" i="1"/>
  <c r="GMQ39" i="1"/>
  <c r="GMS39" i="1" s="1"/>
  <c r="GMB39" i="1"/>
  <c r="GMD39" i="1" s="1"/>
  <c r="GLM39" i="1"/>
  <c r="GLO39" i="1" s="1"/>
  <c r="GKX39" i="1"/>
  <c r="GKY39" i="1" s="1"/>
  <c r="GKI39" i="1"/>
  <c r="GKK39" i="1" s="1"/>
  <c r="GJT39" i="1"/>
  <c r="GJE39" i="1"/>
  <c r="GJG39" i="1" s="1"/>
  <c r="GIP39" i="1"/>
  <c r="GIA39" i="1"/>
  <c r="GIC39" i="1" s="1"/>
  <c r="GHL39" i="1"/>
  <c r="GHN39" i="1" s="1"/>
  <c r="GGW39" i="1"/>
  <c r="GGH39" i="1"/>
  <c r="GGI39" i="1" s="1"/>
  <c r="GFS39" i="1"/>
  <c r="GFD39" i="1"/>
  <c r="GFF39" i="1" s="1"/>
  <c r="GEO39" i="1"/>
  <c r="GEQ39" i="1" s="1"/>
  <c r="GDZ39" i="1"/>
  <c r="GDK39" i="1"/>
  <c r="GDM39" i="1" s="1"/>
  <c r="GCV39" i="1"/>
  <c r="GCX39" i="1" s="1"/>
  <c r="GCG39" i="1"/>
  <c r="GCI39" i="1" s="1"/>
  <c r="GBR39" i="1"/>
  <c r="GBS39" i="1" s="1"/>
  <c r="GBC39" i="1"/>
  <c r="GBE39" i="1" s="1"/>
  <c r="GAN39" i="1"/>
  <c r="FZY39" i="1"/>
  <c r="GAA39" i="1" s="1"/>
  <c r="FZJ39" i="1"/>
  <c r="FYU39" i="1"/>
  <c r="FYW39" i="1" s="1"/>
  <c r="FYF39" i="1"/>
  <c r="FYH39" i="1" s="1"/>
  <c r="FXQ39" i="1"/>
  <c r="FXB39" i="1"/>
  <c r="FXC39" i="1" s="1"/>
  <c r="FWM39" i="1"/>
  <c r="FVX39" i="1"/>
  <c r="FVZ39" i="1" s="1"/>
  <c r="FVI39" i="1"/>
  <c r="FVK39" i="1" s="1"/>
  <c r="FUT39" i="1"/>
  <c r="FUE39" i="1"/>
  <c r="FUG39" i="1" s="1"/>
  <c r="FTP39" i="1"/>
  <c r="FTR39" i="1" s="1"/>
  <c r="FTA39" i="1"/>
  <c r="FTC39" i="1" s="1"/>
  <c r="FSL39" i="1"/>
  <c r="FSM39" i="1" s="1"/>
  <c r="FRW39" i="1"/>
  <c r="FRY39" i="1" s="1"/>
  <c r="FRH39" i="1"/>
  <c r="FQS39" i="1"/>
  <c r="FQU39" i="1" s="1"/>
  <c r="FQD39" i="1"/>
  <c r="FPO39" i="1"/>
  <c r="FPQ39" i="1" s="1"/>
  <c r="FOZ39" i="1"/>
  <c r="FPB39" i="1" s="1"/>
  <c r="FOK39" i="1"/>
  <c r="FNV39" i="1"/>
  <c r="FNW39" i="1" s="1"/>
  <c r="FNG39" i="1"/>
  <c r="FMR39" i="1"/>
  <c r="FMT39" i="1" s="1"/>
  <c r="FMC39" i="1"/>
  <c r="FME39" i="1" s="1"/>
  <c r="FLN39" i="1"/>
  <c r="FKY39" i="1"/>
  <c r="FKZ39" i="1" s="1"/>
  <c r="FKJ39" i="1"/>
  <c r="FKL39" i="1" s="1"/>
  <c r="FJU39" i="1"/>
  <c r="FJW39" i="1" s="1"/>
  <c r="FJF39" i="1"/>
  <c r="FJG39" i="1" s="1"/>
  <c r="FIQ39" i="1"/>
  <c r="FIS39" i="1" s="1"/>
  <c r="FIB39" i="1"/>
  <c r="FHM39" i="1"/>
  <c r="FHO39" i="1" s="1"/>
  <c r="FGX39" i="1"/>
  <c r="FGI39" i="1"/>
  <c r="FGK39" i="1" s="1"/>
  <c r="FFT39" i="1"/>
  <c r="FFV39" i="1" s="1"/>
  <c r="FFE39" i="1"/>
  <c r="FEP39" i="1"/>
  <c r="FEQ39" i="1" s="1"/>
  <c r="FEA39" i="1"/>
  <c r="FDL39" i="1"/>
  <c r="FDN39" i="1" s="1"/>
  <c r="FCW39" i="1"/>
  <c r="FCY39" i="1" s="1"/>
  <c r="FCH39" i="1"/>
  <c r="FBS39" i="1"/>
  <c r="FBU39" i="1" s="1"/>
  <c r="FBD39" i="1"/>
  <c r="FBF39" i="1" s="1"/>
  <c r="FAO39" i="1"/>
  <c r="FAQ39" i="1" s="1"/>
  <c r="EZZ39" i="1"/>
  <c r="FAA39" i="1" s="1"/>
  <c r="EZK39" i="1"/>
  <c r="EZM39" i="1" s="1"/>
  <c r="EYV39" i="1"/>
  <c r="EYG39" i="1"/>
  <c r="EYI39" i="1" s="1"/>
  <c r="EXR39" i="1"/>
  <c r="EXC39" i="1"/>
  <c r="EXE39" i="1" s="1"/>
  <c r="EWN39" i="1"/>
  <c r="EWP39" i="1" s="1"/>
  <c r="EVY39" i="1"/>
  <c r="EVJ39" i="1"/>
  <c r="EVK39" i="1" s="1"/>
  <c r="EUU39" i="1"/>
  <c r="EUF39" i="1"/>
  <c r="EUH39" i="1" s="1"/>
  <c r="ETQ39" i="1"/>
  <c r="ETS39" i="1" s="1"/>
  <c r="ETB39" i="1"/>
  <c r="ESM39" i="1"/>
  <c r="ESO39" i="1" s="1"/>
  <c r="ERX39" i="1"/>
  <c r="ERZ39" i="1" s="1"/>
  <c r="ERI39" i="1"/>
  <c r="ERK39" i="1" s="1"/>
  <c r="EQT39" i="1"/>
  <c r="EQU39" i="1" s="1"/>
  <c r="EQE39" i="1"/>
  <c r="EQG39" i="1" s="1"/>
  <c r="EPP39" i="1"/>
  <c r="EPA39" i="1"/>
  <c r="EPC39" i="1" s="1"/>
  <c r="EOL39" i="1"/>
  <c r="ENW39" i="1"/>
  <c r="ENY39" i="1" s="1"/>
  <c r="ENH39" i="1"/>
  <c r="ENJ39" i="1" s="1"/>
  <c r="EMS39" i="1"/>
  <c r="EMD39" i="1"/>
  <c r="EME39" i="1" s="1"/>
  <c r="ELO39" i="1"/>
  <c r="EKZ39" i="1"/>
  <c r="ELB39" i="1" s="1"/>
  <c r="EKK39" i="1"/>
  <c r="EKM39" i="1" s="1"/>
  <c r="EJV39" i="1"/>
  <c r="EJG39" i="1"/>
  <c r="EJI39" i="1" s="1"/>
  <c r="EIR39" i="1"/>
  <c r="EIT39" i="1" s="1"/>
  <c r="EIC39" i="1"/>
  <c r="EIE39" i="1" s="1"/>
  <c r="EHN39" i="1"/>
  <c r="EHO39" i="1" s="1"/>
  <c r="EGY39" i="1"/>
  <c r="EHA39" i="1" s="1"/>
  <c r="EGJ39" i="1"/>
  <c r="EFU39" i="1"/>
  <c r="EFW39" i="1" s="1"/>
  <c r="EFF39" i="1"/>
  <c r="EEQ39" i="1"/>
  <c r="EES39" i="1" s="1"/>
  <c r="EEB39" i="1"/>
  <c r="EED39" i="1" s="1"/>
  <c r="EDM39" i="1"/>
  <c r="ECX39" i="1"/>
  <c r="ECI39" i="1"/>
  <c r="ECK39" i="1" s="1"/>
  <c r="EBT39" i="1"/>
  <c r="EBE39" i="1"/>
  <c r="EBG39" i="1" s="1"/>
  <c r="EAP39" i="1"/>
  <c r="EAA39" i="1"/>
  <c r="EAC39" i="1" s="1"/>
  <c r="DZL39" i="1"/>
  <c r="DZM39" i="1" s="1"/>
  <c r="DYW39" i="1"/>
  <c r="DYX39" i="1" s="1"/>
  <c r="DYH39" i="1"/>
  <c r="DXS39" i="1"/>
  <c r="DXU39" i="1" s="1"/>
  <c r="DXD39" i="1"/>
  <c r="DWO39" i="1"/>
  <c r="DVZ39" i="1"/>
  <c r="DVK39" i="1"/>
  <c r="DVM39" i="1" s="1"/>
  <c r="DUV39" i="1"/>
  <c r="DUG39" i="1"/>
  <c r="DUH39" i="1" s="1"/>
  <c r="DTR39" i="1"/>
  <c r="DTC39" i="1"/>
  <c r="DTE39" i="1" s="1"/>
  <c r="DSN39" i="1"/>
  <c r="DSO39" i="1" s="1"/>
  <c r="DRY39" i="1"/>
  <c r="DRJ39" i="1"/>
  <c r="DQU39" i="1"/>
  <c r="DQW39" i="1" s="1"/>
  <c r="DQF39" i="1"/>
  <c r="DPQ39" i="1"/>
  <c r="DPR39" i="1" s="1"/>
  <c r="DPB39" i="1"/>
  <c r="DOM39" i="1"/>
  <c r="DOO39" i="1" s="1"/>
  <c r="DNX39" i="1"/>
  <c r="DNI39" i="1"/>
  <c r="DMT39" i="1"/>
  <c r="DME39" i="1"/>
  <c r="DMG39" i="1" s="1"/>
  <c r="DLP39" i="1"/>
  <c r="DLA39" i="1"/>
  <c r="DLC39" i="1" s="1"/>
  <c r="DKL39" i="1"/>
  <c r="DJW39" i="1"/>
  <c r="DJY39" i="1" s="1"/>
  <c r="DJH39" i="1"/>
  <c r="DJI39" i="1" s="1"/>
  <c r="DIS39" i="1"/>
  <c r="DIU39" i="1" s="1"/>
  <c r="DID39" i="1"/>
  <c r="DHO39" i="1"/>
  <c r="DHQ39" i="1" s="1"/>
  <c r="DGZ39" i="1"/>
  <c r="DHA39" i="1" s="1"/>
  <c r="DGK39" i="1"/>
  <c r="DGL39" i="1" s="1"/>
  <c r="DFV39" i="1"/>
  <c r="DFG39" i="1"/>
  <c r="DFI39" i="1" s="1"/>
  <c r="DER39" i="1"/>
  <c r="DEC39" i="1"/>
  <c r="DEE39" i="1" s="1"/>
  <c r="DDN39" i="1"/>
  <c r="DCY39" i="1"/>
  <c r="DDA39" i="1" s="1"/>
  <c r="DCJ39" i="1"/>
  <c r="DCK39" i="1" s="1"/>
  <c r="DBU39" i="1"/>
  <c r="DBF39" i="1"/>
  <c r="DAQ39" i="1"/>
  <c r="DAS39" i="1" s="1"/>
  <c r="DAB39" i="1"/>
  <c r="CZM39" i="1"/>
  <c r="CZO39" i="1" s="1"/>
  <c r="CYX39" i="1"/>
  <c r="CYI39" i="1"/>
  <c r="CYK39" i="1" s="1"/>
  <c r="CXT39" i="1"/>
  <c r="CXU39" i="1" s="1"/>
  <c r="CXE39" i="1"/>
  <c r="CWP39" i="1"/>
  <c r="CWA39" i="1"/>
  <c r="CWC39" i="1" s="1"/>
  <c r="CVL39" i="1"/>
  <c r="CUW39" i="1"/>
  <c r="CUH39" i="1"/>
  <c r="CTS39" i="1"/>
  <c r="CTU39" i="1" s="1"/>
  <c r="CTD39" i="1"/>
  <c r="CSO39" i="1"/>
  <c r="CSP39" i="1" s="1"/>
  <c r="CRZ39" i="1"/>
  <c r="CRK39" i="1"/>
  <c r="CRM39" i="1" s="1"/>
  <c r="CQV39" i="1"/>
  <c r="CQW39" i="1" s="1"/>
  <c r="CQG39" i="1"/>
  <c r="CQI39" i="1" s="1"/>
  <c r="CPR39" i="1"/>
  <c r="CPC39" i="1"/>
  <c r="CPE39" i="1" s="1"/>
  <c r="CON39" i="1"/>
  <c r="COO39" i="1" s="1"/>
  <c r="CNY39" i="1"/>
  <c r="CNZ39" i="1" s="1"/>
  <c r="CNJ39" i="1"/>
  <c r="CMU39" i="1"/>
  <c r="CMW39" i="1" s="1"/>
  <c r="CMF39" i="1"/>
  <c r="CLQ39" i="1"/>
  <c r="CLR39" i="1" s="1"/>
  <c r="CLB39" i="1"/>
  <c r="CKM39" i="1"/>
  <c r="CKO39" i="1" s="1"/>
  <c r="CJX39" i="1"/>
  <c r="CJY39" i="1" s="1"/>
  <c r="CJI39" i="1"/>
  <c r="CJJ39" i="1" s="1"/>
  <c r="CIT39" i="1"/>
  <c r="CIE39" i="1"/>
  <c r="CIG39" i="1" s="1"/>
  <c r="CHP39" i="1"/>
  <c r="CHQ39" i="1" s="1"/>
  <c r="CHA39" i="1"/>
  <c r="CGL39" i="1"/>
  <c r="CFW39" i="1"/>
  <c r="CFY39" i="1" s="1"/>
  <c r="CFH39" i="1"/>
  <c r="CES39" i="1"/>
  <c r="CET39" i="1" s="1"/>
  <c r="CED39" i="1"/>
  <c r="CDO39" i="1"/>
  <c r="CDQ39" i="1" s="1"/>
  <c r="CCZ39" i="1"/>
  <c r="CCK39" i="1"/>
  <c r="CCL39" i="1" s="1"/>
  <c r="CBV39" i="1"/>
  <c r="CBG39" i="1"/>
  <c r="CBI39" i="1" s="1"/>
  <c r="CAR39" i="1"/>
  <c r="CAS39" i="1" s="1"/>
  <c r="CAC39" i="1"/>
  <c r="CAE39" i="1" s="1"/>
  <c r="BZN39" i="1"/>
  <c r="BYY39" i="1"/>
  <c r="BZA39" i="1" s="1"/>
  <c r="BYJ39" i="1"/>
  <c r="BYK39" i="1" s="1"/>
  <c r="BXU39" i="1"/>
  <c r="BXW39" i="1" s="1"/>
  <c r="BXF39" i="1"/>
  <c r="BWQ39" i="1"/>
  <c r="BWS39" i="1" s="1"/>
  <c r="BWB39" i="1"/>
  <c r="BWC39" i="1" s="1"/>
  <c r="BVM39" i="1"/>
  <c r="BVN39" i="1" s="1"/>
  <c r="BUX39" i="1"/>
  <c r="BUI39" i="1"/>
  <c r="BUK39" i="1" s="1"/>
  <c r="BTT39" i="1"/>
  <c r="BTE39" i="1"/>
  <c r="BSP39" i="1"/>
  <c r="BSA39" i="1"/>
  <c r="BSC39" i="1" s="1"/>
  <c r="BRL39" i="1"/>
  <c r="BQW39" i="1"/>
  <c r="BQH39" i="1"/>
  <c r="BPS39" i="1"/>
  <c r="BPU39" i="1" s="1"/>
  <c r="BPD39" i="1"/>
  <c r="BOO39" i="1"/>
  <c r="BOQ39" i="1" s="1"/>
  <c r="BNZ39" i="1"/>
  <c r="BNK39" i="1"/>
  <c r="BNM39" i="1" s="1"/>
  <c r="BMV39" i="1"/>
  <c r="BMW39" i="1" s="1"/>
  <c r="BMG39" i="1"/>
  <c r="BLR39" i="1"/>
  <c r="BLC39" i="1"/>
  <c r="BLE39" i="1" s="1"/>
  <c r="BKN39" i="1"/>
  <c r="BJY39" i="1"/>
  <c r="BJZ39" i="1" s="1"/>
  <c r="BJJ39" i="1"/>
  <c r="BIU39" i="1"/>
  <c r="BIW39" i="1" s="1"/>
  <c r="BIF39" i="1"/>
  <c r="BIG39" i="1" s="1"/>
  <c r="BHQ39" i="1"/>
  <c r="BHS39" i="1" s="1"/>
  <c r="BHB39" i="1"/>
  <c r="BGM39" i="1"/>
  <c r="BGO39" i="1" s="1"/>
  <c r="BFX39" i="1"/>
  <c r="BFY39" i="1" s="1"/>
  <c r="BFI39" i="1"/>
  <c r="BFK39" i="1" s="1"/>
  <c r="BET39" i="1"/>
  <c r="BEE39" i="1"/>
  <c r="BEG39" i="1" s="1"/>
  <c r="BDP39" i="1"/>
  <c r="BDQ39" i="1" s="1"/>
  <c r="BDA39" i="1"/>
  <c r="BCL39" i="1"/>
  <c r="BBW39" i="1"/>
  <c r="BBY39" i="1" s="1"/>
  <c r="BBH39" i="1"/>
  <c r="BAS39" i="1"/>
  <c r="BAU39" i="1" s="1"/>
  <c r="BAD39" i="1"/>
  <c r="AZO39" i="1"/>
  <c r="AZQ39" i="1" s="1"/>
  <c r="AYZ39" i="1"/>
  <c r="AZA39" i="1" s="1"/>
  <c r="AYK39" i="1"/>
  <c r="AXV39" i="1"/>
  <c r="AXG39" i="1"/>
  <c r="AXI39" i="1" s="1"/>
  <c r="AWR39" i="1"/>
  <c r="AWS39" i="1" s="1"/>
  <c r="AWC39" i="1"/>
  <c r="AVN39" i="1"/>
  <c r="AUY39" i="1"/>
  <c r="AVA39" i="1" s="1"/>
  <c r="AUJ39" i="1"/>
  <c r="ATU39" i="1"/>
  <c r="ATV39" i="1" s="1"/>
  <c r="ATF39" i="1"/>
  <c r="ASQ39" i="1"/>
  <c r="ASS39" i="1" s="1"/>
  <c r="ASB39" i="1"/>
  <c r="ARM39" i="1"/>
  <c r="ARO39" i="1" s="1"/>
  <c r="AQX39" i="1"/>
  <c r="AQI39" i="1"/>
  <c r="AQK39" i="1" s="1"/>
  <c r="APT39" i="1"/>
  <c r="APU39" i="1" s="1"/>
  <c r="APE39" i="1"/>
  <c r="APG39" i="1" s="1"/>
  <c r="AOP39" i="1"/>
  <c r="AOA39" i="1"/>
  <c r="AOC39" i="1" s="1"/>
  <c r="ANL39" i="1"/>
  <c r="ANM39" i="1" s="1"/>
  <c r="AMW39" i="1"/>
  <c r="AMH39" i="1"/>
  <c r="ALS39" i="1"/>
  <c r="ALU39" i="1" s="1"/>
  <c r="ALD39" i="1"/>
  <c r="AKO39" i="1"/>
  <c r="AKP39" i="1" s="1"/>
  <c r="AJZ39" i="1"/>
  <c r="AJK39" i="1"/>
  <c r="AJM39" i="1" s="1"/>
  <c r="AIV39" i="1"/>
  <c r="AIG39" i="1"/>
  <c r="AIH39" i="1" s="1"/>
  <c r="AHR39" i="1"/>
  <c r="AHC39" i="1"/>
  <c r="AHE39" i="1" s="1"/>
  <c r="AGN39" i="1"/>
  <c r="AGO39" i="1" s="1"/>
  <c r="AFY39" i="1"/>
  <c r="AFJ39" i="1"/>
  <c r="AEU39" i="1"/>
  <c r="AEW39" i="1" s="1"/>
  <c r="AEF39" i="1"/>
  <c r="ADQ39" i="1"/>
  <c r="ADS39" i="1" s="1"/>
  <c r="ADB39" i="1"/>
  <c r="ACM39" i="1"/>
  <c r="ACO39" i="1" s="1"/>
  <c r="ABX39" i="1"/>
  <c r="ABY39" i="1" s="1"/>
  <c r="ABI39" i="1"/>
  <c r="AAT39" i="1"/>
  <c r="AAE39" i="1"/>
  <c r="AAG39" i="1" s="1"/>
  <c r="ZP39" i="1"/>
  <c r="ZA39" i="1"/>
  <c r="ZC39" i="1" s="1"/>
  <c r="YL39" i="1"/>
  <c r="XW39" i="1"/>
  <c r="XY39" i="1" s="1"/>
  <c r="XH39" i="1"/>
  <c r="XI39" i="1" s="1"/>
  <c r="WS39" i="1"/>
  <c r="WU39" i="1" s="1"/>
  <c r="WD39" i="1"/>
  <c r="VO39" i="1"/>
  <c r="VQ39" i="1" s="1"/>
  <c r="UZ39" i="1"/>
  <c r="VA39" i="1" s="1"/>
  <c r="UK39" i="1"/>
  <c r="UM39" i="1" s="1"/>
  <c r="TV39" i="1"/>
  <c r="TG39" i="1"/>
  <c r="TI39" i="1" s="1"/>
  <c r="SR39" i="1"/>
  <c r="SS39" i="1" s="1"/>
  <c r="SC39" i="1"/>
  <c r="SD39" i="1" s="1"/>
  <c r="RN39" i="1"/>
  <c r="QY39" i="1"/>
  <c r="RA39" i="1" s="1"/>
  <c r="QJ39" i="1"/>
  <c r="PU39" i="1"/>
  <c r="PW39" i="1" s="1"/>
  <c r="PF39" i="1"/>
  <c r="OQ39" i="1"/>
  <c r="OS39" i="1" s="1"/>
  <c r="OB39" i="1"/>
  <c r="OC39" i="1" s="1"/>
  <c r="NM39" i="1"/>
  <c r="NN39" i="1" s="1"/>
  <c r="MX39" i="1"/>
  <c r="MI39" i="1"/>
  <c r="MK39" i="1" s="1"/>
  <c r="LT39" i="1"/>
  <c r="LU39" i="1" s="1"/>
  <c r="LE39" i="1"/>
  <c r="KP39" i="1"/>
  <c r="KA39" i="1"/>
  <c r="KC39" i="1" s="1"/>
  <c r="JL39" i="1"/>
  <c r="JM39" i="1" s="1"/>
  <c r="IW39" i="1"/>
  <c r="IX39" i="1" s="1"/>
  <c r="IH39" i="1"/>
  <c r="HS39" i="1"/>
  <c r="HU39" i="1" s="1"/>
  <c r="HD39" i="1"/>
  <c r="GO39" i="1"/>
  <c r="GQ39" i="1" s="1"/>
  <c r="FZ39" i="1"/>
  <c r="FK39" i="1"/>
  <c r="FM39" i="1" s="1"/>
  <c r="EV39" i="1"/>
  <c r="EW39" i="1" s="1"/>
  <c r="EG39" i="1"/>
  <c r="DR39" i="1"/>
  <c r="DC39" i="1"/>
  <c r="DE39" i="1" s="1"/>
  <c r="CN39" i="1"/>
  <c r="BY39" i="1"/>
  <c r="BJ39" i="1"/>
  <c r="AU39" i="1"/>
  <c r="AW39" i="1" s="1"/>
  <c r="AF39" i="1"/>
  <c r="Q39" i="1"/>
  <c r="Q40" i="1"/>
  <c r="S40" i="1" s="1"/>
  <c r="Q17" i="1"/>
  <c r="S17" i="1" s="1"/>
  <c r="Q16" i="1"/>
  <c r="R16" i="1" s="1"/>
  <c r="Q15" i="1"/>
  <c r="R15" i="1" s="1"/>
  <c r="Q14" i="1"/>
  <c r="S14" i="1" s="1"/>
  <c r="Q20" i="1"/>
  <c r="R20" i="1" s="1"/>
  <c r="Q33" i="1"/>
  <c r="R33" i="1" s="1"/>
  <c r="HJT39" i="1" l="1"/>
  <c r="NRQ39" i="1"/>
  <c r="BFZ39" i="1"/>
  <c r="BHR39" i="1"/>
  <c r="IUR39" i="1"/>
  <c r="VAP39" i="1"/>
  <c r="ZB39" i="1"/>
  <c r="ENX39" i="1"/>
  <c r="XJ39" i="1"/>
  <c r="CSQ39" i="1"/>
  <c r="FYV39" i="1"/>
  <c r="KBA39" i="1"/>
  <c r="ROA39" i="1"/>
  <c r="FBT39" i="1"/>
  <c r="GMR39" i="1"/>
  <c r="KVU39" i="1"/>
  <c r="PRN39" i="1"/>
  <c r="TDN39" i="1"/>
  <c r="AII39" i="1"/>
  <c r="CCM39" i="1"/>
  <c r="HXQ39" i="1"/>
  <c r="JDY39" i="1"/>
  <c r="LVD39" i="1"/>
  <c r="QJZ39" i="1"/>
  <c r="DHB39" i="1"/>
  <c r="DIT39" i="1"/>
  <c r="VZZ39" i="1"/>
  <c r="FLA39" i="1"/>
  <c r="GVY39" i="1"/>
  <c r="IGW39" i="1"/>
  <c r="MPY39" i="1"/>
  <c r="OZB39" i="1"/>
  <c r="PDD39" i="1"/>
  <c r="AZB39" i="1"/>
  <c r="BAT39" i="1"/>
  <c r="CJK39" i="1"/>
  <c r="EER39" i="1"/>
  <c r="JIO39" i="1"/>
  <c r="LXM39" i="1"/>
  <c r="MZE39" i="1"/>
  <c r="NYN39" i="1"/>
  <c r="OLF39" i="1"/>
  <c r="RUY39" i="1"/>
  <c r="UMT39" i="1"/>
  <c r="WGX39" i="1"/>
  <c r="XBR39" i="1"/>
  <c r="NO39" i="1"/>
  <c r="DUI39" i="1"/>
  <c r="ESN39" i="1"/>
  <c r="FPP39" i="1"/>
  <c r="GDL39" i="1"/>
  <c r="HAN39" i="1"/>
  <c r="HOJ39" i="1"/>
  <c r="ILL39" i="1"/>
  <c r="LCR39" i="1"/>
  <c r="EX39" i="1"/>
  <c r="GP39" i="1"/>
  <c r="SE39" i="1"/>
  <c r="APV39" i="1"/>
  <c r="ARN39" i="1"/>
  <c r="BKA39" i="1"/>
  <c r="CLS39" i="1"/>
  <c r="DCL39" i="1"/>
  <c r="DED39" i="1"/>
  <c r="DYY39" i="1"/>
  <c r="EJH39" i="1"/>
  <c r="FGJ39" i="1"/>
  <c r="FUF39" i="1"/>
  <c r="HFD39" i="1"/>
  <c r="ICF39" i="1"/>
  <c r="JRT39" i="1"/>
  <c r="LFA39" i="1"/>
  <c r="MGS39" i="1"/>
  <c r="NGB39" i="1"/>
  <c r="PMX39" i="1"/>
  <c r="QDB39" i="1"/>
  <c r="RZO39" i="1"/>
  <c r="TIE39" i="1"/>
  <c r="TJW39" i="1"/>
  <c r="TPQ39" i="1"/>
  <c r="UVY39" i="1"/>
  <c r="VMS39" i="1"/>
  <c r="VTB39" i="1"/>
  <c r="WQD39" i="1"/>
  <c r="XAM39" i="1"/>
  <c r="JN39" i="1"/>
  <c r="GRH39" i="1"/>
  <c r="IZI39" i="1"/>
  <c r="KKF39" i="1"/>
  <c r="OAW39" i="1"/>
  <c r="QXW39" i="1"/>
  <c r="RBX39" i="1"/>
  <c r="AGP39" i="1"/>
  <c r="BXV39" i="1"/>
  <c r="COA39" i="1"/>
  <c r="EXD39" i="1"/>
  <c r="GIB39" i="1"/>
  <c r="HSZ39" i="1"/>
  <c r="IQC39" i="1"/>
  <c r="KMO39" i="1"/>
  <c r="LOG39" i="1"/>
  <c r="MNP39" i="1"/>
  <c r="NIK39" i="1"/>
  <c r="OWU39" i="1"/>
  <c r="QBX39" i="1"/>
  <c r="SEE39" i="1"/>
  <c r="TRZ39" i="1"/>
  <c r="UCY39" i="1"/>
  <c r="WXB39" i="1"/>
  <c r="AG39" i="1"/>
  <c r="AH39" i="1"/>
  <c r="CUY39" i="1"/>
  <c r="CUX39" i="1"/>
  <c r="EWA39" i="1"/>
  <c r="EVZ39" i="1"/>
  <c r="GYG39" i="1"/>
  <c r="GYF39" i="1"/>
  <c r="HCH39" i="1"/>
  <c r="HCG39" i="1"/>
  <c r="IWL39" i="1"/>
  <c r="IWK39" i="1"/>
  <c r="QAU39" i="1"/>
  <c r="QAT39" i="1"/>
  <c r="RYZ39" i="1"/>
  <c r="RYY39" i="1"/>
  <c r="DLQ39" i="1"/>
  <c r="DLR39" i="1"/>
  <c r="FEC39" i="1"/>
  <c r="FEB39" i="1"/>
  <c r="GTB39" i="1"/>
  <c r="GTA39" i="1"/>
  <c r="HIQ39" i="1"/>
  <c r="HIP39" i="1"/>
  <c r="INF39" i="1"/>
  <c r="INE39" i="1"/>
  <c r="ALE39" i="1"/>
  <c r="ALF39" i="1"/>
  <c r="DNK39" i="1"/>
  <c r="DNJ39" i="1"/>
  <c r="EGL39" i="1"/>
  <c r="EGK39" i="1"/>
  <c r="FNI39" i="1"/>
  <c r="FNH39" i="1"/>
  <c r="GGY39" i="1"/>
  <c r="GGX39" i="1"/>
  <c r="HRW39" i="1"/>
  <c r="HRV39" i="1"/>
  <c r="JCU39" i="1"/>
  <c r="JCT39" i="1"/>
  <c r="VB39" i="1"/>
  <c r="BDB39" i="1"/>
  <c r="BDC39" i="1"/>
  <c r="CTE39" i="1"/>
  <c r="CTF39" i="1"/>
  <c r="DWQ39" i="1"/>
  <c r="DWP39" i="1"/>
  <c r="EMU39" i="1"/>
  <c r="EMT39" i="1"/>
  <c r="FID39" i="1"/>
  <c r="FIC39" i="1"/>
  <c r="HZY39" i="1"/>
  <c r="HZX39" i="1"/>
  <c r="ITO39" i="1"/>
  <c r="ITN39" i="1"/>
  <c r="JKW39" i="1"/>
  <c r="JKV39" i="1"/>
  <c r="JVG39" i="1"/>
  <c r="JVF39" i="1"/>
  <c r="RXF39" i="1"/>
  <c r="RXG39" i="1"/>
  <c r="OD39" i="1"/>
  <c r="PV39" i="1"/>
  <c r="AYL39" i="1"/>
  <c r="AYM39" i="1"/>
  <c r="BRM39" i="1"/>
  <c r="BRN39" i="1"/>
  <c r="DUW39" i="1"/>
  <c r="DUX39" i="1"/>
  <c r="EDO39" i="1"/>
  <c r="EDN39" i="1"/>
  <c r="EUW39" i="1"/>
  <c r="EUV39" i="1"/>
  <c r="EYX39" i="1"/>
  <c r="EYW39" i="1"/>
  <c r="FOM39" i="1"/>
  <c r="FOL39" i="1"/>
  <c r="GFU39" i="1"/>
  <c r="GFT39" i="1"/>
  <c r="GJV39" i="1"/>
  <c r="GJU39" i="1"/>
  <c r="GZK39" i="1"/>
  <c r="GZJ39" i="1"/>
  <c r="HQS39" i="1"/>
  <c r="HQR39" i="1"/>
  <c r="HUT39" i="1"/>
  <c r="HUS39" i="1"/>
  <c r="IDZ39" i="1"/>
  <c r="IDY39" i="1"/>
  <c r="IKI39" i="1"/>
  <c r="IKH39" i="1"/>
  <c r="JBQ39" i="1"/>
  <c r="JBP39" i="1"/>
  <c r="FRJ39" i="1"/>
  <c r="FRI39" i="1"/>
  <c r="IJE39" i="1"/>
  <c r="IJD39" i="1"/>
  <c r="WT39" i="1"/>
  <c r="BTG39" i="1"/>
  <c r="BTF39" i="1"/>
  <c r="FXS39" i="1"/>
  <c r="FXR39" i="1"/>
  <c r="GPA39" i="1"/>
  <c r="GOZ39" i="1"/>
  <c r="CA39" i="1"/>
  <c r="BZ39" i="1"/>
  <c r="AMY39" i="1"/>
  <c r="AMX39" i="1"/>
  <c r="BWD39" i="1"/>
  <c r="EBU39" i="1"/>
  <c r="EBV39" i="1"/>
  <c r="ELQ39" i="1"/>
  <c r="ELP39" i="1"/>
  <c r="EPR39" i="1"/>
  <c r="EPQ39" i="1"/>
  <c r="FFG39" i="1"/>
  <c r="FFF39" i="1"/>
  <c r="FWO39" i="1"/>
  <c r="FWN39" i="1"/>
  <c r="GAP39" i="1"/>
  <c r="GAO39" i="1"/>
  <c r="GQE39" i="1"/>
  <c r="GQD39" i="1"/>
  <c r="HHM39" i="1"/>
  <c r="HHL39" i="1"/>
  <c r="HLN39" i="1"/>
  <c r="HLM39" i="1"/>
  <c r="IBC39" i="1"/>
  <c r="IBB39" i="1"/>
  <c r="ISK39" i="1"/>
  <c r="ISJ39" i="1"/>
  <c r="JFR39" i="1"/>
  <c r="JFQ39" i="1"/>
  <c r="JMA39" i="1"/>
  <c r="JLZ39" i="1"/>
  <c r="KEM39" i="1"/>
  <c r="KEL39" i="1"/>
  <c r="QHS39" i="1"/>
  <c r="QHR39" i="1"/>
  <c r="SIU39" i="1"/>
  <c r="SIT39" i="1"/>
  <c r="UFV39" i="1"/>
  <c r="UFU39" i="1"/>
  <c r="VHM39" i="1"/>
  <c r="VHN39" i="1"/>
  <c r="KOW39" i="1"/>
  <c r="KOV39" i="1"/>
  <c r="LHI39" i="1"/>
  <c r="LHH39" i="1"/>
  <c r="LZU39" i="1"/>
  <c r="LZT39" i="1"/>
  <c r="MSG39" i="1"/>
  <c r="MSF39" i="1"/>
  <c r="NKS39" i="1"/>
  <c r="NKR39" i="1"/>
  <c r="ODE39" i="1"/>
  <c r="ODD39" i="1"/>
  <c r="OPW39" i="1"/>
  <c r="OPV39" i="1"/>
  <c r="PGA39" i="1"/>
  <c r="PFZ39" i="1"/>
  <c r="QOB39" i="1"/>
  <c r="QOA39" i="1"/>
  <c r="RJJ39" i="1"/>
  <c r="RJK39" i="1"/>
  <c r="SUI39" i="1"/>
  <c r="SYY39" i="1"/>
  <c r="SYX39" i="1"/>
  <c r="UTR39" i="1"/>
  <c r="UTQ39" i="1"/>
  <c r="WCG39" i="1"/>
  <c r="WCH39" i="1"/>
  <c r="WSK39" i="1"/>
  <c r="WUS39" i="1"/>
  <c r="WUT39" i="1"/>
  <c r="BIH39" i="1"/>
  <c r="CAT39" i="1"/>
  <c r="CJZ39" i="1"/>
  <c r="CQX39" i="1"/>
  <c r="JOX39" i="1"/>
  <c r="JOW39" i="1"/>
  <c r="JUC39" i="1"/>
  <c r="JYD39" i="1"/>
  <c r="JYC39" i="1"/>
  <c r="KDI39" i="1"/>
  <c r="KHJ39" i="1"/>
  <c r="KHI39" i="1"/>
  <c r="KTL39" i="1"/>
  <c r="LLX39" i="1"/>
  <c r="MEJ39" i="1"/>
  <c r="MWV39" i="1"/>
  <c r="NPH39" i="1"/>
  <c r="OII39" i="1"/>
  <c r="OIJ39" i="1"/>
  <c r="OSD39" i="1"/>
  <c r="PQY39" i="1"/>
  <c r="PQZ39" i="1"/>
  <c r="QMH39" i="1"/>
  <c r="QMI39" i="1"/>
  <c r="UPP39" i="1"/>
  <c r="UPQ39" i="1"/>
  <c r="VAA39" i="1"/>
  <c r="UZZ39" i="1"/>
  <c r="VQS39" i="1"/>
  <c r="JND39" i="1"/>
  <c r="JWJ39" i="1"/>
  <c r="KFP39" i="1"/>
  <c r="KYC39" i="1"/>
  <c r="KYB39" i="1"/>
  <c r="LQO39" i="1"/>
  <c r="LQN39" i="1"/>
  <c r="MJA39" i="1"/>
  <c r="MIZ39" i="1"/>
  <c r="NBM39" i="1"/>
  <c r="NBL39" i="1"/>
  <c r="NTY39" i="1"/>
  <c r="NTX39" i="1"/>
  <c r="ORA39" i="1"/>
  <c r="OQZ39" i="1"/>
  <c r="QOQ39" i="1"/>
  <c r="QTF39" i="1"/>
  <c r="QTG39" i="1"/>
  <c r="RSP39" i="1"/>
  <c r="TFW39" i="1"/>
  <c r="TFV39" i="1"/>
  <c r="TQU39" i="1"/>
  <c r="TWO39" i="1"/>
  <c r="UYG39" i="1"/>
  <c r="UYH39" i="1"/>
  <c r="VVJ39" i="1"/>
  <c r="VVI39" i="1"/>
  <c r="WJE39" i="1"/>
  <c r="WLM39" i="1"/>
  <c r="WLN39" i="1"/>
  <c r="WZJ39" i="1"/>
  <c r="KNR39" i="1"/>
  <c r="KQO39" i="1"/>
  <c r="KWX39" i="1"/>
  <c r="KZU39" i="1"/>
  <c r="LGD39" i="1"/>
  <c r="LJA39" i="1"/>
  <c r="LPJ39" i="1"/>
  <c r="LSG39" i="1"/>
  <c r="LYP39" i="1"/>
  <c r="MBM39" i="1"/>
  <c r="MHV39" i="1"/>
  <c r="MKS39" i="1"/>
  <c r="MRB39" i="1"/>
  <c r="MTY39" i="1"/>
  <c r="NAH39" i="1"/>
  <c r="NDE39" i="1"/>
  <c r="NJN39" i="1"/>
  <c r="NMK39" i="1"/>
  <c r="NST39" i="1"/>
  <c r="NVQ39" i="1"/>
  <c r="OBZ39" i="1"/>
  <c r="OEX39" i="1"/>
  <c r="PBK39" i="1"/>
  <c r="PPV39" i="1"/>
  <c r="SMV39" i="1"/>
  <c r="TKM39" i="1"/>
  <c r="TYX39" i="1"/>
  <c r="UAQ39" i="1"/>
  <c r="VNW39" i="1"/>
  <c r="VUE39" i="1"/>
  <c r="WEO39" i="1"/>
  <c r="WNU39" i="1"/>
  <c r="XCU39" i="1"/>
  <c r="QK39" i="1"/>
  <c r="QL39" i="1"/>
  <c r="CXF39" i="1"/>
  <c r="CXG39" i="1"/>
  <c r="DBW39" i="1"/>
  <c r="DBV39" i="1"/>
  <c r="DSA39" i="1"/>
  <c r="DRZ39" i="1"/>
  <c r="PTW39" i="1"/>
  <c r="PTV39" i="1"/>
  <c r="QLS39" i="1"/>
  <c r="QLT39" i="1"/>
  <c r="RMW39" i="1"/>
  <c r="RMV39" i="1"/>
  <c r="SBW39" i="1"/>
  <c r="SBV39" i="1"/>
  <c r="SLQ39" i="1"/>
  <c r="SLR39" i="1"/>
  <c r="SPS39" i="1"/>
  <c r="SPR39" i="1"/>
  <c r="SSA39" i="1"/>
  <c r="SRZ39" i="1"/>
  <c r="TUH39" i="1"/>
  <c r="TUG39" i="1"/>
  <c r="UPB39" i="1"/>
  <c r="UPA39" i="1"/>
  <c r="UXR39" i="1"/>
  <c r="UXS39" i="1"/>
  <c r="WFD39" i="1"/>
  <c r="WFE39" i="1"/>
  <c r="WKX39" i="1"/>
  <c r="WKY39" i="1"/>
  <c r="WOJ39" i="1"/>
  <c r="WOK39" i="1"/>
  <c r="WUD39" i="1"/>
  <c r="WUE39" i="1"/>
  <c r="R39" i="1"/>
  <c r="S39" i="1"/>
  <c r="BMH39" i="1"/>
  <c r="BMI39" i="1"/>
  <c r="BQY39" i="1"/>
  <c r="BQX39" i="1"/>
  <c r="CHC39" i="1"/>
  <c r="CHB39" i="1"/>
  <c r="DAC39" i="1"/>
  <c r="DAD39" i="1"/>
  <c r="DQG39" i="1"/>
  <c r="DQH39" i="1"/>
  <c r="DXE39" i="1"/>
  <c r="DXF39" i="1"/>
  <c r="PJM39" i="1"/>
  <c r="PJL39" i="1"/>
  <c r="PPG39" i="1"/>
  <c r="PPF39" i="1"/>
  <c r="QFK39" i="1"/>
  <c r="QFJ39" i="1"/>
  <c r="ABJ39" i="1"/>
  <c r="ABK39" i="1"/>
  <c r="BPE39" i="1"/>
  <c r="BPF39" i="1"/>
  <c r="CFI39" i="1"/>
  <c r="CFJ39" i="1"/>
  <c r="CMG39" i="1"/>
  <c r="CMH39" i="1"/>
  <c r="OGP39" i="1"/>
  <c r="OGQ39" i="1"/>
  <c r="CO39" i="1"/>
  <c r="CP39" i="1"/>
  <c r="AGA39" i="1"/>
  <c r="AFZ39" i="1"/>
  <c r="AWE39" i="1"/>
  <c r="AWD39" i="1"/>
  <c r="EI39" i="1"/>
  <c r="EH39" i="1"/>
  <c r="LG39" i="1"/>
  <c r="LF39" i="1"/>
  <c r="AEG39" i="1"/>
  <c r="AEH39" i="1"/>
  <c r="AUK39" i="1"/>
  <c r="AUL39" i="1"/>
  <c r="BBI39" i="1"/>
  <c r="BBJ39" i="1"/>
  <c r="OYM39" i="1"/>
  <c r="OYN39" i="1"/>
  <c r="PVP39" i="1"/>
  <c r="PVO39" i="1"/>
  <c r="BKO39" i="1"/>
  <c r="BKP39" i="1"/>
  <c r="CVM39" i="1"/>
  <c r="CVN39" i="1"/>
  <c r="EFG39" i="1"/>
  <c r="EFH39" i="1"/>
  <c r="EOM39" i="1"/>
  <c r="EON39" i="1"/>
  <c r="EXS39" i="1"/>
  <c r="EXT39" i="1"/>
  <c r="FGY39" i="1"/>
  <c r="FGZ39" i="1"/>
  <c r="FQE39" i="1"/>
  <c r="FQF39" i="1"/>
  <c r="FZK39" i="1"/>
  <c r="FZL39" i="1"/>
  <c r="GIQ39" i="1"/>
  <c r="GIR39" i="1"/>
  <c r="GRW39" i="1"/>
  <c r="GRX39" i="1"/>
  <c r="HBC39" i="1"/>
  <c r="HBD39" i="1"/>
  <c r="HKI39" i="1"/>
  <c r="HKJ39" i="1"/>
  <c r="HTO39" i="1"/>
  <c r="HTP39" i="1"/>
  <c r="ICU39" i="1"/>
  <c r="ICV39" i="1"/>
  <c r="IMA39" i="1"/>
  <c r="IMB39" i="1"/>
  <c r="IVG39" i="1"/>
  <c r="IVH39" i="1"/>
  <c r="JEM39" i="1"/>
  <c r="JEN39" i="1"/>
  <c r="JNS39" i="1"/>
  <c r="JNT39" i="1"/>
  <c r="JWY39" i="1"/>
  <c r="JWZ39" i="1"/>
  <c r="KGE39" i="1"/>
  <c r="KGF39" i="1"/>
  <c r="KPK39" i="1"/>
  <c r="KPL39" i="1"/>
  <c r="KYQ39" i="1"/>
  <c r="KYR39" i="1"/>
  <c r="LHW39" i="1"/>
  <c r="LHX39" i="1"/>
  <c r="LRC39" i="1"/>
  <c r="LRD39" i="1"/>
  <c r="MAI39" i="1"/>
  <c r="MAJ39" i="1"/>
  <c r="NLG39" i="1"/>
  <c r="NLH39" i="1"/>
  <c r="NUM39" i="1"/>
  <c r="NUN39" i="1"/>
  <c r="ODS39" i="1"/>
  <c r="ODT39" i="1"/>
  <c r="ONN39" i="1"/>
  <c r="ONO39" i="1"/>
  <c r="QQY39" i="1"/>
  <c r="QQX39" i="1"/>
  <c r="RAS39" i="1"/>
  <c r="RAT39" i="1"/>
  <c r="REU39" i="1"/>
  <c r="RET39" i="1"/>
  <c r="VFF39" i="1"/>
  <c r="VFE39" i="1"/>
  <c r="UL39" i="1"/>
  <c r="AKQ39" i="1"/>
  <c r="ANN39" i="1"/>
  <c r="APF39" i="1"/>
  <c r="BFJ39" i="1"/>
  <c r="BTU39" i="1"/>
  <c r="BTV39" i="1"/>
  <c r="BYL39" i="1"/>
  <c r="CAD39" i="1"/>
  <c r="CQH39" i="1"/>
  <c r="DES39" i="1"/>
  <c r="DET39" i="1"/>
  <c r="EGZ39" i="1"/>
  <c r="ELA39" i="1"/>
  <c r="ERJ39" i="1"/>
  <c r="FAP39" i="1"/>
  <c r="FIR39" i="1"/>
  <c r="FMS39" i="1"/>
  <c r="FTB39" i="1"/>
  <c r="GCH39" i="1"/>
  <c r="GLN39" i="1"/>
  <c r="GUT39" i="1"/>
  <c r="GXQ39" i="1"/>
  <c r="HCV39" i="1"/>
  <c r="HNF39" i="1"/>
  <c r="HWL39" i="1"/>
  <c r="IFR39" i="1"/>
  <c r="IOX39" i="1"/>
  <c r="IYD39" i="1"/>
  <c r="JBA39" i="1"/>
  <c r="JGF39" i="1"/>
  <c r="JKG39" i="1"/>
  <c r="JPL39" i="1"/>
  <c r="JZV39" i="1"/>
  <c r="KJB39" i="1"/>
  <c r="KLY39" i="1"/>
  <c r="KRD39" i="1"/>
  <c r="KVE39" i="1"/>
  <c r="LAJ39" i="1"/>
  <c r="LKT39" i="1"/>
  <c r="LNQ39" i="1"/>
  <c r="LSV39" i="1"/>
  <c r="LTZ39" i="1"/>
  <c r="MDF39" i="1"/>
  <c r="MGC39" i="1"/>
  <c r="MLH39" i="1"/>
  <c r="MML39" i="1"/>
  <c r="MPI39" i="1"/>
  <c r="MVR39" i="1"/>
  <c r="NEX39" i="1"/>
  <c r="NMZ39" i="1"/>
  <c r="NRA39" i="1"/>
  <c r="OKR39" i="1"/>
  <c r="OKQ39" i="1"/>
  <c r="OXI39" i="1"/>
  <c r="OXJ39" i="1"/>
  <c r="PII39" i="1"/>
  <c r="PKQ39" i="1"/>
  <c r="PKP39" i="1"/>
  <c r="PWD39" i="1"/>
  <c r="QJK39" i="1"/>
  <c r="QJL39" i="1"/>
  <c r="RLS39" i="1"/>
  <c r="RLR39" i="1"/>
  <c r="THO39" i="1"/>
  <c r="THP39" i="1"/>
  <c r="TVL39" i="1"/>
  <c r="TVK39" i="1"/>
  <c r="UVK39" i="1"/>
  <c r="UVJ39" i="1"/>
  <c r="ZQ39" i="1"/>
  <c r="ZR39" i="1"/>
  <c r="MJO39" i="1"/>
  <c r="MJP39" i="1"/>
  <c r="MSU39" i="1"/>
  <c r="MSV39" i="1"/>
  <c r="NCA39" i="1"/>
  <c r="NCB39" i="1"/>
  <c r="RHC39" i="1"/>
  <c r="RHB39" i="1"/>
  <c r="SWQ39" i="1"/>
  <c r="SWP39" i="1"/>
  <c r="URJ39" i="1"/>
  <c r="URI39" i="1"/>
  <c r="WXP39" i="1"/>
  <c r="WXQ39" i="1"/>
  <c r="XDZ39" i="1"/>
  <c r="XDY39" i="1"/>
  <c r="ST39" i="1"/>
  <c r="AIW39" i="1"/>
  <c r="AIX39" i="1"/>
  <c r="BDR39" i="1"/>
  <c r="BVO39" i="1"/>
  <c r="COP39" i="1"/>
  <c r="DGM39" i="1"/>
  <c r="DJJ39" i="1"/>
  <c r="DLB39" i="1"/>
  <c r="DZN39" i="1"/>
  <c r="EBF39" i="1"/>
  <c r="EID39" i="1"/>
  <c r="EQF39" i="1"/>
  <c r="EUG39" i="1"/>
  <c r="EZL39" i="1"/>
  <c r="FDM39" i="1"/>
  <c r="FJV39" i="1"/>
  <c r="FRX39" i="1"/>
  <c r="FVY39" i="1"/>
  <c r="GBD39" i="1"/>
  <c r="GFE39" i="1"/>
  <c r="GKJ39" i="1"/>
  <c r="GOK39" i="1"/>
  <c r="GTP39" i="1"/>
  <c r="HDZ39" i="1"/>
  <c r="HGW39" i="1"/>
  <c r="HMB39" i="1"/>
  <c r="HQC39" i="1"/>
  <c r="HVH39" i="1"/>
  <c r="HZI39" i="1"/>
  <c r="IEN39" i="1"/>
  <c r="IIO39" i="1"/>
  <c r="INT39" i="1"/>
  <c r="IRU39" i="1"/>
  <c r="IWZ39" i="1"/>
  <c r="JHJ39" i="1"/>
  <c r="JQP39" i="1"/>
  <c r="JTM39" i="1"/>
  <c r="JYR39" i="1"/>
  <c r="KCS39" i="1"/>
  <c r="KHX39" i="1"/>
  <c r="KSH39" i="1"/>
  <c r="LBN39" i="1"/>
  <c r="LEK39" i="1"/>
  <c r="LJP39" i="1"/>
  <c r="LWW39" i="1"/>
  <c r="MCB39" i="1"/>
  <c r="MUN39" i="1"/>
  <c r="MYO39" i="1"/>
  <c r="NDT39" i="1"/>
  <c r="NHU39" i="1"/>
  <c r="NOD39" i="1"/>
  <c r="NWF39" i="1"/>
  <c r="NXJ39" i="1"/>
  <c r="OAG39" i="1"/>
  <c r="HE39" i="1"/>
  <c r="HF39" i="1"/>
  <c r="IY39" i="1"/>
  <c r="LV39" i="1"/>
  <c r="ABZ39" i="1"/>
  <c r="ADR39" i="1"/>
  <c r="ASC39" i="1"/>
  <c r="ASD39" i="1"/>
  <c r="ATW39" i="1"/>
  <c r="AWT39" i="1"/>
  <c r="BMX39" i="1"/>
  <c r="BOP39" i="1"/>
  <c r="CDA39" i="1"/>
  <c r="CDB39" i="1"/>
  <c r="CEU39" i="1"/>
  <c r="CHR39" i="1"/>
  <c r="CXV39" i="1"/>
  <c r="CZN39" i="1"/>
  <c r="DNY39" i="1"/>
  <c r="DNZ39" i="1"/>
  <c r="DPS39" i="1"/>
  <c r="DSP39" i="1"/>
  <c r="EJW39" i="1"/>
  <c r="EJX39" i="1"/>
  <c r="ETC39" i="1"/>
  <c r="ETD39" i="1"/>
  <c r="FCI39" i="1"/>
  <c r="FCJ39" i="1"/>
  <c r="FLO39" i="1"/>
  <c r="FLP39" i="1"/>
  <c r="FUU39" i="1"/>
  <c r="FUV39" i="1"/>
  <c r="GEA39" i="1"/>
  <c r="GEB39" i="1"/>
  <c r="GNG39" i="1"/>
  <c r="GNH39" i="1"/>
  <c r="GWM39" i="1"/>
  <c r="GWN39" i="1"/>
  <c r="HFS39" i="1"/>
  <c r="HFT39" i="1"/>
  <c r="HOY39" i="1"/>
  <c r="HOZ39" i="1"/>
  <c r="HYE39" i="1"/>
  <c r="HYF39" i="1"/>
  <c r="IHK39" i="1"/>
  <c r="IHL39" i="1"/>
  <c r="IQQ39" i="1"/>
  <c r="IQR39" i="1"/>
  <c r="IZW39" i="1"/>
  <c r="IZX39" i="1"/>
  <c r="JJC39" i="1"/>
  <c r="JJD39" i="1"/>
  <c r="JSI39" i="1"/>
  <c r="JSJ39" i="1"/>
  <c r="KBO39" i="1"/>
  <c r="KBP39" i="1"/>
  <c r="KKU39" i="1"/>
  <c r="KKV39" i="1"/>
  <c r="KUA39" i="1"/>
  <c r="KUB39" i="1"/>
  <c r="LDG39" i="1"/>
  <c r="LDH39" i="1"/>
  <c r="LMM39" i="1"/>
  <c r="LMN39" i="1"/>
  <c r="LVS39" i="1"/>
  <c r="LVT39" i="1"/>
  <c r="MEY39" i="1"/>
  <c r="MEZ39" i="1"/>
  <c r="MOE39" i="1"/>
  <c r="MOF39" i="1"/>
  <c r="MXK39" i="1"/>
  <c r="MXL39" i="1"/>
  <c r="NGQ39" i="1"/>
  <c r="NGR39" i="1"/>
  <c r="NPW39" i="1"/>
  <c r="NPX39" i="1"/>
  <c r="NZC39" i="1"/>
  <c r="NZD39" i="1"/>
  <c r="OGB39" i="1"/>
  <c r="OIX39" i="1"/>
  <c r="OUL39" i="1"/>
  <c r="PAV39" i="1"/>
  <c r="PDR39" i="1"/>
  <c r="PDS39" i="1"/>
  <c r="PTG39" i="1"/>
  <c r="PTH39" i="1"/>
  <c r="PYL39" i="1"/>
  <c r="PYM39" i="1"/>
  <c r="VMD39" i="1"/>
  <c r="VMC39" i="1"/>
  <c r="WGH39" i="1"/>
  <c r="WGI39" i="1"/>
  <c r="WJT39" i="1"/>
  <c r="WJU39" i="1"/>
  <c r="WPN39" i="1"/>
  <c r="WPO39" i="1"/>
  <c r="WSZ39" i="1"/>
  <c r="WTA39" i="1"/>
  <c r="RWQ39" i="1"/>
  <c r="RWR39" i="1"/>
  <c r="SXU39" i="1"/>
  <c r="SXT39" i="1"/>
  <c r="UKL39" i="1"/>
  <c r="UKK39" i="1"/>
  <c r="WYT39" i="1"/>
  <c r="WYU39" i="1"/>
  <c r="QVN39" i="1"/>
  <c r="RAD39" i="1"/>
  <c r="RCL39" i="1"/>
  <c r="RGM39" i="1"/>
  <c r="RQH39" i="1"/>
  <c r="RUJ39" i="1"/>
  <c r="SGL39" i="1"/>
  <c r="SLB39" i="1"/>
  <c r="SNJ39" i="1"/>
  <c r="SRK39" i="1"/>
  <c r="TBF39" i="1"/>
  <c r="TFH39" i="1"/>
  <c r="TNI39" i="1"/>
  <c r="UBE39" i="1"/>
  <c r="UDM39" i="1"/>
  <c r="UIC39" i="1"/>
  <c r="UJG39" i="1"/>
  <c r="UTC39" i="1"/>
  <c r="VCW39" i="1"/>
  <c r="VIC39" i="1"/>
  <c r="VJU39" i="1"/>
  <c r="VOK39" i="1"/>
  <c r="VSM39" i="1"/>
  <c r="VUU39" i="1"/>
  <c r="VXQ39" i="1"/>
  <c r="QIH39" i="1"/>
  <c r="QUJ39" i="1"/>
  <c r="REF39" i="1"/>
  <c r="RTF39" i="1"/>
  <c r="SFH39" i="1"/>
  <c r="SPD39" i="1"/>
  <c r="TED39" i="1"/>
  <c r="TXE39" i="1"/>
  <c r="UQU39" i="1"/>
  <c r="VBS39" i="1"/>
  <c r="VEP39" i="1"/>
  <c r="VLO39" i="1"/>
  <c r="VRI39" i="1"/>
  <c r="WAO39" i="1"/>
  <c r="WDK39" i="1"/>
  <c r="WFS39" i="1"/>
  <c r="WIA39" i="1"/>
  <c r="WKI39" i="1"/>
  <c r="WMQ39" i="1"/>
  <c r="WOY39" i="1"/>
  <c r="WRG39" i="1"/>
  <c r="WTO39" i="1"/>
  <c r="WVW39" i="1"/>
  <c r="WYE39" i="1"/>
  <c r="IJ39" i="1"/>
  <c r="II39" i="1"/>
  <c r="RP39" i="1"/>
  <c r="RO39" i="1"/>
  <c r="AKB39" i="1"/>
  <c r="AKA39" i="1"/>
  <c r="ATH39" i="1"/>
  <c r="ATG39" i="1"/>
  <c r="CEF39" i="1"/>
  <c r="CEE39" i="1"/>
  <c r="CWR39" i="1"/>
  <c r="CWQ39" i="1"/>
  <c r="AAV39" i="1"/>
  <c r="AAU39" i="1"/>
  <c r="BLT39" i="1"/>
  <c r="BLS39" i="1"/>
  <c r="CNL39" i="1"/>
  <c r="CNK39" i="1"/>
  <c r="DFX39" i="1"/>
  <c r="DFW39" i="1"/>
  <c r="DYJ39" i="1"/>
  <c r="DYI39" i="1"/>
  <c r="RDA39" i="1"/>
  <c r="RDB39" i="1"/>
  <c r="AHT39" i="1"/>
  <c r="AHS39" i="1"/>
  <c r="AQZ39" i="1"/>
  <c r="AQY39" i="1"/>
  <c r="DMV39" i="1"/>
  <c r="DMU39" i="1"/>
  <c r="MZ39" i="1"/>
  <c r="MY39" i="1"/>
  <c r="WF39" i="1"/>
  <c r="WE39" i="1"/>
  <c r="AOR39" i="1"/>
  <c r="AOQ39" i="1"/>
  <c r="DKN39" i="1"/>
  <c r="DKM39" i="1"/>
  <c r="ECZ39" i="1"/>
  <c r="ECY39" i="1"/>
  <c r="BCN39" i="1"/>
  <c r="BCM39" i="1"/>
  <c r="BUZ39" i="1"/>
  <c r="BUY39" i="1"/>
  <c r="DPD39" i="1"/>
  <c r="DPC39" i="1"/>
  <c r="OHE39" i="1"/>
  <c r="OHF39" i="1"/>
  <c r="PSC39" i="1"/>
  <c r="PSD39" i="1"/>
  <c r="GB39" i="1"/>
  <c r="GA39" i="1"/>
  <c r="PH39" i="1"/>
  <c r="PG39" i="1"/>
  <c r="YN39" i="1"/>
  <c r="YM39" i="1"/>
  <c r="BAF39" i="1"/>
  <c r="BAE39" i="1"/>
  <c r="BJL39" i="1"/>
  <c r="BJK39" i="1"/>
  <c r="BSR39" i="1"/>
  <c r="BSQ39" i="1"/>
  <c r="CBX39" i="1"/>
  <c r="CBW39" i="1"/>
  <c r="CLD39" i="1"/>
  <c r="CLC39" i="1"/>
  <c r="CUJ39" i="1"/>
  <c r="CUI39" i="1"/>
  <c r="DDP39" i="1"/>
  <c r="DDO39" i="1"/>
  <c r="DWB39" i="1"/>
  <c r="DWA39" i="1"/>
  <c r="OMY39" i="1"/>
  <c r="OMZ39" i="1"/>
  <c r="OVQ39" i="1"/>
  <c r="OVP39" i="1"/>
  <c r="PBY39" i="1"/>
  <c r="PBZ39" i="1"/>
  <c r="PHT39" i="1"/>
  <c r="PHS39" i="1"/>
  <c r="PLU39" i="1"/>
  <c r="PLT39" i="1"/>
  <c r="PXW39" i="1"/>
  <c r="PXX39" i="1"/>
  <c r="QGO39" i="1"/>
  <c r="QGN39" i="1"/>
  <c r="QMW39" i="1"/>
  <c r="QMX39" i="1"/>
  <c r="QSR39" i="1"/>
  <c r="QSQ39" i="1"/>
  <c r="QWS39" i="1"/>
  <c r="QWR39" i="1"/>
  <c r="RIU39" i="1"/>
  <c r="RIV39" i="1"/>
  <c r="RRM39" i="1"/>
  <c r="RRL39" i="1"/>
  <c r="RXU39" i="1"/>
  <c r="RXV39" i="1"/>
  <c r="SDP39" i="1"/>
  <c r="SDO39" i="1"/>
  <c r="SHQ39" i="1"/>
  <c r="SHP39" i="1"/>
  <c r="DT39" i="1"/>
  <c r="DS39" i="1"/>
  <c r="AFL39" i="1"/>
  <c r="AFK39" i="1"/>
  <c r="AXX39" i="1"/>
  <c r="AXW39" i="1"/>
  <c r="BHD39" i="1"/>
  <c r="BHC39" i="1"/>
  <c r="BQJ39" i="1"/>
  <c r="BQI39" i="1"/>
  <c r="BZP39" i="1"/>
  <c r="BZO39" i="1"/>
  <c r="CIV39" i="1"/>
  <c r="CIU39" i="1"/>
  <c r="CSB39" i="1"/>
  <c r="CSA39" i="1"/>
  <c r="DBH39" i="1"/>
  <c r="DBG39" i="1"/>
  <c r="DTT39" i="1"/>
  <c r="DTS39" i="1"/>
  <c r="OZQ39" i="1"/>
  <c r="OZR39" i="1"/>
  <c r="QKO39" i="1"/>
  <c r="QKP39" i="1"/>
  <c r="RVM39" i="1"/>
  <c r="RVN39" i="1"/>
  <c r="BL39" i="1"/>
  <c r="BK39" i="1"/>
  <c r="KR39" i="1"/>
  <c r="KQ39" i="1"/>
  <c r="TX39" i="1"/>
  <c r="TW39" i="1"/>
  <c r="ADD39" i="1"/>
  <c r="ADC39" i="1"/>
  <c r="AMJ39" i="1"/>
  <c r="AMI39" i="1"/>
  <c r="AVP39" i="1"/>
  <c r="AVO39" i="1"/>
  <c r="BEV39" i="1"/>
  <c r="BEU39" i="1"/>
  <c r="BOB39" i="1"/>
  <c r="BOA39" i="1"/>
  <c r="BXH39" i="1"/>
  <c r="BXG39" i="1"/>
  <c r="CGN39" i="1"/>
  <c r="CGM39" i="1"/>
  <c r="CPT39" i="1"/>
  <c r="CPS39" i="1"/>
  <c r="CYZ39" i="1"/>
  <c r="CYY39" i="1"/>
  <c r="DIF39" i="1"/>
  <c r="DIE39" i="1"/>
  <c r="DRL39" i="1"/>
  <c r="DRK39" i="1"/>
  <c r="EAR39" i="1"/>
  <c r="EAQ39" i="1"/>
  <c r="OJM39" i="1"/>
  <c r="OJN39" i="1"/>
  <c r="OPH39" i="1"/>
  <c r="OPG39" i="1"/>
  <c r="OTI39" i="1"/>
  <c r="OTH39" i="1"/>
  <c r="PFK39" i="1"/>
  <c r="PFL39" i="1"/>
  <c r="POC39" i="1"/>
  <c r="POB39" i="1"/>
  <c r="PUK39" i="1"/>
  <c r="PUL39" i="1"/>
  <c r="QAF39" i="1"/>
  <c r="QAE39" i="1"/>
  <c r="QEG39" i="1"/>
  <c r="QEF39" i="1"/>
  <c r="QQI39" i="1"/>
  <c r="QQJ39" i="1"/>
  <c r="QZA39" i="1"/>
  <c r="QYZ39" i="1"/>
  <c r="RFI39" i="1"/>
  <c r="RFJ39" i="1"/>
  <c r="RLD39" i="1"/>
  <c r="RLC39" i="1"/>
  <c r="RPE39" i="1"/>
  <c r="RPD39" i="1"/>
  <c r="SBG39" i="1"/>
  <c r="SBH39" i="1"/>
  <c r="SJY39" i="1"/>
  <c r="SJX39" i="1"/>
  <c r="XEO39" i="1"/>
  <c r="SNY39" i="1"/>
  <c r="SNZ39" i="1"/>
  <c r="TAC39" i="1"/>
  <c r="TAB39" i="1"/>
  <c r="TGK39" i="1"/>
  <c r="TGL39" i="1"/>
  <c r="TMF39" i="1"/>
  <c r="TME39" i="1"/>
  <c r="TTD39" i="1"/>
  <c r="TTC39" i="1"/>
  <c r="UOL39" i="1"/>
  <c r="UOM39" i="1"/>
  <c r="URX39" i="1"/>
  <c r="URY39" i="1"/>
  <c r="VOZ39" i="1"/>
  <c r="VPA39" i="1"/>
  <c r="VTP39" i="1"/>
  <c r="VTQ39" i="1"/>
  <c r="VVX39" i="1"/>
  <c r="VVY39" i="1"/>
  <c r="WBD39" i="1"/>
  <c r="WBC39" i="1"/>
  <c r="WMB39" i="1"/>
  <c r="WMC39" i="1"/>
  <c r="WQR39" i="1"/>
  <c r="WQS39" i="1"/>
  <c r="WVH39" i="1"/>
  <c r="WVI39" i="1"/>
  <c r="OFM39" i="1"/>
  <c r="OFL39" i="1"/>
  <c r="OLU39" i="1"/>
  <c r="OLV39" i="1"/>
  <c r="OXY39" i="1"/>
  <c r="OXX39" i="1"/>
  <c r="PEG39" i="1"/>
  <c r="PEH39" i="1"/>
  <c r="PQK39" i="1"/>
  <c r="PQJ39" i="1"/>
  <c r="PWS39" i="1"/>
  <c r="PWT39" i="1"/>
  <c r="QIW39" i="1"/>
  <c r="QIV39" i="1"/>
  <c r="QPE39" i="1"/>
  <c r="QPF39" i="1"/>
  <c r="RBI39" i="1"/>
  <c r="RBH39" i="1"/>
  <c r="RHQ39" i="1"/>
  <c r="RHR39" i="1"/>
  <c r="RTU39" i="1"/>
  <c r="RTT39" i="1"/>
  <c r="SAC39" i="1"/>
  <c r="SAD39" i="1"/>
  <c r="SMG39" i="1"/>
  <c r="SMF39" i="1"/>
  <c r="SQH39" i="1"/>
  <c r="SSO39" i="1"/>
  <c r="SSP39" i="1"/>
  <c r="STT39" i="1"/>
  <c r="SWA39" i="1"/>
  <c r="TCJ39" i="1"/>
  <c r="TES39" i="1"/>
  <c r="TER39" i="1"/>
  <c r="TIT39" i="1"/>
  <c r="TLA39" i="1"/>
  <c r="TLB39" i="1"/>
  <c r="TVZ39" i="1"/>
  <c r="TWA39" i="1"/>
  <c r="TYI39" i="1"/>
  <c r="TZL39" i="1"/>
  <c r="TZM39" i="1"/>
  <c r="UFG39" i="1"/>
  <c r="UHN39" i="1"/>
  <c r="UMD39" i="1"/>
  <c r="UUG39" i="1"/>
  <c r="UWN39" i="1"/>
  <c r="UWO39" i="1"/>
  <c r="UYW39" i="1"/>
  <c r="VBD39" i="1"/>
  <c r="VBE39" i="1"/>
  <c r="VCI39" i="1"/>
  <c r="VDL39" i="1"/>
  <c r="VDM39" i="1"/>
  <c r="VIR39" i="1"/>
  <c r="VIQ39" i="1"/>
  <c r="VKY39" i="1"/>
  <c r="VNH39" i="1"/>
  <c r="VNG39" i="1"/>
  <c r="VPP39" i="1"/>
  <c r="VPO39" i="1"/>
  <c r="VWN39" i="1"/>
  <c r="VWM39" i="1"/>
  <c r="VYU39" i="1"/>
  <c r="WZY39" i="1"/>
  <c r="XBC39" i="1"/>
  <c r="AV39" i="1"/>
  <c r="DD39" i="1"/>
  <c r="FL39" i="1"/>
  <c r="HT39" i="1"/>
  <c r="KB39" i="1"/>
  <c r="MJ39" i="1"/>
  <c r="OR39" i="1"/>
  <c r="QZ39" i="1"/>
  <c r="TH39" i="1"/>
  <c r="VP39" i="1"/>
  <c r="XX39" i="1"/>
  <c r="AAF39" i="1"/>
  <c r="ACN39" i="1"/>
  <c r="AEV39" i="1"/>
  <c r="AHD39" i="1"/>
  <c r="AJL39" i="1"/>
  <c r="ALT39" i="1"/>
  <c r="AOB39" i="1"/>
  <c r="AQJ39" i="1"/>
  <c r="ASR39" i="1"/>
  <c r="AUZ39" i="1"/>
  <c r="AXH39" i="1"/>
  <c r="AZP39" i="1"/>
  <c r="BBX39" i="1"/>
  <c r="BEF39" i="1"/>
  <c r="BGN39" i="1"/>
  <c r="BIV39" i="1"/>
  <c r="BLD39" i="1"/>
  <c r="BNL39" i="1"/>
  <c r="BPT39" i="1"/>
  <c r="BSB39" i="1"/>
  <c r="BUJ39" i="1"/>
  <c r="BWR39" i="1"/>
  <c r="BYZ39" i="1"/>
  <c r="CBH39" i="1"/>
  <c r="CDP39" i="1"/>
  <c r="CFX39" i="1"/>
  <c r="CIF39" i="1"/>
  <c r="CKN39" i="1"/>
  <c r="CMV39" i="1"/>
  <c r="CPD39" i="1"/>
  <c r="CRL39" i="1"/>
  <c r="CTT39" i="1"/>
  <c r="CWB39" i="1"/>
  <c r="CYJ39" i="1"/>
  <c r="DAR39" i="1"/>
  <c r="DCZ39" i="1"/>
  <c r="DFH39" i="1"/>
  <c r="DHP39" i="1"/>
  <c r="DJX39" i="1"/>
  <c r="DMF39" i="1"/>
  <c r="DON39" i="1"/>
  <c r="DQV39" i="1"/>
  <c r="DTD39" i="1"/>
  <c r="DVL39" i="1"/>
  <c r="DXT39" i="1"/>
  <c r="EAB39" i="1"/>
  <c r="ECJ39" i="1"/>
  <c r="EEC39" i="1"/>
  <c r="EFV39" i="1"/>
  <c r="EHP39" i="1"/>
  <c r="EIS39" i="1"/>
  <c r="EKL39" i="1"/>
  <c r="EMF39" i="1"/>
  <c r="ENI39" i="1"/>
  <c r="EPB39" i="1"/>
  <c r="EQV39" i="1"/>
  <c r="ERY39" i="1"/>
  <c r="ETR39" i="1"/>
  <c r="EVL39" i="1"/>
  <c r="EWO39" i="1"/>
  <c r="EYH39" i="1"/>
  <c r="FAB39" i="1"/>
  <c r="FBE39" i="1"/>
  <c r="FCX39" i="1"/>
  <c r="FER39" i="1"/>
  <c r="FFU39" i="1"/>
  <c r="FHN39" i="1"/>
  <c r="FJH39" i="1"/>
  <c r="FKK39" i="1"/>
  <c r="FMD39" i="1"/>
  <c r="FNX39" i="1"/>
  <c r="FPA39" i="1"/>
  <c r="FQT39" i="1"/>
  <c r="FSN39" i="1"/>
  <c r="FTQ39" i="1"/>
  <c r="FVJ39" i="1"/>
  <c r="FXD39" i="1"/>
  <c r="FYG39" i="1"/>
  <c r="FZZ39" i="1"/>
  <c r="GBT39" i="1"/>
  <c r="GCW39" i="1"/>
  <c r="GEP39" i="1"/>
  <c r="GGJ39" i="1"/>
  <c r="GHM39" i="1"/>
  <c r="GJF39" i="1"/>
  <c r="GKZ39" i="1"/>
  <c r="GMC39" i="1"/>
  <c r="GNV39" i="1"/>
  <c r="GPP39" i="1"/>
  <c r="GQS39" i="1"/>
  <c r="GSL39" i="1"/>
  <c r="GUF39" i="1"/>
  <c r="GVI39" i="1"/>
  <c r="GXB39" i="1"/>
  <c r="GYV39" i="1"/>
  <c r="GZY39" i="1"/>
  <c r="HBR39" i="1"/>
  <c r="HDL39" i="1"/>
  <c r="HEO39" i="1"/>
  <c r="HGH39" i="1"/>
  <c r="HIB39" i="1"/>
  <c r="HJE39" i="1"/>
  <c r="HKX39" i="1"/>
  <c r="HMR39" i="1"/>
  <c r="HNU39" i="1"/>
  <c r="HPN39" i="1"/>
  <c r="HRH39" i="1"/>
  <c r="HSK39" i="1"/>
  <c r="HUD39" i="1"/>
  <c r="HVX39" i="1"/>
  <c r="HXA39" i="1"/>
  <c r="HYT39" i="1"/>
  <c r="IAN39" i="1"/>
  <c r="IBQ39" i="1"/>
  <c r="IDJ39" i="1"/>
  <c r="IFD39" i="1"/>
  <c r="IGG39" i="1"/>
  <c r="IHZ39" i="1"/>
  <c r="IJT39" i="1"/>
  <c r="IKW39" i="1"/>
  <c r="IMP39" i="1"/>
  <c r="IOJ39" i="1"/>
  <c r="IPM39" i="1"/>
  <c r="IRF39" i="1"/>
  <c r="ISZ39" i="1"/>
  <c r="IUC39" i="1"/>
  <c r="IVV39" i="1"/>
  <c r="IXP39" i="1"/>
  <c r="IYS39" i="1"/>
  <c r="JAL39" i="1"/>
  <c r="JCF39" i="1"/>
  <c r="JDI39" i="1"/>
  <c r="JFB39" i="1"/>
  <c r="JGV39" i="1"/>
  <c r="JHY39" i="1"/>
  <c r="JJR39" i="1"/>
  <c r="JLL39" i="1"/>
  <c r="JMO39" i="1"/>
  <c r="JOH39" i="1"/>
  <c r="JQB39" i="1"/>
  <c r="JRE39" i="1"/>
  <c r="JSX39" i="1"/>
  <c r="JUR39" i="1"/>
  <c r="JVU39" i="1"/>
  <c r="JXN39" i="1"/>
  <c r="JZH39" i="1"/>
  <c r="KAK39" i="1"/>
  <c r="KCD39" i="1"/>
  <c r="KDX39" i="1"/>
  <c r="KFA39" i="1"/>
  <c r="KGT39" i="1"/>
  <c r="KIN39" i="1"/>
  <c r="KJQ39" i="1"/>
  <c r="KLJ39" i="1"/>
  <c r="KND39" i="1"/>
  <c r="KOG39" i="1"/>
  <c r="KPZ39" i="1"/>
  <c r="KRT39" i="1"/>
  <c r="KSW39" i="1"/>
  <c r="KUP39" i="1"/>
  <c r="KWJ39" i="1"/>
  <c r="KXM39" i="1"/>
  <c r="KZF39" i="1"/>
  <c r="LAZ39" i="1"/>
  <c r="LCC39" i="1"/>
  <c r="LDV39" i="1"/>
  <c r="LFP39" i="1"/>
  <c r="LGS39" i="1"/>
  <c r="LIL39" i="1"/>
  <c r="LKF39" i="1"/>
  <c r="LLI39" i="1"/>
  <c r="LNB39" i="1"/>
  <c r="LOV39" i="1"/>
  <c r="LPY39" i="1"/>
  <c r="LRR39" i="1"/>
  <c r="LTL39" i="1"/>
  <c r="LUO39" i="1"/>
  <c r="LWH39" i="1"/>
  <c r="LYB39" i="1"/>
  <c r="LZE39" i="1"/>
  <c r="MAX39" i="1"/>
  <c r="MCR39" i="1"/>
  <c r="MDU39" i="1"/>
  <c r="MFN39" i="1"/>
  <c r="MHH39" i="1"/>
  <c r="MIK39" i="1"/>
  <c r="MKD39" i="1"/>
  <c r="MLX39" i="1"/>
  <c r="MNA39" i="1"/>
  <c r="MOT39" i="1"/>
  <c r="MQN39" i="1"/>
  <c r="MRQ39" i="1"/>
  <c r="MTJ39" i="1"/>
  <c r="MVD39" i="1"/>
  <c r="MWG39" i="1"/>
  <c r="MXZ39" i="1"/>
  <c r="MZT39" i="1"/>
  <c r="NAW39" i="1"/>
  <c r="NCP39" i="1"/>
  <c r="NEJ39" i="1"/>
  <c r="NFM39" i="1"/>
  <c r="NHF39" i="1"/>
  <c r="NIZ39" i="1"/>
  <c r="NKC39" i="1"/>
  <c r="NLV39" i="1"/>
  <c r="NNP39" i="1"/>
  <c r="NOS39" i="1"/>
  <c r="NQL39" i="1"/>
  <c r="NSF39" i="1"/>
  <c r="NTI39" i="1"/>
  <c r="NVB39" i="1"/>
  <c r="NWV39" i="1"/>
  <c r="NXY39" i="1"/>
  <c r="NZR39" i="1"/>
  <c r="OBL39" i="1"/>
  <c r="OCO39" i="1"/>
  <c r="OEH39" i="1"/>
  <c r="OHT39" i="1"/>
  <c r="OKC39" i="1"/>
  <c r="OKB39" i="1"/>
  <c r="OOD39" i="1"/>
  <c r="OQK39" i="1"/>
  <c r="OQL39" i="1"/>
  <c r="ORP39" i="1"/>
  <c r="OTW39" i="1"/>
  <c r="PAF39" i="1"/>
  <c r="PCO39" i="1"/>
  <c r="PCN39" i="1"/>
  <c r="PGP39" i="1"/>
  <c r="PIW39" i="1"/>
  <c r="PIX39" i="1"/>
  <c r="PKB39" i="1"/>
  <c r="PMI39" i="1"/>
  <c r="PSR39" i="1"/>
  <c r="PVA39" i="1"/>
  <c r="PUZ39" i="1"/>
  <c r="PZB39" i="1"/>
  <c r="QBI39" i="1"/>
  <c r="QBJ39" i="1"/>
  <c r="QCN39" i="1"/>
  <c r="QEU39" i="1"/>
  <c r="QLD39" i="1"/>
  <c r="QNM39" i="1"/>
  <c r="QNL39" i="1"/>
  <c r="QRN39" i="1"/>
  <c r="QTU39" i="1"/>
  <c r="QTV39" i="1"/>
  <c r="QUZ39" i="1"/>
  <c r="QXG39" i="1"/>
  <c r="RDP39" i="1"/>
  <c r="RFY39" i="1"/>
  <c r="RFX39" i="1"/>
  <c r="RJZ39" i="1"/>
  <c r="RMG39" i="1"/>
  <c r="RMH39" i="1"/>
  <c r="RNL39" i="1"/>
  <c r="RPS39" i="1"/>
  <c r="RWB39" i="1"/>
  <c r="RYK39" i="1"/>
  <c r="RYJ39" i="1"/>
  <c r="SCL39" i="1"/>
  <c r="SES39" i="1"/>
  <c r="SET39" i="1"/>
  <c r="SFX39" i="1"/>
  <c r="SIE39" i="1"/>
  <c r="SON39" i="1"/>
  <c r="SQW39" i="1"/>
  <c r="SQV39" i="1"/>
  <c r="SUX39" i="1"/>
  <c r="SXE39" i="1"/>
  <c r="SXF39" i="1"/>
  <c r="SYJ39" i="1"/>
  <c r="TAQ39" i="1"/>
  <c r="TGZ39" i="1"/>
  <c r="TJI39" i="1"/>
  <c r="TJH39" i="1"/>
  <c r="TMU39" i="1"/>
  <c r="TPB39" i="1"/>
  <c r="TTR39" i="1"/>
  <c r="UBU39" i="1"/>
  <c r="UEB39" i="1"/>
  <c r="UEC39" i="1"/>
  <c r="UGK39" i="1"/>
  <c r="UIR39" i="1"/>
  <c r="UIS39" i="1"/>
  <c r="UJW39" i="1"/>
  <c r="UKZ39" i="1"/>
  <c r="ULA39" i="1"/>
  <c r="UQF39" i="1"/>
  <c r="UQE39" i="1"/>
  <c r="USM39" i="1"/>
  <c r="UUV39" i="1"/>
  <c r="UUU39" i="1"/>
  <c r="UXD39" i="1"/>
  <c r="UXC39" i="1"/>
  <c r="VEB39" i="1"/>
  <c r="VEA39" i="1"/>
  <c r="VGI39" i="1"/>
  <c r="VZJ39" i="1"/>
  <c r="VZK39" i="1"/>
  <c r="WBS39" i="1"/>
  <c r="WCV39" i="1"/>
  <c r="WCW39" i="1"/>
  <c r="XCG39" i="1"/>
  <c r="XDK39" i="1"/>
  <c r="OMJ39" i="1"/>
  <c r="OOS39" i="1"/>
  <c r="OOR39" i="1"/>
  <c r="OST39" i="1"/>
  <c r="OVA39" i="1"/>
  <c r="OVB39" i="1"/>
  <c r="OWF39" i="1"/>
  <c r="PEV39" i="1"/>
  <c r="PHE39" i="1"/>
  <c r="PHD39" i="1"/>
  <c r="PLF39" i="1"/>
  <c r="PNM39" i="1"/>
  <c r="PNN39" i="1"/>
  <c r="POR39" i="1"/>
  <c r="PXH39" i="1"/>
  <c r="PZQ39" i="1"/>
  <c r="PZP39" i="1"/>
  <c r="QDR39" i="1"/>
  <c r="QFY39" i="1"/>
  <c r="QFZ39" i="1"/>
  <c r="QHD39" i="1"/>
  <c r="QPT39" i="1"/>
  <c r="QSC39" i="1"/>
  <c r="QSB39" i="1"/>
  <c r="QWD39" i="1"/>
  <c r="QYK39" i="1"/>
  <c r="QYL39" i="1"/>
  <c r="QZP39" i="1"/>
  <c r="RIF39" i="1"/>
  <c r="RKO39" i="1"/>
  <c r="RKN39" i="1"/>
  <c r="ROP39" i="1"/>
  <c r="RQW39" i="1"/>
  <c r="RQX39" i="1"/>
  <c r="RSB39" i="1"/>
  <c r="SAR39" i="1"/>
  <c r="SDA39" i="1"/>
  <c r="SCZ39" i="1"/>
  <c r="SHB39" i="1"/>
  <c r="SJI39" i="1"/>
  <c r="SJJ39" i="1"/>
  <c r="SKN39" i="1"/>
  <c r="STD39" i="1"/>
  <c r="SVM39" i="1"/>
  <c r="SVL39" i="1"/>
  <c r="SZN39" i="1"/>
  <c r="TBU39" i="1"/>
  <c r="TBV39" i="1"/>
  <c r="TCZ39" i="1"/>
  <c r="TLP39" i="1"/>
  <c r="TNY39" i="1"/>
  <c r="TQF39" i="1"/>
  <c r="TQG39" i="1"/>
  <c r="TRK39" i="1"/>
  <c r="TSN39" i="1"/>
  <c r="TSO39" i="1"/>
  <c r="TXT39" i="1"/>
  <c r="TXS39" i="1"/>
  <c r="UAA39" i="1"/>
  <c r="UCJ39" i="1"/>
  <c r="UCI39" i="1"/>
  <c r="UER39" i="1"/>
  <c r="UEQ39" i="1"/>
  <c r="ULP39" i="1"/>
  <c r="ULO39" i="1"/>
  <c r="UNW39" i="1"/>
  <c r="VGX39" i="1"/>
  <c r="VGY39" i="1"/>
  <c r="VJG39" i="1"/>
  <c r="VKJ39" i="1"/>
  <c r="VKK39" i="1"/>
  <c r="VQE39" i="1"/>
  <c r="VXB39" i="1"/>
  <c r="WHM39" i="1"/>
  <c r="WIQ39" i="1"/>
  <c r="WNF39" i="1"/>
  <c r="WNG39" i="1"/>
  <c r="WRV39" i="1"/>
  <c r="WRW39" i="1"/>
  <c r="TON39" i="1"/>
  <c r="TOM39" i="1"/>
  <c r="TUV39" i="1"/>
  <c r="TUW39" i="1"/>
  <c r="UGZ39" i="1"/>
  <c r="UGY39" i="1"/>
  <c r="UNH39" i="1"/>
  <c r="UNI39" i="1"/>
  <c r="UZL39" i="1"/>
  <c r="UZK39" i="1"/>
  <c r="VFT39" i="1"/>
  <c r="VFU39" i="1"/>
  <c r="VRX39" i="1"/>
  <c r="VRW39" i="1"/>
  <c r="VYF39" i="1"/>
  <c r="VYG39" i="1"/>
  <c r="WDZ39" i="1"/>
  <c r="WEA39" i="1"/>
  <c r="WWL39" i="1"/>
  <c r="WWM39" i="1"/>
  <c r="XFC39" i="1"/>
  <c r="S15" i="1"/>
  <c r="R40" i="1"/>
  <c r="R17" i="1"/>
  <c r="S16" i="1"/>
  <c r="R14" i="1"/>
  <c r="S20" i="1"/>
  <c r="S33" i="1"/>
  <c r="Q23" i="1" l="1"/>
  <c r="R23" i="1" s="1"/>
  <c r="S23" i="1" l="1"/>
  <c r="S166" i="3" l="1"/>
  <c r="S167" i="3"/>
  <c r="S168" i="3"/>
  <c r="S169" i="3"/>
  <c r="S178" i="1"/>
  <c r="S179" i="1"/>
  <c r="S180" i="1"/>
  <c r="S181" i="1"/>
  <c r="S182" i="1"/>
  <c r="S183" i="1"/>
  <c r="S184" i="1"/>
  <c r="S185" i="1"/>
  <c r="Q455" i="9" l="1"/>
  <c r="S455" i="9" s="1"/>
  <c r="Q445" i="9"/>
  <c r="S445" i="9" s="1"/>
  <c r="Q444" i="9"/>
  <c r="S444" i="9" s="1"/>
  <c r="R455" i="9" l="1"/>
  <c r="R444" i="9"/>
  <c r="R445" i="9"/>
  <c r="Q350" i="9" l="1"/>
  <c r="S350" i="9" s="1"/>
  <c r="Q349" i="9"/>
  <c r="S349" i="9" s="1"/>
  <c r="R350" i="9" l="1"/>
  <c r="R349" i="9"/>
  <c r="Q109" i="9" l="1"/>
  <c r="R109" i="9" s="1"/>
  <c r="Q107" i="9"/>
  <c r="S107" i="9" s="1"/>
  <c r="R107" i="9" l="1"/>
  <c r="S109" i="9"/>
  <c r="Q70" i="9" l="1"/>
  <c r="S70" i="9" s="1"/>
  <c r="Q69" i="9"/>
  <c r="S69" i="9" s="1"/>
  <c r="Q68" i="9"/>
  <c r="S68" i="9" s="1"/>
  <c r="R68" i="9" l="1"/>
  <c r="R69" i="9"/>
  <c r="R70" i="9"/>
  <c r="Q94" i="4" l="1"/>
  <c r="S94" i="4" s="1"/>
  <c r="Q93" i="4"/>
  <c r="S93" i="4" s="1"/>
  <c r="R93" i="4" l="1"/>
  <c r="R94" i="4"/>
  <c r="R168" i="3"/>
  <c r="Q60" i="2" l="1"/>
  <c r="S60" i="2" s="1"/>
  <c r="Q61" i="2"/>
  <c r="S61" i="2" s="1"/>
  <c r="R60" i="2" l="1"/>
  <c r="R61" i="2"/>
  <c r="Q44" i="2" l="1"/>
  <c r="S44" i="2" s="1"/>
  <c r="R44" i="2" l="1"/>
  <c r="Q227" i="1"/>
  <c r="S227" i="1" s="1"/>
  <c r="R227" i="1" l="1"/>
  <c r="Q207" i="1" l="1"/>
  <c r="S207" i="1" s="1"/>
  <c r="R207" i="1" l="1"/>
  <c r="Q138" i="1"/>
  <c r="S138" i="1" s="1"/>
  <c r="R138" i="1" l="1"/>
  <c r="Q553" i="9" l="1"/>
  <c r="S553" i="9" s="1"/>
  <c r="Q552" i="9"/>
  <c r="S552" i="9" s="1"/>
  <c r="Q554" i="9"/>
  <c r="S554" i="9" s="1"/>
  <c r="R553" i="9" l="1"/>
  <c r="R552" i="9"/>
  <c r="R554" i="9"/>
  <c r="Q507" i="9" l="1"/>
  <c r="S507" i="9" s="1"/>
  <c r="R507" i="9" l="1"/>
  <c r="Q202" i="9"/>
  <c r="S202" i="9" s="1"/>
  <c r="R202" i="9" l="1"/>
  <c r="Q148" i="9"/>
  <c r="S148" i="9" s="1"/>
  <c r="Q147" i="9"/>
  <c r="S147" i="9" s="1"/>
  <c r="Q146" i="9"/>
  <c r="S146" i="9" s="1"/>
  <c r="Q149" i="9"/>
  <c r="R149" i="9" s="1"/>
  <c r="Q145" i="9"/>
  <c r="S145" i="9" s="1"/>
  <c r="Q144" i="9"/>
  <c r="S144" i="9" s="1"/>
  <c r="R148" i="9" l="1"/>
  <c r="R146" i="9"/>
  <c r="R144" i="9"/>
  <c r="R145" i="9"/>
  <c r="R147" i="9"/>
  <c r="S149" i="9"/>
  <c r="Q122" i="8" l="1"/>
  <c r="S122" i="8" s="1"/>
  <c r="R122" i="8" l="1"/>
  <c r="Q64" i="8"/>
  <c r="R64" i="8" s="1"/>
  <c r="S64" i="8" l="1"/>
  <c r="Q24" i="7" l="1"/>
  <c r="S24" i="7" s="1"/>
  <c r="Q23" i="7"/>
  <c r="S23" i="7" s="1"/>
  <c r="R23" i="7" l="1"/>
  <c r="R24" i="7"/>
  <c r="Q40" i="6"/>
  <c r="S40" i="6" s="1"/>
  <c r="R40" i="6" l="1"/>
  <c r="Q97" i="5"/>
  <c r="S97" i="5" s="1"/>
  <c r="Q96" i="5"/>
  <c r="S96" i="5" s="1"/>
  <c r="Q94" i="5"/>
  <c r="S94" i="5" s="1"/>
  <c r="Q95" i="5"/>
  <c r="Q93" i="5"/>
  <c r="Q92" i="5"/>
  <c r="Q91" i="5"/>
  <c r="Q87" i="5"/>
  <c r="Q86" i="5"/>
  <c r="Q82" i="5"/>
  <c r="Q81" i="5"/>
  <c r="Q80" i="5"/>
  <c r="S80" i="5" s="1"/>
  <c r="Q76" i="5"/>
  <c r="Q72" i="5"/>
  <c r="Q71" i="5"/>
  <c r="Q70" i="5"/>
  <c r="Q67" i="5"/>
  <c r="Q66" i="5"/>
  <c r="Q64" i="5"/>
  <c r="Q61" i="5"/>
  <c r="Q60" i="5"/>
  <c r="Q56" i="5"/>
  <c r="Q55" i="5"/>
  <c r="Q54" i="5"/>
  <c r="Q53" i="5"/>
  <c r="Q51" i="5"/>
  <c r="Q50" i="5"/>
  <c r="Q48" i="5"/>
  <c r="R96" i="5" l="1"/>
  <c r="R94" i="5"/>
  <c r="R97" i="5"/>
  <c r="Q511" i="5"/>
  <c r="S511" i="5" s="1"/>
  <c r="Q499" i="5"/>
  <c r="S499" i="5" s="1"/>
  <c r="Q498" i="5"/>
  <c r="S498" i="5" s="1"/>
  <c r="R498" i="5" l="1"/>
  <c r="R499" i="5"/>
  <c r="R511" i="5"/>
  <c r="Q441" i="5" l="1"/>
  <c r="S441" i="5" s="1"/>
  <c r="Q440" i="5"/>
  <c r="S440" i="5" s="1"/>
  <c r="Q439" i="5"/>
  <c r="S439" i="5" s="1"/>
  <c r="Q438" i="5"/>
  <c r="S438" i="5" s="1"/>
  <c r="Q437" i="5"/>
  <c r="S437" i="5" s="1"/>
  <c r="R439" i="5" l="1"/>
  <c r="R441" i="5"/>
  <c r="R440" i="5"/>
  <c r="R438" i="5"/>
  <c r="R437" i="5"/>
  <c r="Q237" i="5" l="1"/>
  <c r="S237" i="5" s="1"/>
  <c r="R237" i="5" l="1"/>
  <c r="Q315" i="4" l="1"/>
  <c r="S315" i="4" s="1"/>
  <c r="R315" i="4" l="1"/>
  <c r="Q306" i="4"/>
  <c r="S306" i="4" s="1"/>
  <c r="Q305" i="4"/>
  <c r="S305" i="4" s="1"/>
  <c r="R305" i="4" l="1"/>
  <c r="R306" i="4"/>
  <c r="Q284" i="4" l="1"/>
  <c r="R284" i="4" s="1"/>
  <c r="Q283" i="4"/>
  <c r="S283" i="4" s="1"/>
  <c r="R283" i="4" l="1"/>
  <c r="S284" i="4"/>
  <c r="Q179" i="4" l="1"/>
  <c r="S179" i="4" s="1"/>
  <c r="Q178" i="4"/>
  <c r="S178" i="4" s="1"/>
  <c r="Q176" i="4"/>
  <c r="R176" i="4" s="1"/>
  <c r="R178" i="4" l="1"/>
  <c r="R179" i="4"/>
  <c r="S176" i="4"/>
  <c r="Q139" i="4" l="1"/>
  <c r="R139" i="4" s="1"/>
  <c r="Q105" i="4"/>
  <c r="S105" i="4" s="1"/>
  <c r="Q104" i="4"/>
  <c r="S104" i="4" s="1"/>
  <c r="Q103" i="4"/>
  <c r="S103" i="4" s="1"/>
  <c r="Q102" i="4"/>
  <c r="S102" i="4" s="1"/>
  <c r="Q101" i="4"/>
  <c r="S101" i="4" s="1"/>
  <c r="Q100" i="4"/>
  <c r="S100" i="4" s="1"/>
  <c r="Q99" i="4"/>
  <c r="S99" i="4" s="1"/>
  <c r="Q98" i="4"/>
  <c r="S98" i="4" s="1"/>
  <c r="Q97" i="4"/>
  <c r="S97" i="4" s="1"/>
  <c r="Q106" i="4"/>
  <c r="S106" i="4" s="1"/>
  <c r="R104" i="4" l="1"/>
  <c r="S139" i="4"/>
  <c r="R105" i="4"/>
  <c r="R103" i="4"/>
  <c r="R102" i="4"/>
  <c r="R101" i="4"/>
  <c r="R100" i="4"/>
  <c r="R99" i="4"/>
  <c r="R98" i="4"/>
  <c r="R97" i="4"/>
  <c r="R106" i="4"/>
  <c r="Q239" i="3" l="1"/>
  <c r="Q238" i="3"/>
  <c r="R238" i="3" l="1"/>
  <c r="S238" i="3"/>
  <c r="R239" i="3"/>
  <c r="S239" i="3"/>
  <c r="Q55" i="3"/>
  <c r="S55" i="3" s="1"/>
  <c r="R55" i="3" l="1"/>
  <c r="Q113" i="2" l="1"/>
  <c r="R113" i="2" s="1"/>
  <c r="S113" i="2" l="1"/>
  <c r="Q112" i="1"/>
  <c r="R112" i="1" s="1"/>
  <c r="S112" i="1" l="1"/>
  <c r="Q166" i="1"/>
  <c r="S166" i="1" s="1"/>
  <c r="S254" i="9" l="1"/>
  <c r="S286" i="4"/>
  <c r="S287" i="4"/>
  <c r="S288" i="4"/>
  <c r="S289" i="4"/>
  <c r="S290" i="4"/>
  <c r="S291" i="4"/>
  <c r="S294" i="4"/>
  <c r="S296" i="4"/>
  <c r="S299" i="4"/>
  <c r="S102" i="2"/>
  <c r="S103" i="2"/>
  <c r="Q46" i="7" l="1"/>
  <c r="Q18" i="8" l="1"/>
  <c r="S18" i="8" s="1"/>
  <c r="Q20" i="8"/>
  <c r="R20" i="8" l="1"/>
  <c r="S20" i="8"/>
  <c r="R18" i="8"/>
  <c r="Q19" i="8"/>
  <c r="R19" i="8" l="1"/>
  <c r="S19" i="8"/>
  <c r="Q434" i="9"/>
  <c r="Q435" i="9"/>
  <c r="S435" i="9" s="1"/>
  <c r="Q436" i="9"/>
  <c r="Q433" i="9"/>
  <c r="S433" i="9" s="1"/>
  <c r="Q432" i="9"/>
  <c r="Q431" i="9"/>
  <c r="Q430" i="9"/>
  <c r="S430" i="9" s="1"/>
  <c r="Q429" i="9"/>
  <c r="S429" i="9" s="1"/>
  <c r="Q428" i="9"/>
  <c r="Q427" i="9"/>
  <c r="Q426" i="9"/>
  <c r="R434" i="9" l="1"/>
  <c r="S434" i="9"/>
  <c r="R432" i="9"/>
  <c r="S432" i="9"/>
  <c r="R427" i="9"/>
  <c r="S427" i="9"/>
  <c r="R431" i="9"/>
  <c r="S431" i="9"/>
  <c r="R428" i="9"/>
  <c r="S428" i="9"/>
  <c r="R426" i="9"/>
  <c r="S426" i="9"/>
  <c r="R436" i="9"/>
  <c r="S436" i="9"/>
  <c r="R435" i="9"/>
  <c r="R429" i="9"/>
  <c r="R433" i="9"/>
  <c r="R430" i="9"/>
  <c r="Q72" i="6" l="1"/>
  <c r="R72" i="6" s="1"/>
  <c r="S72" i="6" l="1"/>
  <c r="I48" i="10" l="1"/>
  <c r="B132" i="8"/>
  <c r="B80" i="6"/>
  <c r="B532" i="5"/>
  <c r="B243" i="1"/>
  <c r="B279" i="3" l="1"/>
  <c r="B280" i="3"/>
  <c r="B136" i="2"/>
  <c r="B238" i="1"/>
  <c r="B580" i="9" l="1"/>
  <c r="B579" i="9"/>
  <c r="L207" i="11" s="1"/>
  <c r="B578" i="9"/>
  <c r="J207" i="11" s="1"/>
  <c r="B577" i="9"/>
  <c r="H207" i="11" s="1"/>
  <c r="B576" i="9"/>
  <c r="F207" i="11" s="1"/>
  <c r="B575" i="9"/>
  <c r="D207" i="11" s="1"/>
  <c r="B131" i="8"/>
  <c r="L206" i="11" s="1"/>
  <c r="B130" i="8"/>
  <c r="J206" i="11" s="1"/>
  <c r="B129" i="8"/>
  <c r="H206" i="11" s="1"/>
  <c r="B128" i="8"/>
  <c r="F206" i="11" s="1"/>
  <c r="B127" i="8"/>
  <c r="D206" i="11" s="1"/>
  <c r="B90" i="7"/>
  <c r="B89" i="7"/>
  <c r="L205" i="11" s="1"/>
  <c r="B88" i="7"/>
  <c r="J205" i="11" s="1"/>
  <c r="B87" i="7"/>
  <c r="H205" i="11" s="1"/>
  <c r="B86" i="7"/>
  <c r="F205" i="11" s="1"/>
  <c r="B85" i="7"/>
  <c r="D205" i="11" s="1"/>
  <c r="L204" i="11"/>
  <c r="J204" i="11"/>
  <c r="H204" i="11"/>
  <c r="F204" i="11"/>
  <c r="D204" i="11"/>
  <c r="N205" i="11" l="1"/>
  <c r="B133" i="8"/>
  <c r="B581" i="9"/>
  <c r="B81" i="6"/>
  <c r="B91" i="7"/>
  <c r="B531" i="5"/>
  <c r="L203" i="11" s="1"/>
  <c r="B530" i="5"/>
  <c r="J203" i="11" s="1"/>
  <c r="B529" i="5"/>
  <c r="H203" i="11" s="1"/>
  <c r="B528" i="5"/>
  <c r="F203" i="11" s="1"/>
  <c r="B527" i="5"/>
  <c r="D203" i="11" s="1"/>
  <c r="B278" i="3"/>
  <c r="J201" i="11" s="1"/>
  <c r="B277" i="3"/>
  <c r="H201" i="11" s="1"/>
  <c r="B276" i="3"/>
  <c r="F201" i="11" s="1"/>
  <c r="B275" i="3"/>
  <c r="D201" i="11" s="1"/>
  <c r="L201" i="11"/>
  <c r="B242" i="1"/>
  <c r="L199" i="11" s="1"/>
  <c r="B241" i="1"/>
  <c r="J199" i="11" s="1"/>
  <c r="B240" i="1"/>
  <c r="H199" i="11" s="1"/>
  <c r="B239" i="1"/>
  <c r="F199" i="11" s="1"/>
  <c r="D199" i="11"/>
  <c r="B134" i="2"/>
  <c r="J200" i="11" s="1"/>
  <c r="B133" i="2"/>
  <c r="H200" i="11" s="1"/>
  <c r="B132" i="2"/>
  <c r="F200" i="11" s="1"/>
  <c r="B135" i="2"/>
  <c r="L200" i="11" s="1"/>
  <c r="B131" i="2"/>
  <c r="D200" i="11" s="1"/>
  <c r="N201" i="11" l="1"/>
  <c r="N200" i="11"/>
  <c r="N199" i="11"/>
  <c r="B533" i="5"/>
  <c r="B281" i="3"/>
  <c r="B137" i="2"/>
  <c r="B244" i="1"/>
  <c r="D94" i="10"/>
  <c r="B132" i="11" s="1"/>
  <c r="D93" i="10"/>
  <c r="B133" i="11" s="1"/>
  <c r="Q11" i="6"/>
  <c r="S11" i="6" s="1"/>
  <c r="Q71" i="6" l="1"/>
  <c r="S71" i="6" s="1"/>
  <c r="Q70" i="6"/>
  <c r="S70" i="6" s="1"/>
  <c r="Q69" i="6"/>
  <c r="Q68" i="6"/>
  <c r="Q67" i="6"/>
  <c r="S67" i="6" s="1"/>
  <c r="Q66" i="6"/>
  <c r="S66" i="6" s="1"/>
  <c r="Q65" i="6"/>
  <c r="Q64" i="6"/>
  <c r="Q63" i="6"/>
  <c r="S63" i="6" s="1"/>
  <c r="Q62" i="6"/>
  <c r="S62" i="6" s="1"/>
  <c r="Q61" i="6"/>
  <c r="Q60" i="6"/>
  <c r="Q59" i="6"/>
  <c r="S59" i="6" s="1"/>
  <c r="Q58" i="6"/>
  <c r="S58" i="6" s="1"/>
  <c r="Q57" i="6"/>
  <c r="Q56" i="6"/>
  <c r="Q55" i="6"/>
  <c r="S55" i="6" s="1"/>
  <c r="Q54" i="6"/>
  <c r="S54" i="6" s="1"/>
  <c r="Q53" i="6"/>
  <c r="Q52" i="6"/>
  <c r="Q51" i="6"/>
  <c r="S51" i="6" s="1"/>
  <c r="Q50" i="6"/>
  <c r="S50" i="6" s="1"/>
  <c r="Q49" i="6"/>
  <c r="Q48" i="6"/>
  <c r="Q47" i="6"/>
  <c r="S47" i="6" s="1"/>
  <c r="Q46" i="6"/>
  <c r="S46" i="6" s="1"/>
  <c r="Q45" i="6"/>
  <c r="Q44" i="6"/>
  <c r="Q43" i="6"/>
  <c r="S43" i="6" s="1"/>
  <c r="Q41" i="6"/>
  <c r="S41" i="6" s="1"/>
  <c r="Q39" i="6"/>
  <c r="Q18" i="6"/>
  <c r="Q17" i="6"/>
  <c r="S17" i="6" s="1"/>
  <c r="Q16" i="6"/>
  <c r="S16" i="6" s="1"/>
  <c r="Q15" i="6"/>
  <c r="Q14" i="6"/>
  <c r="S14" i="6" s="1"/>
  <c r="Q13" i="6"/>
  <c r="S13" i="6" s="1"/>
  <c r="Q38" i="6"/>
  <c r="Q37" i="6"/>
  <c r="Q36" i="6"/>
  <c r="S36" i="6" s="1"/>
  <c r="Q35" i="6"/>
  <c r="S35" i="6" s="1"/>
  <c r="Q34" i="6"/>
  <c r="Q33" i="6"/>
  <c r="Q32" i="6"/>
  <c r="S32" i="6" s="1"/>
  <c r="Q31" i="6"/>
  <c r="S31" i="6" s="1"/>
  <c r="Q30" i="6"/>
  <c r="Q29" i="6"/>
  <c r="Q28" i="6"/>
  <c r="S28" i="6" s="1"/>
  <c r="Q27" i="6"/>
  <c r="S27" i="6" s="1"/>
  <c r="Q26" i="6"/>
  <c r="Q25" i="6"/>
  <c r="Q24" i="6"/>
  <c r="S24" i="6" s="1"/>
  <c r="Q23" i="6"/>
  <c r="S23" i="6" s="1"/>
  <c r="Q22" i="6"/>
  <c r="Q21" i="6"/>
  <c r="Q20" i="6"/>
  <c r="S20" i="6" s="1"/>
  <c r="Q19" i="6"/>
  <c r="S19" i="6" s="1"/>
  <c r="Q12" i="6"/>
  <c r="D74" i="10"/>
  <c r="Q267" i="5"/>
  <c r="S267" i="5" s="1"/>
  <c r="Q257" i="5"/>
  <c r="S257" i="5" s="1"/>
  <c r="Q188" i="5"/>
  <c r="Q30" i="5"/>
  <c r="Q12" i="5"/>
  <c r="Q13" i="5"/>
  <c r="Q14" i="5"/>
  <c r="Q15" i="5"/>
  <c r="S15" i="5" s="1"/>
  <c r="Q16" i="5"/>
  <c r="Q17" i="5"/>
  <c r="Q18" i="5"/>
  <c r="Q19" i="5"/>
  <c r="S19" i="5" s="1"/>
  <c r="Q20" i="5"/>
  <c r="Q21" i="5"/>
  <c r="Q22" i="5"/>
  <c r="Q23" i="5"/>
  <c r="S23" i="5" s="1"/>
  <c r="Q24" i="5"/>
  <c r="Q25" i="5"/>
  <c r="Q26" i="5"/>
  <c r="Q27" i="5"/>
  <c r="S27" i="5" s="1"/>
  <c r="Q28" i="5"/>
  <c r="Q29" i="5"/>
  <c r="Q31" i="5"/>
  <c r="S31" i="5" s="1"/>
  <c r="Q32" i="5"/>
  <c r="Q33" i="5"/>
  <c r="Q34" i="5"/>
  <c r="Q35" i="5"/>
  <c r="S35" i="5" s="1"/>
  <c r="Q36" i="5"/>
  <c r="Q37" i="5"/>
  <c r="Q38" i="5"/>
  <c r="Q39" i="5"/>
  <c r="S39" i="5" s="1"/>
  <c r="Q40" i="5"/>
  <c r="Q41" i="5"/>
  <c r="Q42" i="5"/>
  <c r="Q43" i="5"/>
  <c r="R43" i="5" s="1"/>
  <c r="Q44" i="5"/>
  <c r="Q45" i="5"/>
  <c r="S45" i="5" s="1"/>
  <c r="Q46" i="5"/>
  <c r="Q47" i="5"/>
  <c r="S47" i="5" s="1"/>
  <c r="Q49" i="5"/>
  <c r="S49" i="5" s="1"/>
  <c r="S51" i="5"/>
  <c r="Q52" i="5"/>
  <c r="S53" i="5"/>
  <c r="S55" i="5"/>
  <c r="S57" i="5"/>
  <c r="Q58" i="5"/>
  <c r="Q59" i="5"/>
  <c r="R59" i="5" s="1"/>
  <c r="S61" i="5"/>
  <c r="Q62" i="5"/>
  <c r="Q63" i="5"/>
  <c r="S63" i="5" s="1"/>
  <c r="Q65" i="5"/>
  <c r="S65" i="5" s="1"/>
  <c r="S67" i="5"/>
  <c r="Q68" i="5"/>
  <c r="Q69" i="5"/>
  <c r="S69" i="5" s="1"/>
  <c r="S71" i="5"/>
  <c r="Q73" i="5"/>
  <c r="S73" i="5" s="1"/>
  <c r="Q74" i="5"/>
  <c r="Q75" i="5"/>
  <c r="R75" i="5" s="1"/>
  <c r="Q77" i="5"/>
  <c r="S77" i="5" s="1"/>
  <c r="Q78" i="5"/>
  <c r="Q79" i="5"/>
  <c r="S79" i="5" s="1"/>
  <c r="S81" i="5"/>
  <c r="S83" i="5"/>
  <c r="Q85" i="5"/>
  <c r="S85" i="5" s="1"/>
  <c r="S87" i="5"/>
  <c r="Q89" i="5"/>
  <c r="S89" i="5" s="1"/>
  <c r="Q90" i="5"/>
  <c r="S91" i="5"/>
  <c r="S93" i="5"/>
  <c r="Q98" i="5"/>
  <c r="S98" i="5" s="1"/>
  <c r="Q99" i="5"/>
  <c r="Q100" i="5"/>
  <c r="S100" i="5" s="1"/>
  <c r="Q101" i="5"/>
  <c r="Q102" i="5"/>
  <c r="S102" i="5" s="1"/>
  <c r="Q104" i="5"/>
  <c r="Q105" i="5"/>
  <c r="S105" i="5" s="1"/>
  <c r="Q106" i="5"/>
  <c r="Q107" i="5"/>
  <c r="S107" i="5" s="1"/>
  <c r="Q108" i="5"/>
  <c r="Q109" i="5"/>
  <c r="S109" i="5" s="1"/>
  <c r="Q110" i="5"/>
  <c r="Q111" i="5"/>
  <c r="R111" i="5" s="1"/>
  <c r="Q112" i="5"/>
  <c r="Q113" i="5"/>
  <c r="S113" i="5" s="1"/>
  <c r="Q114" i="5"/>
  <c r="Q115" i="5"/>
  <c r="S115" i="5" s="1"/>
  <c r="Q116" i="5"/>
  <c r="Q117" i="5"/>
  <c r="S117" i="5" s="1"/>
  <c r="Q118" i="5"/>
  <c r="S118" i="5" s="1"/>
  <c r="Q119" i="5"/>
  <c r="S119" i="5" s="1"/>
  <c r="Q120" i="5"/>
  <c r="S120" i="5" s="1"/>
  <c r="Q121" i="5"/>
  <c r="S121" i="5" s="1"/>
  <c r="Q122" i="5"/>
  <c r="S122" i="5" s="1"/>
  <c r="Q123" i="5"/>
  <c r="S123" i="5" s="1"/>
  <c r="Q124" i="5"/>
  <c r="S124" i="5" s="1"/>
  <c r="Q125" i="5"/>
  <c r="S125" i="5" s="1"/>
  <c r="Q126" i="5"/>
  <c r="S126" i="5" s="1"/>
  <c r="Q127" i="5"/>
  <c r="R127" i="5" s="1"/>
  <c r="D60" i="10"/>
  <c r="R21" i="6" l="1"/>
  <c r="S21" i="6"/>
  <c r="R25" i="6"/>
  <c r="S25" i="6"/>
  <c r="R29" i="6"/>
  <c r="S29" i="6"/>
  <c r="R33" i="6"/>
  <c r="S33" i="6"/>
  <c r="R37" i="6"/>
  <c r="S37" i="6"/>
  <c r="R18" i="6"/>
  <c r="S18" i="6"/>
  <c r="R44" i="6"/>
  <c r="S44" i="6"/>
  <c r="R48" i="6"/>
  <c r="S48" i="6"/>
  <c r="R52" i="6"/>
  <c r="S52" i="6"/>
  <c r="R56" i="6"/>
  <c r="S56" i="6"/>
  <c r="R60" i="6"/>
  <c r="S60" i="6"/>
  <c r="R64" i="6"/>
  <c r="S64" i="6"/>
  <c r="R68" i="6"/>
  <c r="S68" i="6"/>
  <c r="R22" i="6"/>
  <c r="S22" i="6"/>
  <c r="R26" i="6"/>
  <c r="S26" i="6"/>
  <c r="R30" i="6"/>
  <c r="S30" i="6"/>
  <c r="R34" i="6"/>
  <c r="S34" i="6"/>
  <c r="R38" i="6"/>
  <c r="S38" i="6"/>
  <c r="R15" i="6"/>
  <c r="S15" i="6"/>
  <c r="R39" i="6"/>
  <c r="S39" i="6"/>
  <c r="R45" i="6"/>
  <c r="S45" i="6"/>
  <c r="R49" i="6"/>
  <c r="S49" i="6"/>
  <c r="R53" i="6"/>
  <c r="S53" i="6"/>
  <c r="R57" i="6"/>
  <c r="S57" i="6"/>
  <c r="R61" i="6"/>
  <c r="S61" i="6"/>
  <c r="R65" i="6"/>
  <c r="S65" i="6"/>
  <c r="R69" i="6"/>
  <c r="S69" i="6"/>
  <c r="R12" i="6"/>
  <c r="S12" i="6"/>
  <c r="R11" i="6"/>
  <c r="R19" i="6"/>
  <c r="R23" i="6"/>
  <c r="R27" i="6"/>
  <c r="R31" i="6"/>
  <c r="R35" i="6"/>
  <c r="R13" i="6"/>
  <c r="R16" i="6"/>
  <c r="R41" i="6"/>
  <c r="R46" i="6"/>
  <c r="R50" i="6"/>
  <c r="R54" i="6"/>
  <c r="R58" i="6"/>
  <c r="R62" i="6"/>
  <c r="R66" i="6"/>
  <c r="R70" i="6"/>
  <c r="R20" i="6"/>
  <c r="R24" i="6"/>
  <c r="R28" i="6"/>
  <c r="R32" i="6"/>
  <c r="R36" i="6"/>
  <c r="R14" i="6"/>
  <c r="R17" i="6"/>
  <c r="R43" i="6"/>
  <c r="R47" i="6"/>
  <c r="R51" i="6"/>
  <c r="R55" i="6"/>
  <c r="R59" i="6"/>
  <c r="R63" i="6"/>
  <c r="R67" i="6"/>
  <c r="R71" i="6"/>
  <c r="R39" i="5"/>
  <c r="R23" i="5"/>
  <c r="S75" i="5"/>
  <c r="S41" i="5"/>
  <c r="R41" i="5"/>
  <c r="R117" i="5"/>
  <c r="R89" i="5"/>
  <c r="R73" i="5"/>
  <c r="R49" i="5"/>
  <c r="S116" i="5"/>
  <c r="R116" i="5"/>
  <c r="S112" i="5"/>
  <c r="R112" i="5"/>
  <c r="S108" i="5"/>
  <c r="R108" i="5"/>
  <c r="S104" i="5"/>
  <c r="R104" i="5"/>
  <c r="S99" i="5"/>
  <c r="R99" i="5"/>
  <c r="S92" i="5"/>
  <c r="R92" i="5"/>
  <c r="S88" i="5"/>
  <c r="R88" i="5"/>
  <c r="S84" i="5"/>
  <c r="R84" i="5"/>
  <c r="R80" i="5"/>
  <c r="S76" i="5"/>
  <c r="R76" i="5"/>
  <c r="S72" i="5"/>
  <c r="R72" i="5"/>
  <c r="S68" i="5"/>
  <c r="R68" i="5"/>
  <c r="S64" i="5"/>
  <c r="R64" i="5"/>
  <c r="S60" i="5"/>
  <c r="R60" i="5"/>
  <c r="S56" i="5"/>
  <c r="R56" i="5"/>
  <c r="S52" i="5"/>
  <c r="R52" i="5"/>
  <c r="S48" i="5"/>
  <c r="R48" i="5"/>
  <c r="S44" i="5"/>
  <c r="R44" i="5"/>
  <c r="S40" i="5"/>
  <c r="R40" i="5"/>
  <c r="S36" i="5"/>
  <c r="R36" i="5"/>
  <c r="S32" i="5"/>
  <c r="R32" i="5"/>
  <c r="S30" i="5"/>
  <c r="R30" i="5"/>
  <c r="R124" i="5"/>
  <c r="R120" i="5"/>
  <c r="R115" i="5"/>
  <c r="R107" i="5"/>
  <c r="R98" i="5"/>
  <c r="R87" i="5"/>
  <c r="R79" i="5"/>
  <c r="R71" i="5"/>
  <c r="R63" i="5"/>
  <c r="R55" i="5"/>
  <c r="R47" i="5"/>
  <c r="R35" i="5"/>
  <c r="R19" i="5"/>
  <c r="S127" i="5"/>
  <c r="S59" i="5"/>
  <c r="S37" i="5"/>
  <c r="R37" i="5"/>
  <c r="S24" i="5"/>
  <c r="R24" i="5"/>
  <c r="S16" i="5"/>
  <c r="R16" i="5"/>
  <c r="R121" i="5"/>
  <c r="R100" i="5"/>
  <c r="R65" i="5"/>
  <c r="S26" i="5"/>
  <c r="R26" i="5"/>
  <c r="S22" i="5"/>
  <c r="R22" i="5"/>
  <c r="S18" i="5"/>
  <c r="R18" i="5"/>
  <c r="S14" i="5"/>
  <c r="R14" i="5"/>
  <c r="R123" i="5"/>
  <c r="R119" i="5"/>
  <c r="R113" i="5"/>
  <c r="R105" i="5"/>
  <c r="R93" i="5"/>
  <c r="R85" i="5"/>
  <c r="R77" i="5"/>
  <c r="R69" i="5"/>
  <c r="R61" i="5"/>
  <c r="R53" i="5"/>
  <c r="R45" i="5"/>
  <c r="R31" i="5"/>
  <c r="R15" i="5"/>
  <c r="S111" i="5"/>
  <c r="S43" i="5"/>
  <c r="S33" i="5"/>
  <c r="R33" i="5"/>
  <c r="S28" i="5"/>
  <c r="R28" i="5"/>
  <c r="S20" i="5"/>
  <c r="R20" i="5"/>
  <c r="S12" i="5"/>
  <c r="R12" i="5"/>
  <c r="R125" i="5"/>
  <c r="R109" i="5"/>
  <c r="R81" i="5"/>
  <c r="R57" i="5"/>
  <c r="S114" i="5"/>
  <c r="R114" i="5"/>
  <c r="S110" i="5"/>
  <c r="R110" i="5"/>
  <c r="S106" i="5"/>
  <c r="R106" i="5"/>
  <c r="S101" i="5"/>
  <c r="R101" i="5"/>
  <c r="S95" i="5"/>
  <c r="R95" i="5"/>
  <c r="S90" i="5"/>
  <c r="R90" i="5"/>
  <c r="S86" i="5"/>
  <c r="R86" i="5"/>
  <c r="S82" i="5"/>
  <c r="R82" i="5"/>
  <c r="S78" i="5"/>
  <c r="R78" i="5"/>
  <c r="S74" i="5"/>
  <c r="R74" i="5"/>
  <c r="S70" i="5"/>
  <c r="R70" i="5"/>
  <c r="S66" i="5"/>
  <c r="R66" i="5"/>
  <c r="S62" i="5"/>
  <c r="R62" i="5"/>
  <c r="S58" i="5"/>
  <c r="R58" i="5"/>
  <c r="S54" i="5"/>
  <c r="R54" i="5"/>
  <c r="S50" i="5"/>
  <c r="R50" i="5"/>
  <c r="S46" i="5"/>
  <c r="R46" i="5"/>
  <c r="S42" i="5"/>
  <c r="R42" i="5"/>
  <c r="S38" i="5"/>
  <c r="R38" i="5"/>
  <c r="S34" i="5"/>
  <c r="R34" i="5"/>
  <c r="S29" i="5"/>
  <c r="R29" i="5"/>
  <c r="S25" i="5"/>
  <c r="R25" i="5"/>
  <c r="S21" i="5"/>
  <c r="R21" i="5"/>
  <c r="S17" i="5"/>
  <c r="R17" i="5"/>
  <c r="S13" i="5"/>
  <c r="R13" i="5"/>
  <c r="S188" i="5"/>
  <c r="R188" i="5"/>
  <c r="R126" i="5"/>
  <c r="R122" i="5"/>
  <c r="R118" i="5"/>
  <c r="R102" i="5"/>
  <c r="R91" i="5"/>
  <c r="R83" i="5"/>
  <c r="R67" i="5"/>
  <c r="R51" i="5"/>
  <c r="R27" i="5"/>
  <c r="L132" i="11" l="1"/>
  <c r="L13" i="11"/>
  <c r="H136" i="11"/>
  <c r="L136" i="11"/>
  <c r="J136" i="11"/>
  <c r="D136" i="11"/>
  <c r="L135" i="11"/>
  <c r="F136" i="11"/>
  <c r="H135" i="11"/>
  <c r="J135" i="11"/>
  <c r="D135" i="11"/>
  <c r="F135" i="11"/>
  <c r="L105" i="11"/>
  <c r="D105" i="11"/>
  <c r="J105" i="11"/>
  <c r="H105" i="11"/>
  <c r="F105" i="11"/>
  <c r="N204" i="11" l="1"/>
  <c r="D35" i="10"/>
  <c r="Q154" i="3" l="1"/>
  <c r="S154" i="3" s="1"/>
  <c r="Q155" i="3"/>
  <c r="S155" i="3" s="1"/>
  <c r="Q156" i="3"/>
  <c r="S156" i="3" s="1"/>
  <c r="Q165" i="3"/>
  <c r="S165" i="3" s="1"/>
  <c r="Q164" i="3"/>
  <c r="S164" i="3" s="1"/>
  <c r="Q153" i="3"/>
  <c r="S153" i="3" s="1"/>
  <c r="D8" i="10"/>
  <c r="D140" i="10"/>
  <c r="D138" i="10"/>
  <c r="D137" i="10"/>
  <c r="D136" i="10"/>
  <c r="D133" i="10"/>
  <c r="D131" i="10"/>
  <c r="D126" i="10"/>
  <c r="D125" i="10"/>
  <c r="D122" i="10"/>
  <c r="D116" i="10"/>
  <c r="D115" i="10"/>
  <c r="D114" i="10"/>
  <c r="D108" i="10"/>
  <c r="D105" i="10"/>
  <c r="D102" i="10"/>
  <c r="D100" i="10"/>
  <c r="D98" i="10"/>
  <c r="D97" i="10"/>
  <c r="D96" i="10"/>
  <c r="D91" i="10"/>
  <c r="D90" i="10"/>
  <c r="D88" i="10"/>
  <c r="D86" i="10"/>
  <c r="D85" i="10"/>
  <c r="D84" i="10"/>
  <c r="D82" i="10"/>
  <c r="D80" i="10"/>
  <c r="D79" i="10"/>
  <c r="D75" i="10"/>
  <c r="D71" i="10"/>
  <c r="D69" i="10"/>
  <c r="D67" i="10"/>
  <c r="D66" i="10"/>
  <c r="D65" i="10"/>
  <c r="D61" i="10"/>
  <c r="D64" i="10"/>
  <c r="D57" i="10"/>
  <c r="D56" i="10"/>
  <c r="D55" i="10"/>
  <c r="D49" i="10"/>
  <c r="D50" i="10"/>
  <c r="D47" i="10"/>
  <c r="D42" i="10"/>
  <c r="D41" i="10"/>
  <c r="D39" i="10"/>
  <c r="D38" i="10"/>
  <c r="D37" i="10"/>
  <c r="D36" i="10"/>
  <c r="D34" i="10"/>
  <c r="D27" i="10"/>
  <c r="D25" i="10"/>
  <c r="D29" i="10"/>
  <c r="D26" i="10"/>
  <c r="D24" i="10"/>
  <c r="D22" i="10"/>
  <c r="D23" i="10"/>
  <c r="R164" i="3" l="1"/>
  <c r="R165" i="3"/>
  <c r="D53" i="10"/>
  <c r="B83" i="11" s="1"/>
  <c r="B85" i="11"/>
  <c r="B86" i="11"/>
  <c r="B87" i="11"/>
  <c r="B90" i="11"/>
  <c r="B91" i="11"/>
  <c r="B94" i="11"/>
  <c r="B95" i="11"/>
  <c r="B96" i="11"/>
  <c r="B97" i="11"/>
  <c r="D54" i="10"/>
  <c r="B84" i="11" s="1"/>
  <c r="D52" i="10"/>
  <c r="B82" i="11" s="1"/>
  <c r="D19" i="10"/>
  <c r="F58" i="11"/>
  <c r="D121" i="10"/>
  <c r="D118" i="10"/>
  <c r="B171" i="11" s="1"/>
  <c r="L172" i="11"/>
  <c r="D67" i="11" l="1"/>
  <c r="D46" i="10" l="1"/>
  <c r="D45" i="10"/>
  <c r="D44" i="10"/>
  <c r="D43" i="10"/>
  <c r="D40" i="10"/>
  <c r="Q196" i="1" l="1"/>
  <c r="S196" i="1" s="1"/>
  <c r="Q195" i="1"/>
  <c r="S195" i="1" s="1"/>
  <c r="Q194" i="1"/>
  <c r="S194" i="1" s="1"/>
  <c r="Q193" i="1"/>
  <c r="S193" i="1" s="1"/>
  <c r="Q192" i="1"/>
  <c r="S192" i="1" s="1"/>
  <c r="Q191" i="1"/>
  <c r="S191" i="1" s="1"/>
  <c r="Q190" i="1"/>
  <c r="S190" i="1" s="1"/>
  <c r="Q189" i="1"/>
  <c r="S189" i="1" s="1"/>
  <c r="Q188" i="1"/>
  <c r="S188" i="1" s="1"/>
  <c r="Q187" i="1"/>
  <c r="S187" i="1" s="1"/>
  <c r="Q186" i="1"/>
  <c r="S186" i="1" s="1"/>
  <c r="R188" i="1" l="1"/>
  <c r="R186" i="1"/>
  <c r="R190" i="1"/>
  <c r="R194" i="1"/>
  <c r="R187" i="1"/>
  <c r="R193" i="1"/>
  <c r="R191" i="1"/>
  <c r="R196" i="1"/>
  <c r="R189" i="1"/>
  <c r="R192" i="1"/>
  <c r="R195" i="1"/>
  <c r="Q233" i="1" l="1"/>
  <c r="S233" i="1" s="1"/>
  <c r="Q232" i="1"/>
  <c r="S232" i="1" s="1"/>
  <c r="Q231" i="1"/>
  <c r="S231" i="1" s="1"/>
  <c r="Q230" i="1"/>
  <c r="S230" i="1" s="1"/>
  <c r="Q229" i="1"/>
  <c r="S229" i="1" s="1"/>
  <c r="Q228" i="1"/>
  <c r="S228" i="1" s="1"/>
  <c r="Q226" i="1"/>
  <c r="S226" i="1" s="1"/>
  <c r="R226" i="1" l="1"/>
  <c r="R231" i="1"/>
  <c r="R229" i="1"/>
  <c r="R230" i="1"/>
  <c r="R233" i="1"/>
  <c r="R228" i="1"/>
  <c r="R232" i="1"/>
  <c r="Q133" i="1" l="1"/>
  <c r="Q134" i="1"/>
  <c r="Q135" i="1"/>
  <c r="S135" i="1" s="1"/>
  <c r="Q136" i="1"/>
  <c r="S136" i="1" s="1"/>
  <c r="Q137" i="1"/>
  <c r="Q139" i="1"/>
  <c r="Q140" i="1"/>
  <c r="Q141" i="1"/>
  <c r="S141" i="1" s="1"/>
  <c r="Q142" i="1"/>
  <c r="S142" i="1" s="1"/>
  <c r="Q143" i="1"/>
  <c r="S143" i="1" s="1"/>
  <c r="Q144" i="1"/>
  <c r="S144" i="1" s="1"/>
  <c r="Q145" i="1"/>
  <c r="S145" i="1" s="1"/>
  <c r="Q146" i="1"/>
  <c r="S146" i="1" s="1"/>
  <c r="Q132" i="1"/>
  <c r="S132" i="1" s="1"/>
  <c r="R144" i="1" l="1"/>
  <c r="R140" i="1"/>
  <c r="S140" i="1"/>
  <c r="R134" i="1"/>
  <c r="S134" i="1"/>
  <c r="R143" i="1"/>
  <c r="R139" i="1"/>
  <c r="S139" i="1"/>
  <c r="R145" i="1"/>
  <c r="R137" i="1"/>
  <c r="S137" i="1"/>
  <c r="R133" i="1"/>
  <c r="S133" i="1"/>
  <c r="R146" i="1"/>
  <c r="R142" i="1"/>
  <c r="R141" i="1"/>
  <c r="R136" i="1"/>
  <c r="R135" i="1"/>
  <c r="R132" i="1"/>
  <c r="Q68" i="1" l="1"/>
  <c r="S68" i="1" s="1"/>
  <c r="Q67" i="1"/>
  <c r="Q66" i="1"/>
  <c r="S66" i="1" s="1"/>
  <c r="Q65" i="1"/>
  <c r="S65" i="1" s="1"/>
  <c r="Q64" i="1"/>
  <c r="S64" i="1" s="1"/>
  <c r="Q63" i="1"/>
  <c r="Q62" i="1"/>
  <c r="Q61" i="1"/>
  <c r="Q60" i="1"/>
  <c r="Q59" i="1"/>
  <c r="Q58" i="1"/>
  <c r="S58" i="1" s="1"/>
  <c r="Q57" i="1"/>
  <c r="Q54" i="1"/>
  <c r="S54" i="1" s="1"/>
  <c r="Q53" i="1"/>
  <c r="Q52" i="1"/>
  <c r="S52" i="1" s="1"/>
  <c r="Q50" i="1"/>
  <c r="S50" i="1" s="1"/>
  <c r="Q49" i="1"/>
  <c r="Q45" i="1"/>
  <c r="S44" i="1"/>
  <c r="Q43" i="1"/>
  <c r="S43" i="1" s="1"/>
  <c r="Q42" i="1"/>
  <c r="Q38" i="1"/>
  <c r="Q37" i="1"/>
  <c r="S37" i="1" s="1"/>
  <c r="Q36" i="1"/>
  <c r="S36" i="1" s="1"/>
  <c r="Q35" i="1"/>
  <c r="S35" i="1" s="1"/>
  <c r="Q34" i="1"/>
  <c r="Q31" i="1"/>
  <c r="S31" i="1" s="1"/>
  <c r="Q30" i="1"/>
  <c r="S30" i="1" s="1"/>
  <c r="Q29" i="1"/>
  <c r="S29" i="1" s="1"/>
  <c r="Q28" i="1"/>
  <c r="Q27" i="1"/>
  <c r="S27" i="1" s="1"/>
  <c r="Q26" i="1"/>
  <c r="Q25" i="1"/>
  <c r="S25" i="1" s="1"/>
  <c r="Q24" i="1"/>
  <c r="Q22" i="1"/>
  <c r="S22" i="1" s="1"/>
  <c r="Q21" i="1"/>
  <c r="Q18" i="1"/>
  <c r="Q12" i="1"/>
  <c r="S12" i="1" s="1"/>
  <c r="Q11" i="1"/>
  <c r="S11" i="1" s="1"/>
  <c r="R62" i="1" l="1"/>
  <c r="S62" i="1"/>
  <c r="R18" i="1"/>
  <c r="S18" i="1"/>
  <c r="R24" i="1"/>
  <c r="S24" i="1"/>
  <c r="R28" i="1"/>
  <c r="S28" i="1"/>
  <c r="R34" i="1"/>
  <c r="S34" i="1"/>
  <c r="R38" i="1"/>
  <c r="S38" i="1"/>
  <c r="R42" i="1"/>
  <c r="S42" i="1"/>
  <c r="R45" i="1"/>
  <c r="S45" i="1"/>
  <c r="R53" i="1"/>
  <c r="S53" i="1"/>
  <c r="R59" i="1"/>
  <c r="S59" i="1"/>
  <c r="R63" i="1"/>
  <c r="S63" i="1"/>
  <c r="R67" i="1"/>
  <c r="S67" i="1"/>
  <c r="R49" i="1"/>
  <c r="S49" i="1"/>
  <c r="R60" i="1"/>
  <c r="S60" i="1"/>
  <c r="R21" i="1"/>
  <c r="S21" i="1"/>
  <c r="R26" i="1"/>
  <c r="S26" i="1"/>
  <c r="R57" i="1"/>
  <c r="S57" i="1"/>
  <c r="R61" i="1"/>
  <c r="S61" i="1"/>
  <c r="R69" i="1"/>
  <c r="S69" i="1"/>
  <c r="R58" i="1"/>
  <c r="R22" i="1"/>
  <c r="R37" i="1"/>
  <c r="R66" i="1"/>
  <c r="R27" i="1"/>
  <c r="R44" i="1"/>
  <c r="R12" i="1"/>
  <c r="R31" i="1"/>
  <c r="R52" i="1"/>
  <c r="R30" i="1"/>
  <c r="R36" i="1"/>
  <c r="R50" i="1"/>
  <c r="R65" i="1"/>
  <c r="R25" i="1"/>
  <c r="R29" i="1"/>
  <c r="R35" i="1"/>
  <c r="R43" i="1"/>
  <c r="R54" i="1"/>
  <c r="R64" i="1"/>
  <c r="R68" i="1"/>
  <c r="R11" i="1"/>
  <c r="Q92" i="1"/>
  <c r="S92" i="1" s="1"/>
  <c r="Q91" i="1"/>
  <c r="S91" i="1" s="1"/>
  <c r="Q90" i="1"/>
  <c r="Q89" i="1"/>
  <c r="S89" i="1" s="1"/>
  <c r="Q88" i="1"/>
  <c r="S88" i="1" s="1"/>
  <c r="Q87" i="1"/>
  <c r="S87" i="1" s="1"/>
  <c r="Q86" i="1"/>
  <c r="Q85" i="1"/>
  <c r="S85" i="1" s="1"/>
  <c r="Q84" i="1"/>
  <c r="S84" i="1" s="1"/>
  <c r="Q83" i="1"/>
  <c r="S83" i="1" s="1"/>
  <c r="Q82" i="1"/>
  <c r="Q81" i="1"/>
  <c r="S81" i="1" s="1"/>
  <c r="Q80" i="1"/>
  <c r="S80" i="1" s="1"/>
  <c r="Q79" i="1"/>
  <c r="S79" i="1" s="1"/>
  <c r="Q78" i="1"/>
  <c r="Q77" i="1"/>
  <c r="R86" i="1" l="1"/>
  <c r="S86" i="1"/>
  <c r="R90" i="1"/>
  <c r="S90" i="1"/>
  <c r="R82" i="1"/>
  <c r="S82" i="1"/>
  <c r="R78" i="1"/>
  <c r="S78" i="1"/>
  <c r="R77" i="1"/>
  <c r="S77" i="1"/>
  <c r="D25" i="11"/>
  <c r="R89" i="1"/>
  <c r="R85" i="1"/>
  <c r="R81" i="1"/>
  <c r="R80" i="1"/>
  <c r="R84" i="1"/>
  <c r="R88" i="1"/>
  <c r="R92" i="1"/>
  <c r="R79" i="1"/>
  <c r="R83" i="1"/>
  <c r="R87" i="1"/>
  <c r="R91" i="1"/>
  <c r="D26" i="11" l="1"/>
  <c r="Q131" i="1"/>
  <c r="S131" i="1" s="1"/>
  <c r="Q130" i="1"/>
  <c r="Q129" i="1"/>
  <c r="S129" i="1" s="1"/>
  <c r="Q128" i="1"/>
  <c r="Q127" i="1"/>
  <c r="Q126" i="1"/>
  <c r="Q125" i="1"/>
  <c r="S125" i="1" s="1"/>
  <c r="Q124" i="1"/>
  <c r="Q123" i="1"/>
  <c r="Q122" i="1"/>
  <c r="Q121" i="1"/>
  <c r="S121" i="1" s="1"/>
  <c r="Q120" i="1"/>
  <c r="Q119" i="1"/>
  <c r="Q118" i="1"/>
  <c r="S118" i="1" s="1"/>
  <c r="Q117" i="1"/>
  <c r="S117" i="1" s="1"/>
  <c r="Q116" i="1"/>
  <c r="Q115" i="1"/>
  <c r="Q114" i="1"/>
  <c r="S114" i="1" s="1"/>
  <c r="Q113" i="1"/>
  <c r="S113" i="1" s="1"/>
  <c r="R122" i="1" l="1"/>
  <c r="S122" i="1"/>
  <c r="R126" i="1"/>
  <c r="S126" i="1"/>
  <c r="R130" i="1"/>
  <c r="S130" i="1"/>
  <c r="R115" i="1"/>
  <c r="S115" i="1"/>
  <c r="R119" i="1"/>
  <c r="S119" i="1"/>
  <c r="R123" i="1"/>
  <c r="S123" i="1"/>
  <c r="R127" i="1"/>
  <c r="S127" i="1"/>
  <c r="R116" i="1"/>
  <c r="S116" i="1"/>
  <c r="R120" i="1"/>
  <c r="S120" i="1"/>
  <c r="R124" i="1"/>
  <c r="S124" i="1"/>
  <c r="R128" i="1"/>
  <c r="S128" i="1"/>
  <c r="R118" i="1"/>
  <c r="R114" i="1"/>
  <c r="R117" i="1"/>
  <c r="R131" i="1"/>
  <c r="R125" i="1"/>
  <c r="R113" i="1"/>
  <c r="R121" i="1"/>
  <c r="R129" i="1"/>
  <c r="D28" i="11" l="1"/>
  <c r="Q177" i="1"/>
  <c r="S177" i="1" s="1"/>
  <c r="Q176" i="1"/>
  <c r="S176" i="1" s="1"/>
  <c r="Q175" i="1"/>
  <c r="S175" i="1" s="1"/>
  <c r="Q174" i="1"/>
  <c r="S174" i="1" s="1"/>
  <c r="Q173" i="1"/>
  <c r="S173" i="1" s="1"/>
  <c r="Q172" i="1"/>
  <c r="S172" i="1" s="1"/>
  <c r="Q171" i="1"/>
  <c r="S171" i="1" s="1"/>
  <c r="Q170" i="1"/>
  <c r="S170" i="1" s="1"/>
  <c r="Q169" i="1"/>
  <c r="S169" i="1" s="1"/>
  <c r="Q168" i="1"/>
  <c r="S168" i="1" s="1"/>
  <c r="Q167" i="1"/>
  <c r="S167" i="1" s="1"/>
  <c r="Q165" i="1"/>
  <c r="S165" i="1" s="1"/>
  <c r="Q164" i="1"/>
  <c r="S164" i="1" s="1"/>
  <c r="Q163" i="1"/>
  <c r="S163" i="1" s="1"/>
  <c r="Q162" i="1"/>
  <c r="S162" i="1" s="1"/>
  <c r="Q161" i="1"/>
  <c r="S161" i="1" s="1"/>
  <c r="Q160" i="1"/>
  <c r="S160" i="1" s="1"/>
  <c r="Q159" i="1"/>
  <c r="S159" i="1" s="1"/>
  <c r="Q158" i="1"/>
  <c r="S158" i="1" s="1"/>
  <c r="Q157" i="1"/>
  <c r="S157" i="1" s="1"/>
  <c r="Q156" i="1"/>
  <c r="S156" i="1" s="1"/>
  <c r="Q155" i="1"/>
  <c r="S155" i="1" s="1"/>
  <c r="Q154" i="1"/>
  <c r="S154" i="1" s="1"/>
  <c r="Q153" i="1"/>
  <c r="S153" i="1" s="1"/>
  <c r="Q152" i="1"/>
  <c r="S152" i="1" s="1"/>
  <c r="Q151" i="1"/>
  <c r="S151" i="1" s="1"/>
  <c r="Q150" i="1"/>
  <c r="S150" i="1" s="1"/>
  <c r="Q149" i="1"/>
  <c r="S149" i="1" s="1"/>
  <c r="Q148" i="1"/>
  <c r="S148" i="1" s="1"/>
  <c r="Q147" i="1"/>
  <c r="S147" i="1" s="1"/>
  <c r="R154" i="1" l="1"/>
  <c r="R162" i="1"/>
  <c r="R170" i="1"/>
  <c r="R147" i="1"/>
  <c r="R151" i="1"/>
  <c r="R155" i="1"/>
  <c r="R159" i="1"/>
  <c r="R163" i="1"/>
  <c r="R167" i="1"/>
  <c r="R171" i="1"/>
  <c r="R175" i="1"/>
  <c r="R150" i="1"/>
  <c r="R166" i="1"/>
  <c r="R174" i="1"/>
  <c r="R158" i="1"/>
  <c r="R149" i="1"/>
  <c r="R153" i="1"/>
  <c r="R157" i="1"/>
  <c r="R161" i="1"/>
  <c r="R165" i="1"/>
  <c r="R169" i="1"/>
  <c r="R173" i="1"/>
  <c r="R177" i="1"/>
  <c r="R148" i="1"/>
  <c r="R152" i="1"/>
  <c r="R156" i="1"/>
  <c r="R160" i="1"/>
  <c r="R164" i="1"/>
  <c r="R168" i="1"/>
  <c r="R172" i="1"/>
  <c r="R176" i="1"/>
  <c r="D29" i="11" l="1"/>
  <c r="Q111" i="1"/>
  <c r="Q110" i="1"/>
  <c r="S110" i="1" s="1"/>
  <c r="Q109" i="1"/>
  <c r="Q108" i="1"/>
  <c r="S108" i="1" s="1"/>
  <c r="Q107" i="1"/>
  <c r="Q106" i="1"/>
  <c r="S106" i="1" s="1"/>
  <c r="Q105" i="1"/>
  <c r="Q104" i="1"/>
  <c r="Q103" i="1"/>
  <c r="Q102" i="1"/>
  <c r="S102" i="1" s="1"/>
  <c r="Q101" i="1"/>
  <c r="Q100" i="1"/>
  <c r="S100" i="1" s="1"/>
  <c r="Q99" i="1"/>
  <c r="S99" i="1" s="1"/>
  <c r="Q98" i="1"/>
  <c r="S98" i="1" s="1"/>
  <c r="Q97" i="1"/>
  <c r="Q96" i="1"/>
  <c r="S96" i="1" s="1"/>
  <c r="Q95" i="1"/>
  <c r="S95" i="1" s="1"/>
  <c r="Q94" i="1"/>
  <c r="S94" i="1" s="1"/>
  <c r="Q93" i="1"/>
  <c r="R93" i="1" l="1"/>
  <c r="S93" i="1"/>
  <c r="R97" i="1"/>
  <c r="S97" i="1"/>
  <c r="R101" i="1"/>
  <c r="S101" i="1"/>
  <c r="R105" i="1"/>
  <c r="S105" i="1"/>
  <c r="R109" i="1"/>
  <c r="S109" i="1"/>
  <c r="R104" i="1"/>
  <c r="S104" i="1"/>
  <c r="R103" i="1"/>
  <c r="S103" i="1"/>
  <c r="R107" i="1"/>
  <c r="S107" i="1"/>
  <c r="R111" i="1"/>
  <c r="S111" i="1"/>
  <c r="R96" i="1"/>
  <c r="D27" i="11"/>
  <c r="R100" i="1"/>
  <c r="R108" i="1"/>
  <c r="R95" i="1"/>
  <c r="R99" i="1"/>
  <c r="R94" i="1"/>
  <c r="R98" i="1"/>
  <c r="R102" i="1"/>
  <c r="R106" i="1"/>
  <c r="R110" i="1"/>
  <c r="Q225" i="1" l="1"/>
  <c r="S225" i="1" s="1"/>
  <c r="Q224" i="1"/>
  <c r="S224" i="1" s="1"/>
  <c r="Q223" i="1"/>
  <c r="S223" i="1" s="1"/>
  <c r="Q222" i="1"/>
  <c r="S222" i="1" s="1"/>
  <c r="Q221" i="1"/>
  <c r="S221" i="1" s="1"/>
  <c r="Q220" i="1"/>
  <c r="S220" i="1" s="1"/>
  <c r="Q219" i="1"/>
  <c r="S219" i="1" s="1"/>
  <c r="Q218" i="1"/>
  <c r="S218" i="1" s="1"/>
  <c r="Q217" i="1"/>
  <c r="S217" i="1" s="1"/>
  <c r="Q216" i="1"/>
  <c r="S216" i="1" s="1"/>
  <c r="Q215" i="1"/>
  <c r="S215" i="1" s="1"/>
  <c r="Q214" i="1"/>
  <c r="S214" i="1" s="1"/>
  <c r="Q213" i="1"/>
  <c r="S213" i="1" s="1"/>
  <c r="Q212" i="1"/>
  <c r="S212" i="1" s="1"/>
  <c r="Q211" i="1"/>
  <c r="S211" i="1" s="1"/>
  <c r="Q210" i="1"/>
  <c r="S210" i="1" s="1"/>
  <c r="Q209" i="1"/>
  <c r="S209" i="1" s="1"/>
  <c r="Q208" i="1"/>
  <c r="S208" i="1" s="1"/>
  <c r="Q205" i="1"/>
  <c r="S205" i="1" s="1"/>
  <c r="Q204" i="1"/>
  <c r="S204" i="1" s="1"/>
  <c r="Q203" i="1"/>
  <c r="S203" i="1" s="1"/>
  <c r="Q202" i="1"/>
  <c r="S202" i="1" s="1"/>
  <c r="Q201" i="1"/>
  <c r="S201" i="1" s="1"/>
  <c r="Q200" i="1"/>
  <c r="S200" i="1" s="1"/>
  <c r="Q199" i="1"/>
  <c r="S199" i="1" s="1"/>
  <c r="Q198" i="1"/>
  <c r="S198" i="1" s="1"/>
  <c r="Q197" i="1"/>
  <c r="S197" i="1" s="1"/>
  <c r="D24" i="11" l="1"/>
  <c r="R198" i="1"/>
  <c r="R200" i="1"/>
  <c r="R202" i="1"/>
  <c r="R204" i="1"/>
  <c r="R209" i="1"/>
  <c r="R211" i="1"/>
  <c r="R213" i="1"/>
  <c r="R215" i="1"/>
  <c r="R217" i="1"/>
  <c r="R219" i="1"/>
  <c r="R220" i="1"/>
  <c r="R222" i="1"/>
  <c r="R224" i="1"/>
  <c r="R197" i="1"/>
  <c r="R199" i="1"/>
  <c r="R201" i="1"/>
  <c r="R203" i="1"/>
  <c r="R205" i="1"/>
  <c r="R208" i="1"/>
  <c r="R210" i="1"/>
  <c r="R212" i="1"/>
  <c r="R214" i="1"/>
  <c r="R216" i="1"/>
  <c r="R218" i="1"/>
  <c r="R221" i="1"/>
  <c r="R223" i="1"/>
  <c r="R225" i="1"/>
  <c r="D33" i="10" l="1"/>
  <c r="D32" i="10"/>
  <c r="D31" i="10"/>
  <c r="Q403" i="9" l="1"/>
  <c r="S403" i="9" s="1"/>
  <c r="Q404" i="9"/>
  <c r="S404" i="9" s="1"/>
  <c r="Q405" i="9"/>
  <c r="S405" i="9" s="1"/>
  <c r="Q406" i="9"/>
  <c r="S406" i="9" s="1"/>
  <c r="Q407" i="9"/>
  <c r="S407" i="9" s="1"/>
  <c r="Q408" i="9"/>
  <c r="S408" i="9" s="1"/>
  <c r="Q409" i="9"/>
  <c r="S409" i="9" s="1"/>
  <c r="Q410" i="9"/>
  <c r="S410" i="9" s="1"/>
  <c r="Q412" i="9"/>
  <c r="S412" i="9" s="1"/>
  <c r="Q413" i="9"/>
  <c r="S413" i="9" s="1"/>
  <c r="Q414" i="9"/>
  <c r="S414" i="9" s="1"/>
  <c r="Q415" i="9"/>
  <c r="S415" i="9" s="1"/>
  <c r="Q416" i="9"/>
  <c r="S416" i="9" s="1"/>
  <c r="Q417" i="9"/>
  <c r="S417" i="9" s="1"/>
  <c r="R415" i="9" l="1"/>
  <c r="R414" i="9"/>
  <c r="R409" i="9"/>
  <c r="R416" i="9"/>
  <c r="R412" i="9"/>
  <c r="R407" i="9"/>
  <c r="R406" i="9"/>
  <c r="R403" i="9"/>
  <c r="R413" i="9"/>
  <c r="R408" i="9"/>
  <c r="R417" i="9"/>
  <c r="R410" i="9"/>
  <c r="R404" i="9"/>
  <c r="R405" i="9"/>
  <c r="Q271" i="3"/>
  <c r="S271" i="3" s="1"/>
  <c r="Q270" i="3"/>
  <c r="S270" i="3" s="1"/>
  <c r="Q269" i="3"/>
  <c r="S269" i="3" s="1"/>
  <c r="Q268" i="3"/>
  <c r="S268" i="3" s="1"/>
  <c r="Q267" i="3"/>
  <c r="S267" i="3" s="1"/>
  <c r="Q266" i="3"/>
  <c r="S266" i="3" s="1"/>
  <c r="Q265" i="3"/>
  <c r="S265" i="3" s="1"/>
  <c r="Q264" i="3"/>
  <c r="S264" i="3" s="1"/>
  <c r="Q263" i="3"/>
  <c r="S263" i="3" s="1"/>
  <c r="Q262" i="3"/>
  <c r="S262" i="3" s="1"/>
  <c r="Q261" i="3"/>
  <c r="S261" i="3" s="1"/>
  <c r="Q260" i="3"/>
  <c r="S260" i="3" s="1"/>
  <c r="F72" i="11" l="1"/>
  <c r="R260" i="3"/>
  <c r="R264" i="3"/>
  <c r="R268" i="3"/>
  <c r="R262" i="3"/>
  <c r="R263" i="3"/>
  <c r="R267" i="3"/>
  <c r="R271" i="3"/>
  <c r="R266" i="3"/>
  <c r="R270" i="3"/>
  <c r="R265" i="3"/>
  <c r="R269" i="3"/>
  <c r="R261" i="3"/>
  <c r="Q259" i="3"/>
  <c r="S259" i="3" s="1"/>
  <c r="Q258" i="3"/>
  <c r="S258" i="3" s="1"/>
  <c r="Q257" i="3"/>
  <c r="S257" i="3" s="1"/>
  <c r="Q256" i="3"/>
  <c r="S256" i="3" s="1"/>
  <c r="Q255" i="3"/>
  <c r="S255" i="3" s="1"/>
  <c r="Q254" i="3"/>
  <c r="S254" i="3" s="1"/>
  <c r="Q253" i="3"/>
  <c r="S253" i="3" s="1"/>
  <c r="Q252" i="3"/>
  <c r="S252" i="3" s="1"/>
  <c r="H72" i="11" l="1"/>
  <c r="F71" i="11"/>
  <c r="R258" i="3"/>
  <c r="R259" i="3"/>
  <c r="R252" i="3"/>
  <c r="H71" i="11"/>
  <c r="R256" i="3"/>
  <c r="D72" i="11"/>
  <c r="J72" i="11"/>
  <c r="L72" i="11"/>
  <c r="R255" i="3"/>
  <c r="R254" i="3"/>
  <c r="R257" i="3"/>
  <c r="R253" i="3"/>
  <c r="D71" i="11" l="1"/>
  <c r="J71" i="11"/>
  <c r="L71" i="11"/>
  <c r="Q251" i="3"/>
  <c r="S251" i="3" s="1"/>
  <c r="Q250" i="3"/>
  <c r="S250" i="3" s="1"/>
  <c r="Q249" i="3"/>
  <c r="S249" i="3" s="1"/>
  <c r="Q248" i="3"/>
  <c r="S248" i="3" s="1"/>
  <c r="Q247" i="3"/>
  <c r="S247" i="3" s="1"/>
  <c r="Q246" i="3"/>
  <c r="S246" i="3" s="1"/>
  <c r="Q245" i="3"/>
  <c r="S245" i="3" s="1"/>
  <c r="Q244" i="3"/>
  <c r="S244" i="3" s="1"/>
  <c r="Q243" i="3"/>
  <c r="S243" i="3" s="1"/>
  <c r="Q242" i="3"/>
  <c r="S242" i="3" s="1"/>
  <c r="Q241" i="3"/>
  <c r="S241" i="3" s="1"/>
  <c r="Q240" i="3"/>
  <c r="S240" i="3" s="1"/>
  <c r="F70" i="11" l="1"/>
  <c r="H70" i="11"/>
  <c r="R242" i="3"/>
  <c r="R247" i="3"/>
  <c r="R251" i="3"/>
  <c r="D70" i="11"/>
  <c r="L70" i="11"/>
  <c r="R246" i="3"/>
  <c r="R243" i="3"/>
  <c r="R250" i="3"/>
  <c r="R245" i="3"/>
  <c r="R249" i="3"/>
  <c r="R241" i="3"/>
  <c r="R240" i="3"/>
  <c r="R244" i="3"/>
  <c r="R248" i="3"/>
  <c r="J70" i="11" l="1"/>
  <c r="Q237" i="3"/>
  <c r="S237" i="3" s="1"/>
  <c r="Q236" i="3"/>
  <c r="S236" i="3" s="1"/>
  <c r="Q235" i="3"/>
  <c r="S235" i="3" s="1"/>
  <c r="Q234" i="3"/>
  <c r="S234" i="3" s="1"/>
  <c r="Q233" i="3"/>
  <c r="S233" i="3" s="1"/>
  <c r="Q232" i="3"/>
  <c r="S232" i="3" s="1"/>
  <c r="Q231" i="3"/>
  <c r="S231" i="3" s="1"/>
  <c r="Q230" i="3"/>
  <c r="S230" i="3" s="1"/>
  <c r="Q229" i="3"/>
  <c r="S229" i="3" s="1"/>
  <c r="Q228" i="3"/>
  <c r="S228" i="3" s="1"/>
  <c r="Q227" i="3"/>
  <c r="S227" i="3" s="1"/>
  <c r="Q226" i="3"/>
  <c r="S226" i="3" s="1"/>
  <c r="Q225" i="3"/>
  <c r="S225" i="3" s="1"/>
  <c r="Q224" i="3"/>
  <c r="S224" i="3" s="1"/>
  <c r="Q223" i="3"/>
  <c r="S223" i="3" s="1"/>
  <c r="Q222" i="3"/>
  <c r="S222" i="3" s="1"/>
  <c r="Q221" i="3"/>
  <c r="S221" i="3" s="1"/>
  <c r="Q220" i="3"/>
  <c r="S220" i="3" s="1"/>
  <c r="Q219" i="3"/>
  <c r="S219" i="3" s="1"/>
  <c r="Q218" i="3"/>
  <c r="S218" i="3" s="1"/>
  <c r="Q217" i="3"/>
  <c r="S217" i="3" s="1"/>
  <c r="Q216" i="3"/>
  <c r="S216" i="3" s="1"/>
  <c r="Q215" i="3"/>
  <c r="S215" i="3" s="1"/>
  <c r="Q214" i="3"/>
  <c r="S214" i="3" s="1"/>
  <c r="Q213" i="3"/>
  <c r="S213" i="3" s="1"/>
  <c r="Q212" i="3"/>
  <c r="S212" i="3" s="1"/>
  <c r="Q211" i="3"/>
  <c r="S211" i="3" s="1"/>
  <c r="Q210" i="3"/>
  <c r="S210" i="3" s="1"/>
  <c r="F69" i="11" l="1"/>
  <c r="R227" i="3"/>
  <c r="R231" i="3"/>
  <c r="R235" i="3"/>
  <c r="R232" i="3"/>
  <c r="R236" i="3"/>
  <c r="R224" i="3"/>
  <c r="R216" i="3"/>
  <c r="R220" i="3"/>
  <c r="R226" i="3"/>
  <c r="R215" i="3"/>
  <c r="R228" i="3"/>
  <c r="R230" i="3"/>
  <c r="R212" i="3"/>
  <c r="R211" i="3"/>
  <c r="R219" i="3"/>
  <c r="R223" i="3"/>
  <c r="R234" i="3"/>
  <c r="R214" i="3"/>
  <c r="R218" i="3"/>
  <c r="R210" i="3"/>
  <c r="R222" i="3"/>
  <c r="R213" i="3"/>
  <c r="R217" i="3"/>
  <c r="R221" i="3"/>
  <c r="R225" i="3"/>
  <c r="R229" i="3"/>
  <c r="R233" i="3"/>
  <c r="R237" i="3"/>
  <c r="Q209" i="3"/>
  <c r="S209" i="3" s="1"/>
  <c r="Q208" i="3"/>
  <c r="S208" i="3" s="1"/>
  <c r="Q207" i="3"/>
  <c r="S207" i="3" s="1"/>
  <c r="Q206" i="3"/>
  <c r="S206" i="3" s="1"/>
  <c r="Q205" i="3"/>
  <c r="S205" i="3" s="1"/>
  <c r="Q204" i="3"/>
  <c r="S204" i="3" s="1"/>
  <c r="Q203" i="3"/>
  <c r="S203" i="3" s="1"/>
  <c r="Q202" i="3"/>
  <c r="S202" i="3" s="1"/>
  <c r="Q201" i="3"/>
  <c r="S201" i="3" s="1"/>
  <c r="Q200" i="3"/>
  <c r="S200" i="3" s="1"/>
  <c r="Q199" i="3"/>
  <c r="S199" i="3" s="1"/>
  <c r="Q198" i="3"/>
  <c r="S198" i="3" s="1"/>
  <c r="Q197" i="3"/>
  <c r="S197" i="3" s="1"/>
  <c r="Q196" i="3"/>
  <c r="S196" i="3" s="1"/>
  <c r="Q195" i="3"/>
  <c r="S195" i="3" s="1"/>
  <c r="Q194" i="3"/>
  <c r="S194" i="3" s="1"/>
  <c r="D69" i="11" l="1"/>
  <c r="H69" i="11"/>
  <c r="F68" i="11"/>
  <c r="H68" i="11"/>
  <c r="R197" i="3"/>
  <c r="R196" i="3"/>
  <c r="R208" i="3"/>
  <c r="R201" i="3"/>
  <c r="R205" i="3"/>
  <c r="L69" i="11"/>
  <c r="J69" i="11"/>
  <c r="R204" i="3"/>
  <c r="R200" i="3"/>
  <c r="R207" i="3"/>
  <c r="R195" i="3"/>
  <c r="R199" i="3"/>
  <c r="R203" i="3"/>
  <c r="R194" i="3"/>
  <c r="R198" i="3"/>
  <c r="R202" i="3"/>
  <c r="R206" i="3"/>
  <c r="R209" i="3"/>
  <c r="Q193" i="3"/>
  <c r="S193" i="3" s="1"/>
  <c r="Q192" i="3"/>
  <c r="S192" i="3" s="1"/>
  <c r="Q191" i="3"/>
  <c r="S191" i="3" s="1"/>
  <c r="Q190" i="3"/>
  <c r="S190" i="3" s="1"/>
  <c r="F67" i="11" l="1"/>
  <c r="R190" i="3"/>
  <c r="R191" i="3"/>
  <c r="R192" i="3"/>
  <c r="D68" i="11"/>
  <c r="J68" i="11"/>
  <c r="L68" i="11"/>
  <c r="R193" i="3"/>
  <c r="H67" i="11" l="1"/>
  <c r="J67" i="11"/>
  <c r="L67" i="11"/>
  <c r="Q187" i="3"/>
  <c r="S187" i="3" s="1"/>
  <c r="Q186" i="3"/>
  <c r="S186" i="3" s="1"/>
  <c r="Q185" i="3"/>
  <c r="S185" i="3" s="1"/>
  <c r="Q184" i="3"/>
  <c r="S184" i="3" s="1"/>
  <c r="Q183" i="3"/>
  <c r="S183" i="3" s="1"/>
  <c r="Q182" i="3"/>
  <c r="S182" i="3" s="1"/>
  <c r="Q181" i="3"/>
  <c r="S181" i="3" s="1"/>
  <c r="Q180" i="3"/>
  <c r="S180" i="3" s="1"/>
  <c r="Q179" i="3"/>
  <c r="S179" i="3" s="1"/>
  <c r="Q178" i="3"/>
  <c r="S178" i="3" s="1"/>
  <c r="Q177" i="3"/>
  <c r="S177" i="3" s="1"/>
  <c r="Q176" i="3"/>
  <c r="S176" i="3" s="1"/>
  <c r="Q175" i="3"/>
  <c r="S175" i="3" s="1"/>
  <c r="Q174" i="3"/>
  <c r="S174" i="3" s="1"/>
  <c r="Q173" i="3"/>
  <c r="S173" i="3" s="1"/>
  <c r="Q172" i="3"/>
  <c r="S172" i="3" s="1"/>
  <c r="Q171" i="3"/>
  <c r="S171" i="3" s="1"/>
  <c r="Q170" i="3"/>
  <c r="S170" i="3" s="1"/>
  <c r="F66" i="11" l="1"/>
  <c r="H66" i="11"/>
  <c r="R178" i="3"/>
  <c r="R187" i="3"/>
  <c r="R172" i="3"/>
  <c r="R180" i="3"/>
  <c r="R173" i="3"/>
  <c r="J66" i="11"/>
  <c r="D66" i="11"/>
  <c r="R176" i="3"/>
  <c r="R183" i="3"/>
  <c r="R179" i="3"/>
  <c r="R184" i="3"/>
  <c r="R171" i="3"/>
  <c r="R175" i="3"/>
  <c r="R170" i="3"/>
  <c r="R174" i="3"/>
  <c r="R182" i="3"/>
  <c r="R186" i="3"/>
  <c r="R177" i="3"/>
  <c r="R181" i="3"/>
  <c r="R185" i="3"/>
  <c r="L66" i="11" l="1"/>
  <c r="R167" i="3"/>
  <c r="Q163" i="3"/>
  <c r="S163" i="3" s="1"/>
  <c r="Q162" i="3"/>
  <c r="S162" i="3" s="1"/>
  <c r="Q161" i="3"/>
  <c r="S161" i="3" s="1"/>
  <c r="Q160" i="3"/>
  <c r="S160" i="3" s="1"/>
  <c r="S159" i="3"/>
  <c r="S158" i="3"/>
  <c r="Q157" i="3"/>
  <c r="S157" i="3" s="1"/>
  <c r="R156" i="3"/>
  <c r="R155" i="3"/>
  <c r="R153" i="3"/>
  <c r="Q152" i="3"/>
  <c r="S152" i="3" s="1"/>
  <c r="Q151" i="3"/>
  <c r="S151" i="3" s="1"/>
  <c r="Q150" i="3"/>
  <c r="S150" i="3" s="1"/>
  <c r="Q149" i="3"/>
  <c r="S149" i="3" s="1"/>
  <c r="Q148" i="3"/>
  <c r="S148" i="3" s="1"/>
  <c r="Q147" i="3"/>
  <c r="S147" i="3" s="1"/>
  <c r="Q146" i="3"/>
  <c r="S146" i="3" s="1"/>
  <c r="Q145" i="3"/>
  <c r="S145" i="3" s="1"/>
  <c r="Q144" i="3"/>
  <c r="S144" i="3" s="1"/>
  <c r="Q143" i="3"/>
  <c r="S143" i="3" s="1"/>
  <c r="Q142" i="3"/>
  <c r="S142" i="3" s="1"/>
  <c r="Q141" i="3"/>
  <c r="S141" i="3" s="1"/>
  <c r="Q140" i="3"/>
  <c r="S140" i="3" s="1"/>
  <c r="Q139" i="3"/>
  <c r="S139" i="3" s="1"/>
  <c r="Q138" i="3"/>
  <c r="S138" i="3" s="1"/>
  <c r="Q137" i="3"/>
  <c r="S137" i="3" s="1"/>
  <c r="Q136" i="3"/>
  <c r="S136" i="3" s="1"/>
  <c r="Q135" i="3"/>
  <c r="S135" i="3" s="1"/>
  <c r="Q134" i="3"/>
  <c r="S134" i="3" s="1"/>
  <c r="Q133" i="3"/>
  <c r="S133" i="3" s="1"/>
  <c r="Q132" i="3"/>
  <c r="S132" i="3" s="1"/>
  <c r="F65" i="11" l="1"/>
  <c r="R169" i="3"/>
  <c r="R133" i="3"/>
  <c r="R137" i="3"/>
  <c r="R141" i="3"/>
  <c r="R145" i="3"/>
  <c r="R149" i="3"/>
  <c r="R159" i="3"/>
  <c r="R139" i="3"/>
  <c r="R143" i="3"/>
  <c r="R147" i="3"/>
  <c r="R151" i="3"/>
  <c r="R132" i="3"/>
  <c r="H65" i="11"/>
  <c r="R157" i="3"/>
  <c r="R161" i="3"/>
  <c r="L65" i="11"/>
  <c r="R148" i="3"/>
  <c r="R136" i="3"/>
  <c r="R144" i="3"/>
  <c r="R152" i="3"/>
  <c r="R160" i="3"/>
  <c r="R140" i="3"/>
  <c r="R163" i="3"/>
  <c r="R135" i="3"/>
  <c r="R134" i="3"/>
  <c r="R138" i="3"/>
  <c r="R142" i="3"/>
  <c r="R146" i="3"/>
  <c r="R150" i="3"/>
  <c r="R154" i="3"/>
  <c r="R158" i="3"/>
  <c r="R162" i="3"/>
  <c r="R166" i="3"/>
  <c r="Q131" i="3"/>
  <c r="S131" i="3" s="1"/>
  <c r="Q130" i="3"/>
  <c r="S130" i="3" s="1"/>
  <c r="Q129" i="3"/>
  <c r="S129" i="3" s="1"/>
  <c r="Q128" i="3"/>
  <c r="S128" i="3" s="1"/>
  <c r="Q127" i="3"/>
  <c r="S127" i="3" s="1"/>
  <c r="Q126" i="3"/>
  <c r="S126" i="3" s="1"/>
  <c r="Q125" i="3"/>
  <c r="S125" i="3" s="1"/>
  <c r="Q124" i="3"/>
  <c r="S124" i="3" s="1"/>
  <c r="Q123" i="3"/>
  <c r="S123" i="3" s="1"/>
  <c r="Q122" i="3"/>
  <c r="S122" i="3" s="1"/>
  <c r="Q121" i="3"/>
  <c r="S121" i="3" s="1"/>
  <c r="Q120" i="3"/>
  <c r="S120" i="3" s="1"/>
  <c r="Q119" i="3"/>
  <c r="S119" i="3" s="1"/>
  <c r="Q118" i="3"/>
  <c r="S118" i="3" s="1"/>
  <c r="F64" i="11" l="1"/>
  <c r="H64" i="11"/>
  <c r="R121" i="3"/>
  <c r="R125" i="3"/>
  <c r="R122" i="3"/>
  <c r="R130" i="3"/>
  <c r="R123" i="3"/>
  <c r="J65" i="11"/>
  <c r="D65" i="11"/>
  <c r="R120" i="3"/>
  <c r="R128" i="3"/>
  <c r="R124" i="3"/>
  <c r="R127" i="3"/>
  <c r="R118" i="3"/>
  <c r="R126" i="3"/>
  <c r="R129" i="3"/>
  <c r="R119" i="3"/>
  <c r="R131" i="3"/>
  <c r="L64" i="11" l="1"/>
  <c r="D64" i="11"/>
  <c r="J64" i="11"/>
  <c r="Q117" i="3"/>
  <c r="S117" i="3" s="1"/>
  <c r="Q116" i="3"/>
  <c r="S116" i="3" s="1"/>
  <c r="Q115" i="3"/>
  <c r="S115" i="3" s="1"/>
  <c r="Q114" i="3"/>
  <c r="S114" i="3" s="1"/>
  <c r="Q113" i="3"/>
  <c r="S113" i="3" s="1"/>
  <c r="Q112" i="3"/>
  <c r="S112" i="3" s="1"/>
  <c r="Q111" i="3"/>
  <c r="S111" i="3" s="1"/>
  <c r="Q110" i="3"/>
  <c r="S110" i="3" s="1"/>
  <c r="Q109" i="3"/>
  <c r="S109" i="3" s="1"/>
  <c r="Q108" i="3"/>
  <c r="S108" i="3" s="1"/>
  <c r="Q107" i="3"/>
  <c r="S107" i="3" s="1"/>
  <c r="Q106" i="3"/>
  <c r="S106" i="3" s="1"/>
  <c r="Q105" i="3"/>
  <c r="S105" i="3" s="1"/>
  <c r="Q104" i="3"/>
  <c r="S104" i="3" s="1"/>
  <c r="Q103" i="3"/>
  <c r="S103" i="3" s="1"/>
  <c r="Q102" i="3"/>
  <c r="S102" i="3" s="1"/>
  <c r="Q101" i="3"/>
  <c r="S101" i="3" s="1"/>
  <c r="Q100" i="3"/>
  <c r="S100" i="3" s="1"/>
  <c r="Q99" i="3"/>
  <c r="S99" i="3" s="1"/>
  <c r="Q98" i="3"/>
  <c r="S98" i="3" s="1"/>
  <c r="Q97" i="3"/>
  <c r="S97" i="3" s="1"/>
  <c r="F63" i="11" l="1"/>
  <c r="H63" i="11"/>
  <c r="R98" i="3"/>
  <c r="R102" i="3"/>
  <c r="R106" i="3"/>
  <c r="R110" i="3"/>
  <c r="R113" i="3"/>
  <c r="R100" i="3"/>
  <c r="R101" i="3"/>
  <c r="R109" i="3"/>
  <c r="R105" i="3"/>
  <c r="R116" i="3"/>
  <c r="R108" i="3"/>
  <c r="R112" i="3"/>
  <c r="R97" i="3"/>
  <c r="R117" i="3"/>
  <c r="R115" i="3"/>
  <c r="R104" i="3"/>
  <c r="R99" i="3"/>
  <c r="R103" i="3"/>
  <c r="R107" i="3"/>
  <c r="R111" i="3"/>
  <c r="R114" i="3"/>
  <c r="D63" i="11" l="1"/>
  <c r="L63" i="11"/>
  <c r="J63" i="11"/>
  <c r="Q96" i="3"/>
  <c r="S96" i="3" s="1"/>
  <c r="Q95" i="3"/>
  <c r="S95" i="3" s="1"/>
  <c r="Q94" i="3"/>
  <c r="S94" i="3" s="1"/>
  <c r="Q93" i="3"/>
  <c r="S93" i="3" s="1"/>
  <c r="Q92" i="3"/>
  <c r="S92" i="3" s="1"/>
  <c r="Q91" i="3"/>
  <c r="S91" i="3" s="1"/>
  <c r="Q90" i="3"/>
  <c r="S90" i="3" s="1"/>
  <c r="Q89" i="3"/>
  <c r="S89" i="3" s="1"/>
  <c r="Q88" i="3"/>
  <c r="S88" i="3" s="1"/>
  <c r="Q87" i="3"/>
  <c r="S87" i="3" s="1"/>
  <c r="Q86" i="3"/>
  <c r="S86" i="3" s="1"/>
  <c r="F62" i="11" l="1"/>
  <c r="H62" i="11"/>
  <c r="R87" i="3"/>
  <c r="R95" i="3"/>
  <c r="R89" i="3"/>
  <c r="R93" i="3"/>
  <c r="R88" i="3"/>
  <c r="R92" i="3"/>
  <c r="R96" i="3"/>
  <c r="R91" i="3"/>
  <c r="R86" i="3"/>
  <c r="R90" i="3"/>
  <c r="R94" i="3"/>
  <c r="L62" i="11" l="1"/>
  <c r="J62" i="11"/>
  <c r="D62" i="11"/>
  <c r="Q85" i="3"/>
  <c r="S85" i="3" s="1"/>
  <c r="Q84" i="3"/>
  <c r="S84" i="3" s="1"/>
  <c r="Q83" i="3"/>
  <c r="S83" i="3" s="1"/>
  <c r="Q82" i="3"/>
  <c r="S82" i="3" s="1"/>
  <c r="Q81" i="3"/>
  <c r="S81" i="3" s="1"/>
  <c r="F61" i="11" l="1"/>
  <c r="H61" i="11"/>
  <c r="R83" i="3"/>
  <c r="J61" i="11"/>
  <c r="R84" i="3"/>
  <c r="R82" i="3"/>
  <c r="D61" i="11"/>
  <c r="R81" i="3"/>
  <c r="R85" i="3"/>
  <c r="L61" i="11" l="1"/>
  <c r="Q80" i="3"/>
  <c r="S80" i="3" s="1"/>
  <c r="Q79" i="3"/>
  <c r="S79" i="3" s="1"/>
  <c r="Q78" i="3"/>
  <c r="S78" i="3" s="1"/>
  <c r="Q77" i="3"/>
  <c r="S77" i="3" s="1"/>
  <c r="Q76" i="3"/>
  <c r="S76" i="3" s="1"/>
  <c r="Q75" i="3"/>
  <c r="S75" i="3" s="1"/>
  <c r="Q74" i="3"/>
  <c r="S74" i="3" s="1"/>
  <c r="D60" i="11" l="1"/>
  <c r="F60" i="11"/>
  <c r="H60" i="11"/>
  <c r="R78" i="3"/>
  <c r="R75" i="3"/>
  <c r="R79" i="3"/>
  <c r="R74" i="3"/>
  <c r="R77" i="3"/>
  <c r="L60" i="11"/>
  <c r="R76" i="3"/>
  <c r="R80" i="3"/>
  <c r="Q71" i="3"/>
  <c r="S71" i="3" s="1"/>
  <c r="Q72" i="3"/>
  <c r="S72" i="3" s="1"/>
  <c r="Q73" i="3"/>
  <c r="S73" i="3" s="1"/>
  <c r="R72" i="3" l="1"/>
  <c r="J60" i="11"/>
  <c r="R73" i="3"/>
  <c r="R71" i="3"/>
  <c r="Q56" i="3" l="1"/>
  <c r="S56" i="3" s="1"/>
  <c r="Q54" i="3"/>
  <c r="S54" i="3" s="1"/>
  <c r="Q53" i="3"/>
  <c r="S53" i="3" s="1"/>
  <c r="Q52" i="3"/>
  <c r="S52" i="3" s="1"/>
  <c r="Q51" i="3"/>
  <c r="S51" i="3" s="1"/>
  <c r="Q50" i="3"/>
  <c r="S50" i="3" s="1"/>
  <c r="Q49" i="3"/>
  <c r="S49" i="3" s="1"/>
  <c r="Q48" i="3"/>
  <c r="S48" i="3" s="1"/>
  <c r="Q47" i="3"/>
  <c r="S47" i="3" s="1"/>
  <c r="Q46" i="3"/>
  <c r="S46" i="3" s="1"/>
  <c r="Q45" i="3"/>
  <c r="S45" i="3" s="1"/>
  <c r="Q44" i="3"/>
  <c r="S44" i="3" s="1"/>
  <c r="R44" i="3" l="1"/>
  <c r="R48" i="3"/>
  <c r="R52" i="3"/>
  <c r="R46" i="3"/>
  <c r="R54" i="3"/>
  <c r="R47" i="3"/>
  <c r="R51" i="3"/>
  <c r="R50" i="3"/>
  <c r="R49" i="3"/>
  <c r="R53" i="3"/>
  <c r="R45" i="3"/>
  <c r="R56" i="3"/>
  <c r="H58" i="11" l="1"/>
  <c r="D58" i="11"/>
  <c r="L58" i="11"/>
  <c r="J58" i="11"/>
  <c r="Q43" i="3"/>
  <c r="S43" i="3" s="1"/>
  <c r="Q42" i="3"/>
  <c r="S42" i="3" s="1"/>
  <c r="Q41" i="3"/>
  <c r="S41" i="3" s="1"/>
  <c r="Q40" i="3"/>
  <c r="S40" i="3" s="1"/>
  <c r="Q39" i="3"/>
  <c r="S39" i="3" s="1"/>
  <c r="Q38" i="3"/>
  <c r="S38" i="3" s="1"/>
  <c r="Q37" i="3"/>
  <c r="S37" i="3" s="1"/>
  <c r="Q36" i="3"/>
  <c r="S36" i="3" s="1"/>
  <c r="Q35" i="3"/>
  <c r="S35" i="3" s="1"/>
  <c r="R36" i="3" l="1"/>
  <c r="R40" i="3"/>
  <c r="R38" i="3"/>
  <c r="R42" i="3"/>
  <c r="R43" i="3"/>
  <c r="R39" i="3"/>
  <c r="R35" i="3"/>
  <c r="R37" i="3"/>
  <c r="R41" i="3"/>
  <c r="D57" i="11" l="1"/>
  <c r="H57" i="11"/>
  <c r="F57" i="11"/>
  <c r="L57" i="11"/>
  <c r="J57" i="11"/>
  <c r="Q34" i="3"/>
  <c r="S34" i="3" s="1"/>
  <c r="Q33" i="3"/>
  <c r="S33" i="3" s="1"/>
  <c r="Q32" i="3"/>
  <c r="S32" i="3" s="1"/>
  <c r="Q31" i="3"/>
  <c r="S31" i="3" s="1"/>
  <c r="Q30" i="3"/>
  <c r="S30" i="3" s="1"/>
  <c r="Q29" i="3"/>
  <c r="S29" i="3" s="1"/>
  <c r="Q28" i="3"/>
  <c r="S28" i="3" s="1"/>
  <c r="Q27" i="3"/>
  <c r="S27" i="3" s="1"/>
  <c r="Q26" i="3"/>
  <c r="S26" i="3" s="1"/>
  <c r="Q25" i="3"/>
  <c r="S25" i="3" s="1"/>
  <c r="Q24" i="3"/>
  <c r="S24" i="3" s="1"/>
  <c r="Q23" i="3"/>
  <c r="S23" i="3" s="1"/>
  <c r="Q22" i="3"/>
  <c r="S22" i="3" s="1"/>
  <c r="Q21" i="3"/>
  <c r="S21" i="3" s="1"/>
  <c r="Q20" i="3"/>
  <c r="S20" i="3" s="1"/>
  <c r="Q19" i="3"/>
  <c r="S19" i="3" s="1"/>
  <c r="Q18" i="3"/>
  <c r="S18" i="3" s="1"/>
  <c r="Q17" i="3"/>
  <c r="S17" i="3" s="1"/>
  <c r="Q16" i="3"/>
  <c r="S16" i="3" s="1"/>
  <c r="Q15" i="3"/>
  <c r="S15" i="3" s="1"/>
  <c r="Q14" i="3"/>
  <c r="S14" i="3" s="1"/>
  <c r="Q13" i="3"/>
  <c r="S13" i="3" s="1"/>
  <c r="Q12" i="3"/>
  <c r="S12" i="3" s="1"/>
  <c r="Q11" i="3"/>
  <c r="S11" i="3" s="1"/>
  <c r="Q57" i="3"/>
  <c r="S57" i="3" s="1"/>
  <c r="Q58" i="3"/>
  <c r="S58" i="3" s="1"/>
  <c r="Q59" i="3"/>
  <c r="S59" i="3" s="1"/>
  <c r="Q60" i="3"/>
  <c r="S60" i="3" s="1"/>
  <c r="Q61" i="3"/>
  <c r="S61" i="3" s="1"/>
  <c r="Q62" i="3"/>
  <c r="S62" i="3" s="1"/>
  <c r="Q63" i="3"/>
  <c r="S63" i="3" s="1"/>
  <c r="Q64" i="3"/>
  <c r="S64" i="3" s="1"/>
  <c r="Q65" i="3"/>
  <c r="S65" i="3" s="1"/>
  <c r="Q66" i="3"/>
  <c r="S66" i="3" s="1"/>
  <c r="Q67" i="3"/>
  <c r="S67" i="3" s="1"/>
  <c r="Q68" i="3"/>
  <c r="S68" i="3" s="1"/>
  <c r="Q69" i="3"/>
  <c r="S69" i="3" s="1"/>
  <c r="Q70" i="3"/>
  <c r="S70" i="3" s="1"/>
  <c r="Q367" i="3"/>
  <c r="S367" i="3" s="1"/>
  <c r="Q366" i="3"/>
  <c r="R366" i="3" s="1"/>
  <c r="Q365" i="3"/>
  <c r="S365" i="3" s="1"/>
  <c r="Q364" i="3"/>
  <c r="R364" i="3" s="1"/>
  <c r="Q363" i="3"/>
  <c r="S363" i="3" s="1"/>
  <c r="Q362" i="3"/>
  <c r="S362" i="3" s="1"/>
  <c r="Q361" i="3"/>
  <c r="S361" i="3" s="1"/>
  <c r="Q360" i="3"/>
  <c r="R360" i="3" s="1"/>
  <c r="Q359" i="3"/>
  <c r="S359" i="3" s="1"/>
  <c r="Q358" i="3"/>
  <c r="S358" i="3" s="1"/>
  <c r="Q357" i="3"/>
  <c r="S357" i="3" s="1"/>
  <c r="Q356" i="3"/>
  <c r="R356" i="3" s="1"/>
  <c r="Q355" i="3"/>
  <c r="S355" i="3" s="1"/>
  <c r="Q354" i="3"/>
  <c r="S354" i="3" s="1"/>
  <c r="Q353" i="3"/>
  <c r="S353" i="3" s="1"/>
  <c r="Q352" i="3"/>
  <c r="R352" i="3" s="1"/>
  <c r="Q351" i="3"/>
  <c r="S351" i="3" s="1"/>
  <c r="Q350" i="3"/>
  <c r="S350" i="3" s="1"/>
  <c r="Q349" i="3"/>
  <c r="S349" i="3" s="1"/>
  <c r="Q348" i="3"/>
  <c r="R348" i="3" s="1"/>
  <c r="Q347" i="3"/>
  <c r="S347" i="3" s="1"/>
  <c r="Q346" i="3"/>
  <c r="S346" i="3" s="1"/>
  <c r="Q345" i="3"/>
  <c r="S345" i="3" s="1"/>
  <c r="Q344" i="3"/>
  <c r="R344" i="3" s="1"/>
  <c r="Q343" i="3"/>
  <c r="S343" i="3" s="1"/>
  <c r="Q342" i="3"/>
  <c r="R342" i="3" s="1"/>
  <c r="Q341" i="3"/>
  <c r="S341" i="3" s="1"/>
  <c r="Q340" i="3"/>
  <c r="R340" i="3" s="1"/>
  <c r="Q339" i="3"/>
  <c r="S339" i="3" s="1"/>
  <c r="Q338" i="3"/>
  <c r="S338" i="3" s="1"/>
  <c r="Q337" i="3"/>
  <c r="S337" i="3" s="1"/>
  <c r="Q336" i="3"/>
  <c r="R336" i="3" s="1"/>
  <c r="Q335" i="3"/>
  <c r="S335" i="3" s="1"/>
  <c r="Q334" i="3"/>
  <c r="S334" i="3" s="1"/>
  <c r="R13" i="3" l="1"/>
  <c r="D59" i="11"/>
  <c r="F59" i="11"/>
  <c r="R67" i="3"/>
  <c r="R63" i="3"/>
  <c r="R59" i="3"/>
  <c r="R69" i="3"/>
  <c r="R65" i="3"/>
  <c r="R61" i="3"/>
  <c r="R57" i="3"/>
  <c r="H59" i="11"/>
  <c r="R18" i="3"/>
  <c r="R68" i="3"/>
  <c r="R64" i="3"/>
  <c r="R60" i="3"/>
  <c r="R27" i="3"/>
  <c r="R17" i="3"/>
  <c r="R21" i="3"/>
  <c r="R33" i="3"/>
  <c r="R14" i="3"/>
  <c r="R31" i="3"/>
  <c r="R26" i="3"/>
  <c r="R335" i="3"/>
  <c r="R358" i="3"/>
  <c r="R22" i="3"/>
  <c r="R25" i="3"/>
  <c r="R350" i="3"/>
  <c r="R339" i="3"/>
  <c r="R354" i="3"/>
  <c r="R346" i="3"/>
  <c r="R362" i="3"/>
  <c r="R11" i="3"/>
  <c r="R15" i="3"/>
  <c r="R19" i="3"/>
  <c r="R23" i="3"/>
  <c r="R29" i="3"/>
  <c r="R334" i="3"/>
  <c r="R338" i="3"/>
  <c r="S344" i="3"/>
  <c r="S348" i="3"/>
  <c r="S352" i="3"/>
  <c r="S356" i="3"/>
  <c r="S360" i="3"/>
  <c r="S364" i="3"/>
  <c r="R367" i="3"/>
  <c r="S336" i="3"/>
  <c r="S340" i="3"/>
  <c r="R343" i="3"/>
  <c r="R347" i="3"/>
  <c r="R351" i="3"/>
  <c r="R355" i="3"/>
  <c r="R359" i="3"/>
  <c r="R363" i="3"/>
  <c r="R30" i="3"/>
  <c r="R34" i="3"/>
  <c r="R70" i="3"/>
  <c r="R12" i="3"/>
  <c r="R16" i="3"/>
  <c r="R20" i="3"/>
  <c r="R24" i="3"/>
  <c r="R28" i="3"/>
  <c r="R32" i="3"/>
  <c r="R66" i="3"/>
  <c r="R62" i="3"/>
  <c r="R58" i="3"/>
  <c r="R337" i="3"/>
  <c r="R341" i="3"/>
  <c r="S342" i="3"/>
  <c r="R345" i="3"/>
  <c r="R349" i="3"/>
  <c r="R353" i="3"/>
  <c r="R357" i="3"/>
  <c r="R361" i="3"/>
  <c r="R365" i="3"/>
  <c r="S366" i="3"/>
  <c r="L10" i="11" l="1"/>
  <c r="F10" i="11"/>
  <c r="J10" i="11"/>
  <c r="D10" i="11"/>
  <c r="H10" i="11"/>
  <c r="H56" i="11"/>
  <c r="H73" i="11" s="1"/>
  <c r="D56" i="11"/>
  <c r="D73" i="11" s="1"/>
  <c r="F56" i="11"/>
  <c r="F73" i="11" s="1"/>
  <c r="L59" i="11"/>
  <c r="J59" i="11"/>
  <c r="J56" i="11"/>
  <c r="L56" i="11"/>
  <c r="Q127" i="2"/>
  <c r="S127" i="2" s="1"/>
  <c r="Q126" i="2"/>
  <c r="S126" i="2" s="1"/>
  <c r="Q125" i="2"/>
  <c r="S125" i="2" s="1"/>
  <c r="Q124" i="2"/>
  <c r="S124" i="2" s="1"/>
  <c r="Q123" i="2"/>
  <c r="S123" i="2" s="1"/>
  <c r="Q122" i="2"/>
  <c r="S122" i="2" s="1"/>
  <c r="Q121" i="2"/>
  <c r="S121" i="2" s="1"/>
  <c r="Q120" i="2"/>
  <c r="S120" i="2" s="1"/>
  <c r="Q119" i="2"/>
  <c r="S119" i="2" s="1"/>
  <c r="Q118" i="2"/>
  <c r="S118" i="2" s="1"/>
  <c r="Q117" i="2"/>
  <c r="S117" i="2" s="1"/>
  <c r="Q116" i="2"/>
  <c r="S116" i="2" s="1"/>
  <c r="Q115" i="2"/>
  <c r="S115" i="2" s="1"/>
  <c r="Q114" i="2"/>
  <c r="S114" i="2" s="1"/>
  <c r="R125" i="2" l="1"/>
  <c r="R122" i="2"/>
  <c r="R126" i="2"/>
  <c r="R114" i="2"/>
  <c r="R118" i="2"/>
  <c r="R117" i="2"/>
  <c r="L73" i="11"/>
  <c r="J73" i="11"/>
  <c r="R124" i="2"/>
  <c r="R121" i="2"/>
  <c r="R120" i="2"/>
  <c r="R116" i="2"/>
  <c r="R115" i="2"/>
  <c r="R119" i="2"/>
  <c r="R123" i="2"/>
  <c r="R127" i="2"/>
  <c r="Q112" i="2" l="1"/>
  <c r="S112" i="2" s="1"/>
  <c r="Q111" i="2"/>
  <c r="S111" i="2" s="1"/>
  <c r="Q110" i="2"/>
  <c r="S110" i="2" s="1"/>
  <c r="Q109" i="2"/>
  <c r="S109" i="2" s="1"/>
  <c r="Q108" i="2"/>
  <c r="S108" i="2" s="1"/>
  <c r="R110" i="2" l="1"/>
  <c r="R111" i="2"/>
  <c r="R109" i="2"/>
  <c r="H47" i="11"/>
  <c r="R108" i="2"/>
  <c r="R112" i="2"/>
  <c r="D47" i="11" l="1"/>
  <c r="F47" i="11"/>
  <c r="L47" i="11"/>
  <c r="Q107" i="2"/>
  <c r="S107" i="2" s="1"/>
  <c r="Q106" i="2"/>
  <c r="S106" i="2" s="1"/>
  <c r="Q105" i="2"/>
  <c r="S105" i="2" s="1"/>
  <c r="Q104" i="2"/>
  <c r="S104" i="2" s="1"/>
  <c r="R106" i="2" l="1"/>
  <c r="F46" i="11"/>
  <c r="R105" i="2"/>
  <c r="R104" i="2"/>
  <c r="R107" i="2"/>
  <c r="H46" i="11" l="1"/>
  <c r="D46" i="11"/>
  <c r="J46" i="11"/>
  <c r="L46" i="11"/>
  <c r="Q101" i="2"/>
  <c r="S101" i="2" s="1"/>
  <c r="Q100" i="2"/>
  <c r="S100" i="2" s="1"/>
  <c r="Q99" i="2"/>
  <c r="S99" i="2" s="1"/>
  <c r="Q98" i="2"/>
  <c r="S98" i="2" s="1"/>
  <c r="Q97" i="2"/>
  <c r="S97" i="2" s="1"/>
  <c r="Q96" i="2"/>
  <c r="S96" i="2" s="1"/>
  <c r="Q95" i="2"/>
  <c r="S95" i="2" s="1"/>
  <c r="Q94" i="2"/>
  <c r="S94" i="2" s="1"/>
  <c r="Q93" i="2"/>
  <c r="S93" i="2" s="1"/>
  <c r="Q92" i="2"/>
  <c r="S92" i="2" s="1"/>
  <c r="Q91" i="2"/>
  <c r="S91" i="2" s="1"/>
  <c r="Q90" i="2"/>
  <c r="S90" i="2" s="1"/>
  <c r="Q89" i="2"/>
  <c r="S89" i="2" s="1"/>
  <c r="Q88" i="2"/>
  <c r="S88" i="2" s="1"/>
  <c r="Q87" i="2"/>
  <c r="S87" i="2" s="1"/>
  <c r="Q86" i="2"/>
  <c r="S86" i="2" s="1"/>
  <c r="Q85" i="2"/>
  <c r="S85" i="2" s="1"/>
  <c r="Q84" i="2"/>
  <c r="S84" i="2" s="1"/>
  <c r="Q83" i="2"/>
  <c r="S83" i="2" s="1"/>
  <c r="Q82" i="2"/>
  <c r="S82" i="2" s="1"/>
  <c r="Q81" i="2"/>
  <c r="S81" i="2" s="1"/>
  <c r="R83" i="2" l="1"/>
  <c r="R87" i="2"/>
  <c r="R91" i="2"/>
  <c r="R95" i="2"/>
  <c r="R99" i="2"/>
  <c r="R90" i="2"/>
  <c r="R84" i="2"/>
  <c r="R88" i="2"/>
  <c r="R92" i="2"/>
  <c r="R96" i="2"/>
  <c r="R100" i="2"/>
  <c r="R94" i="2"/>
  <c r="R86" i="2"/>
  <c r="R82" i="2"/>
  <c r="R98" i="2"/>
  <c r="R97" i="2"/>
  <c r="R81" i="2"/>
  <c r="R85" i="2"/>
  <c r="R101" i="2"/>
  <c r="R89" i="2"/>
  <c r="R93" i="2"/>
  <c r="F45" i="11" l="1"/>
  <c r="L45" i="11"/>
  <c r="J45" i="11"/>
  <c r="H45" i="11"/>
  <c r="D45" i="11"/>
  <c r="Q80" i="2"/>
  <c r="S80" i="2" s="1"/>
  <c r="Q79" i="2"/>
  <c r="S79" i="2" s="1"/>
  <c r="Q78" i="2"/>
  <c r="S78" i="2" s="1"/>
  <c r="Q77" i="2"/>
  <c r="S77" i="2" s="1"/>
  <c r="Q76" i="2"/>
  <c r="S76" i="2" s="1"/>
  <c r="Q75" i="2"/>
  <c r="S75" i="2" s="1"/>
  <c r="Q74" i="2"/>
  <c r="S74" i="2" s="1"/>
  <c r="Q73" i="2"/>
  <c r="S73" i="2" s="1"/>
  <c r="Q72" i="2"/>
  <c r="S72" i="2" s="1"/>
  <c r="Q71" i="2"/>
  <c r="S71" i="2" s="1"/>
  <c r="Q70" i="2"/>
  <c r="S70" i="2" s="1"/>
  <c r="Q69" i="2"/>
  <c r="S69" i="2" s="1"/>
  <c r="Q68" i="2"/>
  <c r="S68" i="2" s="1"/>
  <c r="Q67" i="2"/>
  <c r="S67" i="2" s="1"/>
  <c r="R70" i="2" l="1"/>
  <c r="R74" i="2"/>
  <c r="R71" i="2"/>
  <c r="R75" i="2"/>
  <c r="R79" i="2"/>
  <c r="R73" i="2"/>
  <c r="R69" i="2"/>
  <c r="R77" i="2"/>
  <c r="R80" i="2"/>
  <c r="R68" i="2"/>
  <c r="R67" i="2"/>
  <c r="F44" i="11"/>
  <c r="R78" i="2"/>
  <c r="R72" i="2"/>
  <c r="R76" i="2"/>
  <c r="L44" i="11" l="1"/>
  <c r="H44" i="11"/>
  <c r="J44" i="11"/>
  <c r="D44" i="11"/>
  <c r="Q66" i="2"/>
  <c r="S66" i="2" s="1"/>
  <c r="Q65" i="2"/>
  <c r="S65" i="2" s="1"/>
  <c r="Q64" i="2"/>
  <c r="S64" i="2" s="1"/>
  <c r="Q63" i="2"/>
  <c r="S63" i="2" s="1"/>
  <c r="R64" i="2" l="1"/>
  <c r="R65" i="2"/>
  <c r="H42" i="11"/>
  <c r="R66" i="2"/>
  <c r="R63" i="2"/>
  <c r="F42" i="11" l="1"/>
  <c r="J42" i="11"/>
  <c r="D42" i="11"/>
  <c r="L42" i="11"/>
  <c r="Q62" i="2"/>
  <c r="S62" i="2" s="1"/>
  <c r="Q59" i="2"/>
  <c r="S59" i="2" s="1"/>
  <c r="Q58" i="2"/>
  <c r="S58" i="2" s="1"/>
  <c r="Q57" i="2"/>
  <c r="S57" i="2" s="1"/>
  <c r="Q56" i="2"/>
  <c r="S56" i="2" s="1"/>
  <c r="Q55" i="2"/>
  <c r="S55" i="2" s="1"/>
  <c r="Q54" i="2"/>
  <c r="S54" i="2" s="1"/>
  <c r="Q53" i="2"/>
  <c r="S53" i="2" s="1"/>
  <c r="Q52" i="2"/>
  <c r="S52" i="2" s="1"/>
  <c r="Q51" i="2"/>
  <c r="S51" i="2" s="1"/>
  <c r="Q50" i="2"/>
  <c r="S50" i="2" s="1"/>
  <c r="Q49" i="2"/>
  <c r="S49" i="2" s="1"/>
  <c r="Q48" i="2"/>
  <c r="S48" i="2" s="1"/>
  <c r="Q47" i="2"/>
  <c r="S47" i="2" s="1"/>
  <c r="Q46" i="2"/>
  <c r="S46" i="2" s="1"/>
  <c r="R50" i="2" l="1"/>
  <c r="R58" i="2"/>
  <c r="R47" i="2"/>
  <c r="R51" i="2"/>
  <c r="R55" i="2"/>
  <c r="R59" i="2"/>
  <c r="R46" i="2"/>
  <c r="R57" i="2"/>
  <c r="R49" i="2"/>
  <c r="R54" i="2"/>
  <c r="R53" i="2"/>
  <c r="R62" i="2"/>
  <c r="R48" i="2"/>
  <c r="R52" i="2"/>
  <c r="R56" i="2"/>
  <c r="Q45" i="2" l="1"/>
  <c r="S45" i="2" s="1"/>
  <c r="Q43" i="2"/>
  <c r="S43" i="2" s="1"/>
  <c r="Q42" i="2"/>
  <c r="S42" i="2" s="1"/>
  <c r="Q41" i="2"/>
  <c r="S41" i="2" s="1"/>
  <c r="Q40" i="2"/>
  <c r="S40" i="2" s="1"/>
  <c r="Q39" i="2"/>
  <c r="S39" i="2" s="1"/>
  <c r="Q38" i="2"/>
  <c r="S38" i="2" s="1"/>
  <c r="Q37" i="2"/>
  <c r="S37" i="2" s="1"/>
  <c r="Q36" i="2"/>
  <c r="S36" i="2" s="1"/>
  <c r="Q35" i="2"/>
  <c r="S35" i="2" s="1"/>
  <c r="Q34" i="2"/>
  <c r="S34" i="2" s="1"/>
  <c r="Q33" i="2"/>
  <c r="S33" i="2" s="1"/>
  <c r="Q32" i="2"/>
  <c r="S32" i="2" s="1"/>
  <c r="Q31" i="2"/>
  <c r="S31" i="2" s="1"/>
  <c r="Q30" i="2"/>
  <c r="S30" i="2" s="1"/>
  <c r="Q29" i="2"/>
  <c r="S29" i="2" s="1"/>
  <c r="Q28" i="2"/>
  <c r="S28" i="2" s="1"/>
  <c r="Q27" i="2"/>
  <c r="S27" i="2" s="1"/>
  <c r="Q26" i="2"/>
  <c r="S26" i="2" s="1"/>
  <c r="Q25" i="2"/>
  <c r="S25" i="2" s="1"/>
  <c r="Q24" i="2"/>
  <c r="S24" i="2" s="1"/>
  <c r="Q23" i="2"/>
  <c r="S23" i="2" s="1"/>
  <c r="Q22" i="2"/>
  <c r="S22" i="2" s="1"/>
  <c r="Q21" i="2"/>
  <c r="S21" i="2" s="1"/>
  <c r="R33" i="2" l="1"/>
  <c r="R37" i="2"/>
  <c r="R21" i="2"/>
  <c r="R26" i="2"/>
  <c r="R34" i="2"/>
  <c r="R38" i="2"/>
  <c r="R27" i="2"/>
  <c r="R31" i="2"/>
  <c r="R35" i="2"/>
  <c r="R39" i="2"/>
  <c r="R43" i="2"/>
  <c r="R22" i="2"/>
  <c r="R30" i="2"/>
  <c r="R42" i="2"/>
  <c r="R24" i="2"/>
  <c r="R29" i="2"/>
  <c r="R25" i="2"/>
  <c r="R41" i="2"/>
  <c r="R28" i="2"/>
  <c r="R32" i="2"/>
  <c r="R36" i="2"/>
  <c r="R23" i="2"/>
  <c r="R40" i="2"/>
  <c r="R45" i="2"/>
  <c r="Q19" i="2" l="1"/>
  <c r="S19" i="2" s="1"/>
  <c r="Q18" i="2"/>
  <c r="S18" i="2" s="1"/>
  <c r="Q17" i="2"/>
  <c r="Q16" i="2"/>
  <c r="S16" i="2" s="1"/>
  <c r="Q15" i="2"/>
  <c r="Q14" i="2"/>
  <c r="S14" i="2" s="1"/>
  <c r="Q13" i="2"/>
  <c r="Q12" i="2"/>
  <c r="S12" i="2" s="1"/>
  <c r="Q11" i="2"/>
  <c r="R11" i="2" s="1"/>
  <c r="R13" i="2" l="1"/>
  <c r="S13" i="2"/>
  <c r="R17" i="2"/>
  <c r="S17" i="2"/>
  <c r="R15" i="2"/>
  <c r="S15" i="2"/>
  <c r="R16" i="2"/>
  <c r="R12" i="2"/>
  <c r="S11" i="2"/>
  <c r="R14" i="2"/>
  <c r="R18" i="2"/>
  <c r="R19" i="2"/>
  <c r="J39" i="11" l="1"/>
  <c r="H39" i="11"/>
  <c r="F39" i="11"/>
  <c r="L39" i="11"/>
  <c r="D39" i="11"/>
  <c r="Q532" i="4"/>
  <c r="S532" i="4" s="1"/>
  <c r="Q531" i="4"/>
  <c r="S531" i="4" s="1"/>
  <c r="Q530" i="4"/>
  <c r="S530" i="4" s="1"/>
  <c r="Q529" i="4"/>
  <c r="S529" i="4" s="1"/>
  <c r="Q528" i="4"/>
  <c r="S528" i="4" s="1"/>
  <c r="Q527" i="4"/>
  <c r="S527" i="4" s="1"/>
  <c r="Q526" i="4"/>
  <c r="S526" i="4" s="1"/>
  <c r="Q525" i="4"/>
  <c r="S525" i="4" s="1"/>
  <c r="Q524" i="4"/>
  <c r="S524" i="4" s="1"/>
  <c r="Q523" i="4"/>
  <c r="S523" i="4" s="1"/>
  <c r="Q522" i="4"/>
  <c r="S522" i="4" s="1"/>
  <c r="Q521" i="4"/>
  <c r="S521" i="4" s="1"/>
  <c r="Q520" i="4"/>
  <c r="S520" i="4" s="1"/>
  <c r="Q519" i="4"/>
  <c r="S519" i="4" s="1"/>
  <c r="Q518" i="4"/>
  <c r="S518" i="4" s="1"/>
  <c r="Q517" i="4"/>
  <c r="S517" i="4" s="1"/>
  <c r="Q516" i="4"/>
  <c r="S516" i="4" s="1"/>
  <c r="Q515" i="4"/>
  <c r="S515" i="4" s="1"/>
  <c r="Q514" i="4"/>
  <c r="S514" i="4" s="1"/>
  <c r="Q513" i="4"/>
  <c r="S513" i="4" s="1"/>
  <c r="Q512" i="4"/>
  <c r="S512" i="4" s="1"/>
  <c r="Q511" i="4"/>
  <c r="S511" i="4" s="1"/>
  <c r="Q510" i="4"/>
  <c r="S510" i="4" s="1"/>
  <c r="Q509" i="4"/>
  <c r="S509" i="4" s="1"/>
  <c r="Q508" i="4"/>
  <c r="S508" i="4" s="1"/>
  <c r="Q507" i="4"/>
  <c r="S507" i="4" s="1"/>
  <c r="Q506" i="4"/>
  <c r="S506" i="4" s="1"/>
  <c r="Q505" i="4"/>
  <c r="S505" i="4" s="1"/>
  <c r="Q504" i="4"/>
  <c r="S504" i="4" s="1"/>
  <c r="Q503" i="4"/>
  <c r="S503" i="4" s="1"/>
  <c r="Q502" i="4"/>
  <c r="S502" i="4" s="1"/>
  <c r="Q501" i="4"/>
  <c r="S501" i="4" s="1"/>
  <c r="Q500" i="4"/>
  <c r="S500" i="4" s="1"/>
  <c r="Q499" i="4"/>
  <c r="S499" i="4" s="1"/>
  <c r="Q498" i="4"/>
  <c r="S498" i="4" s="1"/>
  <c r="Q497" i="4"/>
  <c r="S497" i="4" s="1"/>
  <c r="Q496" i="4"/>
  <c r="S496" i="4" s="1"/>
  <c r="Q495" i="4"/>
  <c r="S495" i="4" s="1"/>
  <c r="Q494" i="4"/>
  <c r="S494" i="4" s="1"/>
  <c r="Q493" i="4"/>
  <c r="S493" i="4" s="1"/>
  <c r="Q492" i="4"/>
  <c r="S492" i="4" s="1"/>
  <c r="Q491" i="4"/>
  <c r="S491" i="4" s="1"/>
  <c r="Q490" i="4"/>
  <c r="S490" i="4" s="1"/>
  <c r="Q489" i="4"/>
  <c r="S489" i="4" s="1"/>
  <c r="Q488" i="4"/>
  <c r="S488" i="4" s="1"/>
  <c r="Q487" i="4"/>
  <c r="S487" i="4" s="1"/>
  <c r="Q486" i="4"/>
  <c r="S486" i="4" s="1"/>
  <c r="Q485" i="4"/>
  <c r="S485" i="4" s="1"/>
  <c r="Q484" i="4"/>
  <c r="S484" i="4" s="1"/>
  <c r="Q483" i="4"/>
  <c r="S483" i="4" s="1"/>
  <c r="Q482" i="4"/>
  <c r="S482" i="4" s="1"/>
  <c r="Q481" i="4"/>
  <c r="S481" i="4" s="1"/>
  <c r="Q480" i="4"/>
  <c r="S480" i="4" s="1"/>
  <c r="Q479" i="4"/>
  <c r="S479" i="4" s="1"/>
  <c r="Q478" i="4"/>
  <c r="S478" i="4" s="1"/>
  <c r="Q477" i="4"/>
  <c r="S477" i="4" s="1"/>
  <c r="Q476" i="4"/>
  <c r="S476" i="4" s="1"/>
  <c r="Q475" i="4"/>
  <c r="S475" i="4" s="1"/>
  <c r="Q474" i="4"/>
  <c r="S474" i="4" s="1"/>
  <c r="Q473" i="4"/>
  <c r="S473" i="4" s="1"/>
  <c r="Q472" i="4"/>
  <c r="S472" i="4" s="1"/>
  <c r="Q471" i="4"/>
  <c r="S471" i="4" s="1"/>
  <c r="Q470" i="4"/>
  <c r="S470" i="4" s="1"/>
  <c r="Q469" i="4"/>
  <c r="S469" i="4" s="1"/>
  <c r="Q468" i="4"/>
  <c r="S468" i="4" s="1"/>
  <c r="Q467" i="4"/>
  <c r="S467" i="4" s="1"/>
  <c r="Q466" i="4"/>
  <c r="S466" i="4" s="1"/>
  <c r="Q465" i="4"/>
  <c r="S465" i="4" s="1"/>
  <c r="Q464" i="4"/>
  <c r="S464" i="4" s="1"/>
  <c r="Q463" i="4"/>
  <c r="S463" i="4" s="1"/>
  <c r="Q462" i="4"/>
  <c r="S462" i="4" s="1"/>
  <c r="Q461" i="4"/>
  <c r="S461" i="4" s="1"/>
  <c r="Q460" i="4"/>
  <c r="S460" i="4" s="1"/>
  <c r="Q459" i="4"/>
  <c r="S459" i="4" s="1"/>
  <c r="Q458" i="4"/>
  <c r="S458" i="4" s="1"/>
  <c r="Q457" i="4"/>
  <c r="S457" i="4" s="1"/>
  <c r="Q456" i="4"/>
  <c r="S456" i="4" s="1"/>
  <c r="Q455" i="4"/>
  <c r="S455" i="4" s="1"/>
  <c r="Q454" i="4"/>
  <c r="S454" i="4" s="1"/>
  <c r="Q453" i="4"/>
  <c r="S453" i="4" s="1"/>
  <c r="Q452" i="4"/>
  <c r="S452" i="4" s="1"/>
  <c r="Q451" i="4"/>
  <c r="S451" i="4" s="1"/>
  <c r="Q450" i="4"/>
  <c r="S450" i="4" s="1"/>
  <c r="Q449" i="4"/>
  <c r="S449" i="4" s="1"/>
  <c r="Q448" i="4"/>
  <c r="S448" i="4" s="1"/>
  <c r="Q447" i="4"/>
  <c r="S447" i="4" s="1"/>
  <c r="Q446" i="4"/>
  <c r="S446" i="4" s="1"/>
  <c r="Q445" i="4"/>
  <c r="S445" i="4" s="1"/>
  <c r="Q444" i="4"/>
  <c r="S444" i="4" s="1"/>
  <c r="Q443" i="4"/>
  <c r="S443" i="4" s="1"/>
  <c r="Q442" i="4"/>
  <c r="S442" i="4" s="1"/>
  <c r="Q441" i="4"/>
  <c r="S441" i="4" s="1"/>
  <c r="Q440" i="4"/>
  <c r="S440" i="4" s="1"/>
  <c r="Q439" i="4"/>
  <c r="S439" i="4" s="1"/>
  <c r="Q438" i="4"/>
  <c r="S438" i="4" s="1"/>
  <c r="Q437" i="4"/>
  <c r="S437" i="4" s="1"/>
  <c r="Q436" i="4"/>
  <c r="S436" i="4" s="1"/>
  <c r="Q435" i="4"/>
  <c r="S435" i="4" s="1"/>
  <c r="Q434" i="4"/>
  <c r="S434" i="4" s="1"/>
  <c r="Q433" i="4"/>
  <c r="S433" i="4" s="1"/>
  <c r="Q432" i="4"/>
  <c r="S432" i="4" s="1"/>
  <c r="Q431" i="4"/>
  <c r="S431" i="4" s="1"/>
  <c r="Q430" i="4"/>
  <c r="S430" i="4" s="1"/>
  <c r="Q429" i="4"/>
  <c r="S429" i="4" s="1"/>
  <c r="Q428" i="4"/>
  <c r="S428" i="4" s="1"/>
  <c r="Q427" i="4"/>
  <c r="S427" i="4" s="1"/>
  <c r="Q426" i="4"/>
  <c r="S426" i="4" s="1"/>
  <c r="Q425" i="4"/>
  <c r="S425" i="4" s="1"/>
  <c r="Q424" i="4"/>
  <c r="S424" i="4" s="1"/>
  <c r="Q423" i="4"/>
  <c r="S423" i="4" s="1"/>
  <c r="Q422" i="4"/>
  <c r="S422" i="4" s="1"/>
  <c r="Q421" i="4"/>
  <c r="S421" i="4" s="1"/>
  <c r="Q420" i="4"/>
  <c r="S420" i="4" s="1"/>
  <c r="Q419" i="4"/>
  <c r="S419" i="4" s="1"/>
  <c r="Q418" i="4"/>
  <c r="S418" i="4" s="1"/>
  <c r="Q417" i="4"/>
  <c r="S417" i="4" s="1"/>
  <c r="Q416" i="4"/>
  <c r="S416" i="4" s="1"/>
  <c r="Q415" i="4"/>
  <c r="S415" i="4" s="1"/>
  <c r="Q414" i="4"/>
  <c r="S414" i="4" s="1"/>
  <c r="Q413" i="4"/>
  <c r="S413" i="4" s="1"/>
  <c r="Q412" i="4"/>
  <c r="S412" i="4" s="1"/>
  <c r="Q411" i="4"/>
  <c r="S411" i="4" s="1"/>
  <c r="Q410" i="4"/>
  <c r="S410" i="4" s="1"/>
  <c r="Q409" i="4"/>
  <c r="S409" i="4" s="1"/>
  <c r="Q408" i="4"/>
  <c r="S408" i="4" s="1"/>
  <c r="Q407" i="4"/>
  <c r="S407" i="4" s="1"/>
  <c r="Q406" i="4"/>
  <c r="S406" i="4" s="1"/>
  <c r="Q405" i="4"/>
  <c r="S405" i="4" s="1"/>
  <c r="Q404" i="4"/>
  <c r="S404" i="4" s="1"/>
  <c r="Q403" i="4"/>
  <c r="S403" i="4" s="1"/>
  <c r="Q402" i="4"/>
  <c r="S402" i="4" s="1"/>
  <c r="Q401" i="4"/>
  <c r="S401" i="4" s="1"/>
  <c r="Q400" i="4"/>
  <c r="S400" i="4" s="1"/>
  <c r="Q399" i="4"/>
  <c r="S399" i="4" s="1"/>
  <c r="Q398" i="4"/>
  <c r="S398" i="4" s="1"/>
  <c r="Q394" i="4"/>
  <c r="S394" i="4" s="1"/>
  <c r="Q393" i="4"/>
  <c r="S393" i="4" s="1"/>
  <c r="Q392" i="4"/>
  <c r="S392" i="4" s="1"/>
  <c r="Q391" i="4"/>
  <c r="S391" i="4" s="1"/>
  <c r="Q390" i="4"/>
  <c r="S390" i="4" s="1"/>
  <c r="Q389" i="4"/>
  <c r="S389" i="4" s="1"/>
  <c r="Q388" i="4"/>
  <c r="S388" i="4" s="1"/>
  <c r="Q387" i="4"/>
  <c r="S387" i="4" s="1"/>
  <c r="Q386" i="4"/>
  <c r="S386" i="4" s="1"/>
  <c r="Q385" i="4"/>
  <c r="S385" i="4" s="1"/>
  <c r="Q384" i="4"/>
  <c r="S384" i="4" s="1"/>
  <c r="Q383" i="4"/>
  <c r="S383" i="4" s="1"/>
  <c r="Q382" i="4"/>
  <c r="S382" i="4" s="1"/>
  <c r="Q381" i="4"/>
  <c r="S381" i="4" s="1"/>
  <c r="Q380" i="4"/>
  <c r="S380" i="4" s="1"/>
  <c r="Q379" i="4"/>
  <c r="S379" i="4" s="1"/>
  <c r="Q378" i="4"/>
  <c r="S378" i="4" s="1"/>
  <c r="Q377" i="4"/>
  <c r="S377" i="4" s="1"/>
  <c r="Q376" i="4"/>
  <c r="S376" i="4" s="1"/>
  <c r="Q375" i="4"/>
  <c r="S375" i="4" s="1"/>
  <c r="Q374" i="4"/>
  <c r="S374" i="4" s="1"/>
  <c r="Q373" i="4"/>
  <c r="S373" i="4" s="1"/>
  <c r="Q372" i="4"/>
  <c r="S372" i="4" s="1"/>
  <c r="Q371" i="4"/>
  <c r="S371" i="4" s="1"/>
  <c r="Q370" i="4"/>
  <c r="S370" i="4" s="1"/>
  <c r="Q369" i="4"/>
  <c r="S369" i="4" s="1"/>
  <c r="Q368" i="4"/>
  <c r="S368" i="4" s="1"/>
  <c r="Q367" i="4"/>
  <c r="S367" i="4" s="1"/>
  <c r="Q366" i="4"/>
  <c r="S366" i="4" s="1"/>
  <c r="Q365" i="4"/>
  <c r="S365" i="4" s="1"/>
  <c r="Q364" i="4"/>
  <c r="S364" i="4" s="1"/>
  <c r="Q363" i="4"/>
  <c r="S363" i="4" s="1"/>
  <c r="Q362" i="4"/>
  <c r="S362" i="4" s="1"/>
  <c r="Q361" i="4"/>
  <c r="S361" i="4" s="1"/>
  <c r="Q360" i="4"/>
  <c r="S360" i="4" s="1"/>
  <c r="Q359" i="4"/>
  <c r="S359" i="4" s="1"/>
  <c r="Q358" i="4"/>
  <c r="S358" i="4" s="1"/>
  <c r="Q357" i="4"/>
  <c r="S357" i="4" s="1"/>
  <c r="Q356" i="4"/>
  <c r="S356" i="4" s="1"/>
  <c r="Q355" i="4"/>
  <c r="Q353" i="4"/>
  <c r="S353" i="4" s="1"/>
  <c r="Q352" i="4"/>
  <c r="S352" i="4" s="1"/>
  <c r="Q351" i="4"/>
  <c r="S351" i="4" s="1"/>
  <c r="Q350" i="4"/>
  <c r="S350" i="4" s="1"/>
  <c r="Q349" i="4"/>
  <c r="S349" i="4" s="1"/>
  <c r="Q348" i="4"/>
  <c r="S348" i="4" s="1"/>
  <c r="Q347" i="4"/>
  <c r="S347" i="4" s="1"/>
  <c r="Q346" i="4"/>
  <c r="S346" i="4" s="1"/>
  <c r="Q345" i="4"/>
  <c r="S345" i="4" s="1"/>
  <c r="Q344" i="4"/>
  <c r="S344" i="4" s="1"/>
  <c r="Q343" i="4"/>
  <c r="S343" i="4" s="1"/>
  <c r="Q342" i="4"/>
  <c r="S342" i="4" s="1"/>
  <c r="Q341" i="4"/>
  <c r="S341" i="4" s="1"/>
  <c r="Q340" i="4"/>
  <c r="S340" i="4" s="1"/>
  <c r="Q339" i="4"/>
  <c r="S339" i="4" s="1"/>
  <c r="Q338" i="4"/>
  <c r="S338" i="4" s="1"/>
  <c r="Q337" i="4"/>
  <c r="S337" i="4" s="1"/>
  <c r="Q336" i="4"/>
  <c r="S336" i="4" s="1"/>
  <c r="Q335" i="4"/>
  <c r="S335" i="4" s="1"/>
  <c r="Q334" i="4"/>
  <c r="S334" i="4" s="1"/>
  <c r="Q333" i="4"/>
  <c r="S333" i="4" s="1"/>
  <c r="Q332" i="4"/>
  <c r="S332" i="4" s="1"/>
  <c r="Q331" i="4"/>
  <c r="S331" i="4" s="1"/>
  <c r="Q330" i="4"/>
  <c r="S330" i="4" s="1"/>
  <c r="Q329" i="4"/>
  <c r="S329" i="4" s="1"/>
  <c r="Q328" i="4"/>
  <c r="S328" i="4" s="1"/>
  <c r="Q327" i="4"/>
  <c r="S327" i="4" s="1"/>
  <c r="Q326" i="4"/>
  <c r="S326" i="4" s="1"/>
  <c r="Q325" i="4"/>
  <c r="S325" i="4" s="1"/>
  <c r="Q324" i="4"/>
  <c r="S324" i="4" s="1"/>
  <c r="Q323" i="4"/>
  <c r="S323" i="4" s="1"/>
  <c r="Q322" i="4"/>
  <c r="S322" i="4" s="1"/>
  <c r="Q321" i="4"/>
  <c r="S321" i="4" s="1"/>
  <c r="Q320" i="4"/>
  <c r="S320" i="4" s="1"/>
  <c r="Q319" i="4"/>
  <c r="S319" i="4" s="1"/>
  <c r="Q318" i="4"/>
  <c r="S318" i="4" s="1"/>
  <c r="Q317" i="4"/>
  <c r="S317" i="4" s="1"/>
  <c r="Q316" i="4"/>
  <c r="S316" i="4" s="1"/>
  <c r="Q314" i="4"/>
  <c r="S314" i="4" s="1"/>
  <c r="Q313" i="4"/>
  <c r="S313" i="4" s="1"/>
  <c r="Q312" i="4"/>
  <c r="S312" i="4" s="1"/>
  <c r="Q311" i="4"/>
  <c r="S311" i="4" s="1"/>
  <c r="Q310" i="4"/>
  <c r="S310" i="4" s="1"/>
  <c r="Q309" i="4"/>
  <c r="S309" i="4" s="1"/>
  <c r="Q308" i="4"/>
  <c r="S308" i="4" s="1"/>
  <c r="Q307" i="4"/>
  <c r="S307" i="4" s="1"/>
  <c r="Q304" i="4"/>
  <c r="S304" i="4" s="1"/>
  <c r="Q303" i="4"/>
  <c r="S303" i="4" s="1"/>
  <c r="Q302" i="4"/>
  <c r="S302" i="4" s="1"/>
  <c r="Q301" i="4"/>
  <c r="S301" i="4" s="1"/>
  <c r="Q300" i="4"/>
  <c r="S300" i="4" s="1"/>
  <c r="R299" i="4"/>
  <c r="Q298" i="4"/>
  <c r="S298" i="4" s="1"/>
  <c r="Q297" i="4"/>
  <c r="S297" i="4" s="1"/>
  <c r="R296" i="4"/>
  <c r="Q295" i="4"/>
  <c r="S295" i="4" s="1"/>
  <c r="R294" i="4"/>
  <c r="Q293" i="4"/>
  <c r="S293" i="4" s="1"/>
  <c r="Q292" i="4"/>
  <c r="S292" i="4" s="1"/>
  <c r="R291" i="4"/>
  <c r="R290" i="4"/>
  <c r="R289" i="4"/>
  <c r="R288" i="4"/>
  <c r="R287" i="4"/>
  <c r="R286" i="4"/>
  <c r="Q285" i="4"/>
  <c r="S285" i="4" s="1"/>
  <c r="Q282" i="4"/>
  <c r="S282" i="4" s="1"/>
  <c r="Q281" i="4"/>
  <c r="S281" i="4" s="1"/>
  <c r="Q280" i="4"/>
  <c r="S280" i="4" s="1"/>
  <c r="Q279" i="4"/>
  <c r="S279" i="4" s="1"/>
  <c r="Q278" i="4"/>
  <c r="S278" i="4" s="1"/>
  <c r="Q277" i="4"/>
  <c r="S277" i="4" s="1"/>
  <c r="Q276" i="4"/>
  <c r="S276" i="4" s="1"/>
  <c r="Q275" i="4"/>
  <c r="S275" i="4" s="1"/>
  <c r="Q274" i="4"/>
  <c r="S274" i="4" s="1"/>
  <c r="Q273" i="4"/>
  <c r="S273" i="4" s="1"/>
  <c r="Q272" i="4"/>
  <c r="S272" i="4" s="1"/>
  <c r="Q271" i="4"/>
  <c r="S271" i="4" s="1"/>
  <c r="Q270" i="4"/>
  <c r="S270" i="4" s="1"/>
  <c r="Q269" i="4"/>
  <c r="S269" i="4" s="1"/>
  <c r="Q268" i="4"/>
  <c r="S268" i="4" s="1"/>
  <c r="Q267" i="4"/>
  <c r="S267" i="4" s="1"/>
  <c r="Q266" i="4"/>
  <c r="S266" i="4" s="1"/>
  <c r="Q265" i="4"/>
  <c r="S265" i="4" s="1"/>
  <c r="Q264" i="4"/>
  <c r="S264" i="4" s="1"/>
  <c r="Q263" i="4"/>
  <c r="S263" i="4" s="1"/>
  <c r="Q262" i="4"/>
  <c r="S262" i="4" s="1"/>
  <c r="Q261" i="4"/>
  <c r="S261" i="4" s="1"/>
  <c r="Q260" i="4"/>
  <c r="S260" i="4" s="1"/>
  <c r="Q259" i="4"/>
  <c r="S259" i="4" s="1"/>
  <c r="Q258" i="4"/>
  <c r="S258" i="4" s="1"/>
  <c r="Q257" i="4"/>
  <c r="S257" i="4" s="1"/>
  <c r="Q256" i="4"/>
  <c r="S256" i="4" s="1"/>
  <c r="Q255" i="4"/>
  <c r="S255" i="4" s="1"/>
  <c r="Q254" i="4"/>
  <c r="S254" i="4" s="1"/>
  <c r="Q253" i="4"/>
  <c r="S253" i="4" s="1"/>
  <c r="Q252" i="4"/>
  <c r="S252" i="4" s="1"/>
  <c r="Q251" i="4"/>
  <c r="S251" i="4" s="1"/>
  <c r="Q250" i="4"/>
  <c r="S250" i="4" s="1"/>
  <c r="Q249" i="4"/>
  <c r="S249" i="4" s="1"/>
  <c r="Q248" i="4"/>
  <c r="S248" i="4" s="1"/>
  <c r="Q247" i="4"/>
  <c r="S247" i="4" s="1"/>
  <c r="Q246" i="4"/>
  <c r="S246" i="4" s="1"/>
  <c r="Q245" i="4"/>
  <c r="S245" i="4" s="1"/>
  <c r="Q244" i="4"/>
  <c r="S244" i="4" s="1"/>
  <c r="Q243" i="4"/>
  <c r="S243" i="4" s="1"/>
  <c r="Q242" i="4"/>
  <c r="S242" i="4" s="1"/>
  <c r="Q241" i="4"/>
  <c r="S241" i="4" s="1"/>
  <c r="Q240" i="4"/>
  <c r="S240" i="4" s="1"/>
  <c r="Q239" i="4"/>
  <c r="S239" i="4" s="1"/>
  <c r="Q238" i="4"/>
  <c r="S238" i="4" s="1"/>
  <c r="Q237" i="4"/>
  <c r="S237" i="4" s="1"/>
  <c r="Q236" i="4"/>
  <c r="S236" i="4" s="1"/>
  <c r="Q235" i="4"/>
  <c r="S235" i="4" s="1"/>
  <c r="Q234" i="4"/>
  <c r="S234" i="4" s="1"/>
  <c r="Q233" i="4"/>
  <c r="S233" i="4" s="1"/>
  <c r="Q232" i="4"/>
  <c r="S232" i="4" s="1"/>
  <c r="Q231" i="4"/>
  <c r="S231" i="4" s="1"/>
  <c r="Q230" i="4"/>
  <c r="S230" i="4" s="1"/>
  <c r="Q229" i="4"/>
  <c r="S229" i="4" s="1"/>
  <c r="Q228" i="4"/>
  <c r="S228" i="4" s="1"/>
  <c r="Q227" i="4"/>
  <c r="S227" i="4" s="1"/>
  <c r="Q226" i="4"/>
  <c r="S226" i="4" s="1"/>
  <c r="Q225" i="4"/>
  <c r="S225" i="4" s="1"/>
  <c r="Q224" i="4"/>
  <c r="S224" i="4" s="1"/>
  <c r="Q223" i="4"/>
  <c r="S223" i="4" s="1"/>
  <c r="Q222" i="4"/>
  <c r="S222" i="4" s="1"/>
  <c r="Q221" i="4"/>
  <c r="S221" i="4" s="1"/>
  <c r="Q220" i="4"/>
  <c r="S220" i="4" s="1"/>
  <c r="Q219" i="4"/>
  <c r="S219" i="4" s="1"/>
  <c r="Q218" i="4"/>
  <c r="S218" i="4" s="1"/>
  <c r="Q217" i="4"/>
  <c r="S217" i="4" s="1"/>
  <c r="Q216" i="4"/>
  <c r="S216" i="4" s="1"/>
  <c r="Q215" i="4"/>
  <c r="S215" i="4" s="1"/>
  <c r="Q214" i="4"/>
  <c r="S214" i="4" s="1"/>
  <c r="Q213" i="4"/>
  <c r="S213" i="4" s="1"/>
  <c r="Q212" i="4"/>
  <c r="S212" i="4" s="1"/>
  <c r="Q211" i="4"/>
  <c r="S211" i="4" s="1"/>
  <c r="Q210" i="4"/>
  <c r="S210" i="4" s="1"/>
  <c r="Q209" i="4"/>
  <c r="S209" i="4" s="1"/>
  <c r="Q208" i="4"/>
  <c r="S208" i="4" s="1"/>
  <c r="Q207" i="4"/>
  <c r="S207" i="4" s="1"/>
  <c r="Q206" i="4"/>
  <c r="S206" i="4" s="1"/>
  <c r="Q205" i="4"/>
  <c r="S205" i="4" s="1"/>
  <c r="Q204" i="4"/>
  <c r="S204" i="4" s="1"/>
  <c r="Q203" i="4"/>
  <c r="S203" i="4" s="1"/>
  <c r="Q202" i="4"/>
  <c r="S202" i="4" s="1"/>
  <c r="Q201" i="4"/>
  <c r="S201" i="4" s="1"/>
  <c r="Q200" i="4"/>
  <c r="S200" i="4" s="1"/>
  <c r="Q199" i="4"/>
  <c r="S199" i="4" s="1"/>
  <c r="Q198" i="4"/>
  <c r="S198" i="4" s="1"/>
  <c r="Q197" i="4"/>
  <c r="S197" i="4" s="1"/>
  <c r="Q196" i="4"/>
  <c r="S196" i="4" s="1"/>
  <c r="Q195" i="4"/>
  <c r="S195" i="4" s="1"/>
  <c r="Q194" i="4"/>
  <c r="S194" i="4" s="1"/>
  <c r="Q193" i="4"/>
  <c r="S193" i="4" s="1"/>
  <c r="Q192" i="4"/>
  <c r="S192" i="4" s="1"/>
  <c r="Q191" i="4"/>
  <c r="S191" i="4" s="1"/>
  <c r="Q190" i="4"/>
  <c r="S190" i="4" s="1"/>
  <c r="Q189" i="4"/>
  <c r="S189" i="4" s="1"/>
  <c r="Q188" i="4"/>
  <c r="S188" i="4" s="1"/>
  <c r="Q187" i="4"/>
  <c r="S187" i="4" s="1"/>
  <c r="Q186" i="4"/>
  <c r="S186" i="4" s="1"/>
  <c r="Q185" i="4"/>
  <c r="S185" i="4" s="1"/>
  <c r="Q184" i="4"/>
  <c r="S184" i="4" s="1"/>
  <c r="Q183" i="4"/>
  <c r="S183" i="4" s="1"/>
  <c r="Q182" i="4"/>
  <c r="S182" i="4" s="1"/>
  <c r="Q181" i="4"/>
  <c r="S181" i="4" s="1"/>
  <c r="Q180" i="4"/>
  <c r="S180" i="4" s="1"/>
  <c r="Q177" i="4"/>
  <c r="S177" i="4" s="1"/>
  <c r="Q175" i="4"/>
  <c r="S175" i="4" s="1"/>
  <c r="Q174" i="4"/>
  <c r="S174" i="4" s="1"/>
  <c r="Q173" i="4"/>
  <c r="S173" i="4" s="1"/>
  <c r="Q172" i="4"/>
  <c r="S172" i="4" s="1"/>
  <c r="Q171" i="4"/>
  <c r="S171" i="4" s="1"/>
  <c r="Q170" i="4"/>
  <c r="S170" i="4" s="1"/>
  <c r="Q169" i="4"/>
  <c r="S169" i="4" s="1"/>
  <c r="Q168" i="4"/>
  <c r="S168" i="4" s="1"/>
  <c r="Q167" i="4"/>
  <c r="S167" i="4" s="1"/>
  <c r="Q166" i="4"/>
  <c r="S166" i="4" s="1"/>
  <c r="Q165" i="4"/>
  <c r="S165" i="4" s="1"/>
  <c r="Q164" i="4"/>
  <c r="S164" i="4" s="1"/>
  <c r="Q163" i="4"/>
  <c r="S163" i="4" s="1"/>
  <c r="Q162" i="4"/>
  <c r="S162" i="4" s="1"/>
  <c r="Q161" i="4"/>
  <c r="S161" i="4" s="1"/>
  <c r="Q160" i="4"/>
  <c r="S160" i="4" s="1"/>
  <c r="Q159" i="4"/>
  <c r="S159" i="4" s="1"/>
  <c r="Q158" i="4"/>
  <c r="S158" i="4" s="1"/>
  <c r="Q157" i="4"/>
  <c r="S157" i="4" s="1"/>
  <c r="Q156" i="4"/>
  <c r="S156" i="4" s="1"/>
  <c r="Q155" i="4"/>
  <c r="S155" i="4" s="1"/>
  <c r="Q154" i="4"/>
  <c r="S154" i="4" s="1"/>
  <c r="Q153" i="4"/>
  <c r="S153" i="4" s="1"/>
  <c r="Q152" i="4"/>
  <c r="S152" i="4" s="1"/>
  <c r="Q151" i="4"/>
  <c r="S151" i="4" s="1"/>
  <c r="Q150" i="4"/>
  <c r="S150" i="4" s="1"/>
  <c r="Q149" i="4"/>
  <c r="S149" i="4" s="1"/>
  <c r="Q148" i="4"/>
  <c r="S148" i="4" s="1"/>
  <c r="Q147" i="4"/>
  <c r="S147" i="4" s="1"/>
  <c r="Q146" i="4"/>
  <c r="S146" i="4" s="1"/>
  <c r="Q145" i="4"/>
  <c r="S145" i="4" s="1"/>
  <c r="Q144" i="4"/>
  <c r="S144" i="4" s="1"/>
  <c r="Q143" i="4"/>
  <c r="S143" i="4" s="1"/>
  <c r="Q142" i="4"/>
  <c r="S142" i="4" s="1"/>
  <c r="Q141" i="4"/>
  <c r="S141" i="4" s="1"/>
  <c r="Q140" i="4"/>
  <c r="S140" i="4" s="1"/>
  <c r="Q138" i="4"/>
  <c r="S138" i="4" s="1"/>
  <c r="Q137" i="4"/>
  <c r="S137" i="4" s="1"/>
  <c r="Q136" i="4"/>
  <c r="S136" i="4" s="1"/>
  <c r="Q135" i="4"/>
  <c r="S135" i="4" s="1"/>
  <c r="Q134" i="4"/>
  <c r="S134" i="4" s="1"/>
  <c r="Q133" i="4"/>
  <c r="S133" i="4" s="1"/>
  <c r="Q132" i="4"/>
  <c r="S132" i="4" s="1"/>
  <c r="Q131" i="4"/>
  <c r="S131" i="4" s="1"/>
  <c r="Q130" i="4"/>
  <c r="S130" i="4" s="1"/>
  <c r="Q129" i="4"/>
  <c r="S129" i="4" s="1"/>
  <c r="Q128" i="4"/>
  <c r="S128" i="4" s="1"/>
  <c r="Q127" i="4"/>
  <c r="S127" i="4" s="1"/>
  <c r="Q126" i="4"/>
  <c r="S126" i="4" s="1"/>
  <c r="Q125" i="4"/>
  <c r="S125" i="4" s="1"/>
  <c r="Q124" i="4"/>
  <c r="S124" i="4" s="1"/>
  <c r="Q123" i="4"/>
  <c r="S123" i="4" s="1"/>
  <c r="Q122" i="4"/>
  <c r="S122" i="4" s="1"/>
  <c r="Q121" i="4"/>
  <c r="S121" i="4" s="1"/>
  <c r="Q120" i="4"/>
  <c r="S120" i="4" s="1"/>
  <c r="Q119" i="4"/>
  <c r="S119" i="4" s="1"/>
  <c r="Q118" i="4"/>
  <c r="S118" i="4" s="1"/>
  <c r="Q117" i="4"/>
  <c r="S117" i="4" s="1"/>
  <c r="Q116" i="4"/>
  <c r="S116" i="4" s="1"/>
  <c r="Q115" i="4"/>
  <c r="S115" i="4" s="1"/>
  <c r="Q114" i="4"/>
  <c r="S114" i="4" s="1"/>
  <c r="Q113" i="4"/>
  <c r="S113" i="4" s="1"/>
  <c r="Q112" i="4"/>
  <c r="S112" i="4" s="1"/>
  <c r="Q111" i="4"/>
  <c r="S111" i="4" s="1"/>
  <c r="Q110" i="4"/>
  <c r="S110" i="4" s="1"/>
  <c r="Q109" i="4"/>
  <c r="S109" i="4" s="1"/>
  <c r="Q108" i="4"/>
  <c r="S108" i="4" s="1"/>
  <c r="Q107" i="4"/>
  <c r="S107" i="4" s="1"/>
  <c r="Q96" i="4"/>
  <c r="S96" i="4" s="1"/>
  <c r="Q95" i="4"/>
  <c r="S95" i="4" s="1"/>
  <c r="Q92" i="4"/>
  <c r="S92" i="4" s="1"/>
  <c r="Q91" i="4"/>
  <c r="S91" i="4" s="1"/>
  <c r="Q90" i="4"/>
  <c r="S90" i="4" s="1"/>
  <c r="Q89" i="4"/>
  <c r="S89" i="4" s="1"/>
  <c r="Q88" i="4"/>
  <c r="S88" i="4" s="1"/>
  <c r="Q87" i="4"/>
  <c r="S87" i="4" s="1"/>
  <c r="Q86" i="4"/>
  <c r="S86" i="4" s="1"/>
  <c r="Q85" i="4"/>
  <c r="S85" i="4" s="1"/>
  <c r="Q84" i="4"/>
  <c r="S84" i="4" s="1"/>
  <c r="Q83" i="4"/>
  <c r="S83" i="4" s="1"/>
  <c r="Q82" i="4"/>
  <c r="S82" i="4" s="1"/>
  <c r="Q81" i="4"/>
  <c r="S81" i="4" s="1"/>
  <c r="Q80" i="4"/>
  <c r="S80" i="4" s="1"/>
  <c r="Q79" i="4"/>
  <c r="S79" i="4" s="1"/>
  <c r="Q78" i="4"/>
  <c r="S78" i="4" s="1"/>
  <c r="Q77" i="4"/>
  <c r="S77" i="4" s="1"/>
  <c r="Q76" i="4"/>
  <c r="S76" i="4" s="1"/>
  <c r="Q75" i="4"/>
  <c r="S75" i="4" s="1"/>
  <c r="Q74" i="4"/>
  <c r="S74" i="4" s="1"/>
  <c r="Q73" i="4"/>
  <c r="S73" i="4" s="1"/>
  <c r="Q72" i="4"/>
  <c r="S72" i="4" s="1"/>
  <c r="Q71" i="4"/>
  <c r="S71" i="4" s="1"/>
  <c r="Q70" i="4"/>
  <c r="S70" i="4" s="1"/>
  <c r="Q69" i="4"/>
  <c r="S69" i="4" s="1"/>
  <c r="Q68" i="4"/>
  <c r="S68" i="4" s="1"/>
  <c r="Q67" i="4"/>
  <c r="S67" i="4" s="1"/>
  <c r="Q66" i="4"/>
  <c r="S66" i="4" s="1"/>
  <c r="Q65" i="4"/>
  <c r="S65" i="4" s="1"/>
  <c r="Q64" i="4"/>
  <c r="S64" i="4" s="1"/>
  <c r="Q63" i="4"/>
  <c r="S63" i="4" s="1"/>
  <c r="Q62" i="4"/>
  <c r="S62" i="4" s="1"/>
  <c r="Q61" i="4"/>
  <c r="S61" i="4" s="1"/>
  <c r="Q60" i="4"/>
  <c r="S60" i="4" s="1"/>
  <c r="Q59" i="4"/>
  <c r="S59" i="4" s="1"/>
  <c r="Q58" i="4"/>
  <c r="S58" i="4" s="1"/>
  <c r="Q57" i="4"/>
  <c r="S57" i="4" s="1"/>
  <c r="Q56" i="4"/>
  <c r="S56" i="4" s="1"/>
  <c r="Q55" i="4"/>
  <c r="S55" i="4" s="1"/>
  <c r="Q54" i="4"/>
  <c r="S54" i="4" s="1"/>
  <c r="Q53" i="4"/>
  <c r="S53" i="4" s="1"/>
  <c r="Q52" i="4"/>
  <c r="S52" i="4" s="1"/>
  <c r="Q51" i="4"/>
  <c r="S51" i="4" s="1"/>
  <c r="Q50" i="4"/>
  <c r="S50" i="4" s="1"/>
  <c r="Q49" i="4"/>
  <c r="S49" i="4" s="1"/>
  <c r="Q48" i="4"/>
  <c r="S48" i="4" s="1"/>
  <c r="Q47" i="4"/>
  <c r="S47" i="4" s="1"/>
  <c r="Q46" i="4"/>
  <c r="S46" i="4" s="1"/>
  <c r="Q45" i="4"/>
  <c r="S45" i="4" s="1"/>
  <c r="Q44" i="4"/>
  <c r="S44" i="4" s="1"/>
  <c r="Q43" i="4"/>
  <c r="S43" i="4" s="1"/>
  <c r="Q42" i="4"/>
  <c r="S42" i="4" s="1"/>
  <c r="Q41" i="4"/>
  <c r="S41" i="4" s="1"/>
  <c r="Q40" i="4"/>
  <c r="S40" i="4" s="1"/>
  <c r="Q39" i="4"/>
  <c r="S39" i="4" s="1"/>
  <c r="Q38" i="4"/>
  <c r="S38" i="4" s="1"/>
  <c r="Q37" i="4"/>
  <c r="S37" i="4" s="1"/>
  <c r="Q36" i="4"/>
  <c r="S36" i="4" s="1"/>
  <c r="S355" i="4" l="1"/>
  <c r="B541" i="4"/>
  <c r="B538" i="4"/>
  <c r="H202" i="11" s="1"/>
  <c r="B539" i="4"/>
  <c r="J202" i="11" s="1"/>
  <c r="B540" i="4"/>
  <c r="L202" i="11" s="1"/>
  <c r="B537" i="4"/>
  <c r="F202" i="11" s="1"/>
  <c r="B536" i="4"/>
  <c r="D202" i="11" s="1"/>
  <c r="R81" i="4"/>
  <c r="R295" i="4"/>
  <c r="R303" i="4"/>
  <c r="R309" i="4"/>
  <c r="R313" i="4"/>
  <c r="R318" i="4"/>
  <c r="R322" i="4"/>
  <c r="R326" i="4"/>
  <c r="R330" i="4"/>
  <c r="R334" i="4"/>
  <c r="R338" i="4"/>
  <c r="R342" i="4"/>
  <c r="R346" i="4"/>
  <c r="R350" i="4"/>
  <c r="R355" i="4"/>
  <c r="R359" i="4"/>
  <c r="R371" i="4"/>
  <c r="R502" i="4"/>
  <c r="R510" i="4"/>
  <c r="R522" i="4"/>
  <c r="R38" i="4"/>
  <c r="R42" i="4"/>
  <c r="R46" i="4"/>
  <c r="R50" i="4"/>
  <c r="R54" i="4"/>
  <c r="R58" i="4"/>
  <c r="R62" i="4"/>
  <c r="R66" i="4"/>
  <c r="R70" i="4"/>
  <c r="R74" i="4"/>
  <c r="R78" i="4"/>
  <c r="R82" i="4"/>
  <c r="R86" i="4"/>
  <c r="R90" i="4"/>
  <c r="R96" i="4"/>
  <c r="R110" i="4"/>
  <c r="R114" i="4"/>
  <c r="R118" i="4"/>
  <c r="R122" i="4"/>
  <c r="R126" i="4"/>
  <c r="R130" i="4"/>
  <c r="R138" i="4"/>
  <c r="R147" i="4"/>
  <c r="R155" i="4"/>
  <c r="R163" i="4"/>
  <c r="R171" i="4"/>
  <c r="R182" i="4"/>
  <c r="R190" i="4"/>
  <c r="R198" i="4"/>
  <c r="R206" i="4"/>
  <c r="R214" i="4"/>
  <c r="R222" i="4"/>
  <c r="R230" i="4"/>
  <c r="R238" i="4"/>
  <c r="R246" i="4"/>
  <c r="R254" i="4"/>
  <c r="R262" i="4"/>
  <c r="R270" i="4"/>
  <c r="R278" i="4"/>
  <c r="R292" i="4"/>
  <c r="R300" i="4"/>
  <c r="R323" i="4"/>
  <c r="R331" i="4"/>
  <c r="R384" i="4"/>
  <c r="R392" i="4"/>
  <c r="R403" i="4"/>
  <c r="R411" i="4"/>
  <c r="R415" i="4"/>
  <c r="R419" i="4"/>
  <c r="R427" i="4"/>
  <c r="R431" i="4"/>
  <c r="R435" i="4"/>
  <c r="R439" i="4"/>
  <c r="R443" i="4"/>
  <c r="R447" i="4"/>
  <c r="R451" i="4"/>
  <c r="R455" i="4"/>
  <c r="R459" i="4"/>
  <c r="R463" i="4"/>
  <c r="R467" i="4"/>
  <c r="R471" i="4"/>
  <c r="R475" i="4"/>
  <c r="R479" i="4"/>
  <c r="R483" i="4"/>
  <c r="R487" i="4"/>
  <c r="R491" i="4"/>
  <c r="R495" i="4"/>
  <c r="R499" i="4"/>
  <c r="R503" i="4"/>
  <c r="R507" i="4"/>
  <c r="R511" i="4"/>
  <c r="R515" i="4"/>
  <c r="R519" i="4"/>
  <c r="R523" i="4"/>
  <c r="R527" i="4"/>
  <c r="R531" i="4"/>
  <c r="R183" i="4"/>
  <c r="R247" i="4"/>
  <c r="R301" i="4"/>
  <c r="R307" i="4"/>
  <c r="R311" i="4"/>
  <c r="R316" i="4"/>
  <c r="R320" i="4"/>
  <c r="R324" i="4"/>
  <c r="R328" i="4"/>
  <c r="R332" i="4"/>
  <c r="R336" i="4"/>
  <c r="R340" i="4"/>
  <c r="R344" i="4"/>
  <c r="R348" i="4"/>
  <c r="R352" i="4"/>
  <c r="R357" i="4"/>
  <c r="R88" i="4"/>
  <c r="R92" i="4"/>
  <c r="R108" i="4"/>
  <c r="R112" i="4"/>
  <c r="R116" i="4"/>
  <c r="R120" i="4"/>
  <c r="R124" i="4"/>
  <c r="R128" i="4"/>
  <c r="R136" i="4"/>
  <c r="R145" i="4"/>
  <c r="R153" i="4"/>
  <c r="R161" i="4"/>
  <c r="R169" i="4"/>
  <c r="R180" i="4"/>
  <c r="R188" i="4"/>
  <c r="R196" i="4"/>
  <c r="R204" i="4"/>
  <c r="R212" i="4"/>
  <c r="R220" i="4"/>
  <c r="R228" i="4"/>
  <c r="R236" i="4"/>
  <c r="R244" i="4"/>
  <c r="R252" i="4"/>
  <c r="R260" i="4"/>
  <c r="R268" i="4"/>
  <c r="R276" i="4"/>
  <c r="R298" i="4"/>
  <c r="R362" i="4"/>
  <c r="R366" i="4"/>
  <c r="R370" i="4"/>
  <c r="R374" i="4"/>
  <c r="R378" i="4"/>
  <c r="R386" i="4"/>
  <c r="R394" i="4"/>
  <c r="R405" i="4"/>
  <c r="R413" i="4"/>
  <c r="R417" i="4"/>
  <c r="R421" i="4"/>
  <c r="R425" i="4"/>
  <c r="R429" i="4"/>
  <c r="R433" i="4"/>
  <c r="R437" i="4"/>
  <c r="R441" i="4"/>
  <c r="R445" i="4"/>
  <c r="R449" i="4"/>
  <c r="R457" i="4"/>
  <c r="R465" i="4"/>
  <c r="R469" i="4"/>
  <c r="R473" i="4"/>
  <c r="R477" i="4"/>
  <c r="R481" i="4"/>
  <c r="R485" i="4"/>
  <c r="R489" i="4"/>
  <c r="R493" i="4"/>
  <c r="R497" i="4"/>
  <c r="R501" i="4"/>
  <c r="R505" i="4"/>
  <c r="R509" i="4"/>
  <c r="R513" i="4"/>
  <c r="R517" i="4"/>
  <c r="R521" i="4"/>
  <c r="R529" i="4"/>
  <c r="R525" i="4"/>
  <c r="R423" i="4"/>
  <c r="R215" i="4"/>
  <c r="R454" i="4"/>
  <c r="R353" i="4"/>
  <c r="R164" i="4"/>
  <c r="R406" i="4"/>
  <c r="R69" i="4"/>
  <c r="R351" i="4"/>
  <c r="R486" i="4"/>
  <c r="R279" i="4"/>
  <c r="R85" i="4"/>
  <c r="R44" i="4"/>
  <c r="R466" i="4"/>
  <c r="R49" i="4"/>
  <c r="R129" i="4"/>
  <c r="R40" i="4"/>
  <c r="R60" i="4"/>
  <c r="R77" i="4"/>
  <c r="R53" i="4"/>
  <c r="R61" i="4"/>
  <c r="R72" i="4"/>
  <c r="R113" i="4"/>
  <c r="R191" i="4"/>
  <c r="R426" i="4"/>
  <c r="R458" i="4"/>
  <c r="R518" i="4"/>
  <c r="R37" i="4"/>
  <c r="R45" i="4"/>
  <c r="R56" i="4"/>
  <c r="R65" i="4"/>
  <c r="R76" i="4"/>
  <c r="R148" i="4"/>
  <c r="R172" i="4"/>
  <c r="R199" i="4"/>
  <c r="R231" i="4"/>
  <c r="R263" i="4"/>
  <c r="R304" i="4"/>
  <c r="R356" i="4"/>
  <c r="R358" i="4"/>
  <c r="R414" i="4"/>
  <c r="R446" i="4"/>
  <c r="R474" i="4"/>
  <c r="R442" i="4"/>
  <c r="R152" i="4"/>
  <c r="R219" i="4"/>
  <c r="R255" i="4"/>
  <c r="R321" i="4"/>
  <c r="R461" i="4"/>
  <c r="R36" i="4"/>
  <c r="R41" i="4"/>
  <c r="R52" i="4"/>
  <c r="R57" i="4"/>
  <c r="R73" i="4"/>
  <c r="R121" i="4"/>
  <c r="R156" i="4"/>
  <c r="R170" i="4"/>
  <c r="R310" i="4"/>
  <c r="R333" i="4"/>
  <c r="R478" i="4"/>
  <c r="R48" i="4"/>
  <c r="R64" i="4"/>
  <c r="R80" i="4"/>
  <c r="R140" i="4"/>
  <c r="R154" i="4"/>
  <c r="R187" i="4"/>
  <c r="R194" i="4"/>
  <c r="R207" i="4"/>
  <c r="R239" i="4"/>
  <c r="R271" i="4"/>
  <c r="R319" i="4"/>
  <c r="R363" i="4"/>
  <c r="R402" i="4"/>
  <c r="R490" i="4"/>
  <c r="R159" i="4"/>
  <c r="R189" i="4"/>
  <c r="R223" i="4"/>
  <c r="R68" i="4"/>
  <c r="R84" i="4"/>
  <c r="R95" i="4"/>
  <c r="R135" i="4"/>
  <c r="R143" i="4"/>
  <c r="R203" i="4"/>
  <c r="R210" i="4"/>
  <c r="R387" i="4"/>
  <c r="R453" i="4"/>
  <c r="R137" i="4"/>
  <c r="R168" i="4"/>
  <c r="R175" i="4"/>
  <c r="R205" i="4"/>
  <c r="R343" i="4"/>
  <c r="R349" i="4"/>
  <c r="R438" i="4"/>
  <c r="R221" i="4"/>
  <c r="R226" i="4"/>
  <c r="R235" i="4"/>
  <c r="R237" i="4"/>
  <c r="R242" i="4"/>
  <c r="R251" i="4"/>
  <c r="R253" i="4"/>
  <c r="R258" i="4"/>
  <c r="R267" i="4"/>
  <c r="R269" i="4"/>
  <c r="R274" i="4"/>
  <c r="R285" i="4"/>
  <c r="R293" i="4"/>
  <c r="R297" i="4"/>
  <c r="R317" i="4"/>
  <c r="R341" i="4"/>
  <c r="R345" i="4"/>
  <c r="R347" i="4"/>
  <c r="R379" i="4"/>
  <c r="R391" i="4"/>
  <c r="R410" i="4"/>
  <c r="R422" i="4"/>
  <c r="R434" i="4"/>
  <c r="R470" i="4"/>
  <c r="R506" i="4"/>
  <c r="R141" i="4"/>
  <c r="R157" i="4"/>
  <c r="R173" i="4"/>
  <c r="R192" i="4"/>
  <c r="R208" i="4"/>
  <c r="R224" i="4"/>
  <c r="R240" i="4"/>
  <c r="R256" i="4"/>
  <c r="R272" i="4"/>
  <c r="R337" i="4"/>
  <c r="R89" i="4"/>
  <c r="R109" i="4"/>
  <c r="R117" i="4"/>
  <c r="R125" i="4"/>
  <c r="R134" i="4"/>
  <c r="R144" i="4"/>
  <c r="R146" i="4"/>
  <c r="R151" i="4"/>
  <c r="R160" i="4"/>
  <c r="R162" i="4"/>
  <c r="R167" i="4"/>
  <c r="R177" i="4"/>
  <c r="R181" i="4"/>
  <c r="R186" i="4"/>
  <c r="R195" i="4"/>
  <c r="R197" i="4"/>
  <c r="R202" i="4"/>
  <c r="R211" i="4"/>
  <c r="R213" i="4"/>
  <c r="R218" i="4"/>
  <c r="R227" i="4"/>
  <c r="R229" i="4"/>
  <c r="R234" i="4"/>
  <c r="R243" i="4"/>
  <c r="R245" i="4"/>
  <c r="R250" i="4"/>
  <c r="R259" i="4"/>
  <c r="R261" i="4"/>
  <c r="R266" i="4"/>
  <c r="R275" i="4"/>
  <c r="R277" i="4"/>
  <c r="R282" i="4"/>
  <c r="R308" i="4"/>
  <c r="R312" i="4"/>
  <c r="R314" i="4"/>
  <c r="R360" i="4"/>
  <c r="R132" i="4"/>
  <c r="R149" i="4"/>
  <c r="R165" i="4"/>
  <c r="R184" i="4"/>
  <c r="R200" i="4"/>
  <c r="R216" i="4"/>
  <c r="R232" i="4"/>
  <c r="R248" i="4"/>
  <c r="R264" i="4"/>
  <c r="R280" i="4"/>
  <c r="R327" i="4"/>
  <c r="R335" i="4"/>
  <c r="R302" i="4"/>
  <c r="R339" i="4"/>
  <c r="R367" i="4"/>
  <c r="R375" i="4"/>
  <c r="R383" i="4"/>
  <c r="R398" i="4"/>
  <c r="R418" i="4"/>
  <c r="R430" i="4"/>
  <c r="R450" i="4"/>
  <c r="R462" i="4"/>
  <c r="R482" i="4"/>
  <c r="R325" i="4"/>
  <c r="R329" i="4"/>
  <c r="R498" i="4"/>
  <c r="R530" i="4"/>
  <c r="R494" i="4"/>
  <c r="R514" i="4"/>
  <c r="R526" i="4"/>
  <c r="R361" i="4"/>
  <c r="R372" i="4"/>
  <c r="R377" i="4"/>
  <c r="R382" i="4"/>
  <c r="R399" i="4"/>
  <c r="R368" i="4"/>
  <c r="R373" i="4"/>
  <c r="R385" i="4"/>
  <c r="R390" i="4"/>
  <c r="R407" i="4"/>
  <c r="R43" i="4"/>
  <c r="R47" i="4"/>
  <c r="R59" i="4"/>
  <c r="R67" i="4"/>
  <c r="R75" i="4"/>
  <c r="R79" i="4"/>
  <c r="R83" i="4"/>
  <c r="R91" i="4"/>
  <c r="R107" i="4"/>
  <c r="R115" i="4"/>
  <c r="R119" i="4"/>
  <c r="R127" i="4"/>
  <c r="R131" i="4"/>
  <c r="R364" i="4"/>
  <c r="R369" i="4"/>
  <c r="R380" i="4"/>
  <c r="R393" i="4"/>
  <c r="R401" i="4"/>
  <c r="R39" i="4"/>
  <c r="R51" i="4"/>
  <c r="R55" i="4"/>
  <c r="R63" i="4"/>
  <c r="R71" i="4"/>
  <c r="R87" i="4"/>
  <c r="R111" i="4"/>
  <c r="R123" i="4"/>
  <c r="R133" i="4"/>
  <c r="R142" i="4"/>
  <c r="R150" i="4"/>
  <c r="R158" i="4"/>
  <c r="R166" i="4"/>
  <c r="R174" i="4"/>
  <c r="R185" i="4"/>
  <c r="R193" i="4"/>
  <c r="R201" i="4"/>
  <c r="R209" i="4"/>
  <c r="R217" i="4"/>
  <c r="R225" i="4"/>
  <c r="R233" i="4"/>
  <c r="R241" i="4"/>
  <c r="R249" i="4"/>
  <c r="R257" i="4"/>
  <c r="R265" i="4"/>
  <c r="R273" i="4"/>
  <c r="R281" i="4"/>
  <c r="R365" i="4"/>
  <c r="R376" i="4"/>
  <c r="R388" i="4"/>
  <c r="R404" i="4"/>
  <c r="R409" i="4"/>
  <c r="R381" i="4"/>
  <c r="R389" i="4"/>
  <c r="R400" i="4"/>
  <c r="R408" i="4"/>
  <c r="R416" i="4"/>
  <c r="R424" i="4"/>
  <c r="R432" i="4"/>
  <c r="R440" i="4"/>
  <c r="R448" i="4"/>
  <c r="R456" i="4"/>
  <c r="R464" i="4"/>
  <c r="R472" i="4"/>
  <c r="R480" i="4"/>
  <c r="R488" i="4"/>
  <c r="R496" i="4"/>
  <c r="R504" i="4"/>
  <c r="R512" i="4"/>
  <c r="R520" i="4"/>
  <c r="R528" i="4"/>
  <c r="R412" i="4"/>
  <c r="R420" i="4"/>
  <c r="R428" i="4"/>
  <c r="R436" i="4"/>
  <c r="R444" i="4"/>
  <c r="R452" i="4"/>
  <c r="R460" i="4"/>
  <c r="R468" i="4"/>
  <c r="R476" i="4"/>
  <c r="R484" i="4"/>
  <c r="R492" i="4"/>
  <c r="R500" i="4"/>
  <c r="R508" i="4"/>
  <c r="R516" i="4"/>
  <c r="R524" i="4"/>
  <c r="R532" i="4"/>
  <c r="Q35" i="4"/>
  <c r="S35" i="4" s="1"/>
  <c r="Q34" i="4"/>
  <c r="S34" i="4" s="1"/>
  <c r="Q33" i="4"/>
  <c r="S33" i="4" s="1"/>
  <c r="Q32" i="4"/>
  <c r="S32" i="4" s="1"/>
  <c r="Q31" i="4"/>
  <c r="S31" i="4" s="1"/>
  <c r="Q30" i="4"/>
  <c r="S30" i="4" s="1"/>
  <c r="Q29" i="4"/>
  <c r="S29" i="4" s="1"/>
  <c r="Q28" i="4"/>
  <c r="S28" i="4" s="1"/>
  <c r="Q27" i="4"/>
  <c r="S27" i="4" s="1"/>
  <c r="Q26" i="4"/>
  <c r="S26" i="4" s="1"/>
  <c r="Q25" i="4"/>
  <c r="S25" i="4" s="1"/>
  <c r="Q24" i="4"/>
  <c r="S24" i="4" s="1"/>
  <c r="Q23" i="4"/>
  <c r="S23" i="4" s="1"/>
  <c r="Q22" i="4"/>
  <c r="S22" i="4" s="1"/>
  <c r="Q21" i="4"/>
  <c r="S21" i="4" s="1"/>
  <c r="Q20" i="4"/>
  <c r="S20" i="4" s="1"/>
  <c r="Q19" i="4"/>
  <c r="S19" i="4" s="1"/>
  <c r="Q18" i="4"/>
  <c r="S18" i="4" s="1"/>
  <c r="Q17" i="4"/>
  <c r="S17" i="4" s="1"/>
  <c r="Q16" i="4"/>
  <c r="S16" i="4" s="1"/>
  <c r="Q15" i="4"/>
  <c r="S15" i="4" s="1"/>
  <c r="Q14" i="4"/>
  <c r="S14" i="4" s="1"/>
  <c r="Q13" i="4"/>
  <c r="S13" i="4" s="1"/>
  <c r="Q12" i="4"/>
  <c r="S12" i="4" s="1"/>
  <c r="Q11" i="4"/>
  <c r="S11" i="4" s="1"/>
  <c r="N202" i="11" l="1"/>
  <c r="D208" i="11"/>
  <c r="E202" i="11" s="1"/>
  <c r="B542" i="4"/>
  <c r="R23" i="4"/>
  <c r="R31" i="4"/>
  <c r="R15" i="4"/>
  <c r="R27" i="4"/>
  <c r="R21" i="4"/>
  <c r="R25" i="4"/>
  <c r="R14" i="4"/>
  <c r="R30" i="4"/>
  <c r="R19" i="4"/>
  <c r="L96" i="11"/>
  <c r="D96" i="11"/>
  <c r="J96" i="11"/>
  <c r="H96" i="11"/>
  <c r="F96" i="11"/>
  <c r="L95" i="11"/>
  <c r="H95" i="11"/>
  <c r="F95" i="11"/>
  <c r="J95" i="11"/>
  <c r="D95" i="11"/>
  <c r="L94" i="11"/>
  <c r="D92" i="11"/>
  <c r="H94" i="11"/>
  <c r="J94" i="11"/>
  <c r="D94" i="11"/>
  <c r="F94" i="11"/>
  <c r="F90" i="11"/>
  <c r="L86" i="11"/>
  <c r="H86" i="11"/>
  <c r="J86" i="11"/>
  <c r="D86" i="11"/>
  <c r="F86" i="11"/>
  <c r="J82" i="11"/>
  <c r="F82" i="11"/>
  <c r="H82" i="11"/>
  <c r="D82" i="11"/>
  <c r="L82" i="11"/>
  <c r="F91" i="11"/>
  <c r="F89" i="11"/>
  <c r="R11" i="4"/>
  <c r="R26" i="4"/>
  <c r="R22" i="4"/>
  <c r="R18" i="4"/>
  <c r="R34" i="4"/>
  <c r="R17" i="4"/>
  <c r="R33" i="4"/>
  <c r="R13" i="4"/>
  <c r="R29" i="4"/>
  <c r="R12" i="4"/>
  <c r="R16" i="4"/>
  <c r="R20" i="4"/>
  <c r="R24" i="4"/>
  <c r="R28" i="4"/>
  <c r="R32" i="4"/>
  <c r="R35" i="4"/>
  <c r="Q523" i="5"/>
  <c r="S523" i="5" s="1"/>
  <c r="Q522" i="5"/>
  <c r="S522" i="5" s="1"/>
  <c r="Q521" i="5"/>
  <c r="S521" i="5" s="1"/>
  <c r="Q520" i="5"/>
  <c r="S520" i="5" s="1"/>
  <c r="Q519" i="5"/>
  <c r="Q518" i="5"/>
  <c r="S518" i="5" s="1"/>
  <c r="Q517" i="5"/>
  <c r="S517" i="5" s="1"/>
  <c r="Q516" i="5"/>
  <c r="Q515" i="5"/>
  <c r="Q514" i="5"/>
  <c r="S514" i="5" s="1"/>
  <c r="Q513" i="5"/>
  <c r="S513" i="5" s="1"/>
  <c r="Q512" i="5"/>
  <c r="Q510" i="5"/>
  <c r="Q509" i="5"/>
  <c r="S509" i="5" s="1"/>
  <c r="Q508" i="5"/>
  <c r="S508" i="5" s="1"/>
  <c r="Q507" i="5"/>
  <c r="Q506" i="5"/>
  <c r="Q505" i="5"/>
  <c r="S505" i="5" s="1"/>
  <c r="Q504" i="5"/>
  <c r="S504" i="5" s="1"/>
  <c r="Q503" i="5"/>
  <c r="Q502" i="5"/>
  <c r="Q501" i="5"/>
  <c r="S501" i="5" s="1"/>
  <c r="Q500" i="5"/>
  <c r="S500" i="5" s="1"/>
  <c r="Q497" i="5"/>
  <c r="Q496" i="5"/>
  <c r="Q495" i="5"/>
  <c r="S495" i="5" s="1"/>
  <c r="Q494" i="5"/>
  <c r="S494" i="5" s="1"/>
  <c r="Q493" i="5"/>
  <c r="Q492" i="5"/>
  <c r="Q491" i="5"/>
  <c r="S491" i="5" s="1"/>
  <c r="Q490" i="5"/>
  <c r="S490" i="5" s="1"/>
  <c r="Q489" i="5"/>
  <c r="Q488" i="5"/>
  <c r="Q487" i="5"/>
  <c r="S487" i="5" s="1"/>
  <c r="Q486" i="5"/>
  <c r="S486" i="5" s="1"/>
  <c r="Q485" i="5"/>
  <c r="Q484" i="5"/>
  <c r="Q483" i="5"/>
  <c r="S483" i="5" s="1"/>
  <c r="Q482" i="5"/>
  <c r="S482" i="5" s="1"/>
  <c r="Q481" i="5"/>
  <c r="Q480" i="5"/>
  <c r="Q479" i="5"/>
  <c r="S479" i="5" s="1"/>
  <c r="Q478" i="5"/>
  <c r="S478" i="5" s="1"/>
  <c r="Q477" i="5"/>
  <c r="Q476" i="5"/>
  <c r="Q475" i="5"/>
  <c r="S475" i="5" s="1"/>
  <c r="Q474" i="5"/>
  <c r="S474" i="5" s="1"/>
  <c r="Q473" i="5"/>
  <c r="Q472" i="5"/>
  <c r="Q471" i="5"/>
  <c r="S471" i="5" s="1"/>
  <c r="Q470" i="5"/>
  <c r="S470" i="5" s="1"/>
  <c r="Q469" i="5"/>
  <c r="Q468" i="5"/>
  <c r="Q467" i="5"/>
  <c r="S467" i="5" s="1"/>
  <c r="Q466" i="5"/>
  <c r="S466" i="5" s="1"/>
  <c r="Q465" i="5"/>
  <c r="Q464" i="5"/>
  <c r="Q463" i="5"/>
  <c r="S463" i="5" s="1"/>
  <c r="Q462" i="5"/>
  <c r="S462" i="5" s="1"/>
  <c r="Q461" i="5"/>
  <c r="Q460" i="5"/>
  <c r="Q459" i="5"/>
  <c r="S459" i="5" s="1"/>
  <c r="Q458" i="5"/>
  <c r="S458" i="5" s="1"/>
  <c r="Q457" i="5"/>
  <c r="Q456" i="5"/>
  <c r="Q455" i="5"/>
  <c r="S455" i="5" s="1"/>
  <c r="Q454" i="5"/>
  <c r="S454" i="5" s="1"/>
  <c r="Q453" i="5"/>
  <c r="Q452" i="5"/>
  <c r="Q451" i="5"/>
  <c r="S451" i="5" s="1"/>
  <c r="Q450" i="5"/>
  <c r="S450" i="5" s="1"/>
  <c r="Q449" i="5"/>
  <c r="Q448" i="5"/>
  <c r="Q447" i="5"/>
  <c r="S447" i="5" s="1"/>
  <c r="Q446" i="5"/>
  <c r="S446" i="5" s="1"/>
  <c r="Q445" i="5"/>
  <c r="Q444" i="5"/>
  <c r="S443" i="5"/>
  <c r="Q442" i="5"/>
  <c r="S442" i="5" s="1"/>
  <c r="Q436" i="5"/>
  <c r="Q435" i="5"/>
  <c r="S435" i="5" s="1"/>
  <c r="Q434" i="5"/>
  <c r="S434" i="5" s="1"/>
  <c r="Q433" i="5"/>
  <c r="S433" i="5" s="1"/>
  <c r="Q432" i="5"/>
  <c r="Q431" i="5"/>
  <c r="S431" i="5" s="1"/>
  <c r="Q430" i="5"/>
  <c r="S430" i="5" s="1"/>
  <c r="Q429" i="5"/>
  <c r="S429" i="5" s="1"/>
  <c r="Q428" i="5"/>
  <c r="Q427" i="5"/>
  <c r="S427" i="5" s="1"/>
  <c r="Q426" i="5"/>
  <c r="S426" i="5" s="1"/>
  <c r="Q425" i="5"/>
  <c r="S425" i="5" s="1"/>
  <c r="Q424" i="5"/>
  <c r="Q423" i="5"/>
  <c r="Q422" i="5"/>
  <c r="S422" i="5" s="1"/>
  <c r="Q421" i="5"/>
  <c r="S421" i="5" s="1"/>
  <c r="Q420" i="5"/>
  <c r="Q419" i="5"/>
  <c r="S419" i="5" s="1"/>
  <c r="Q418" i="5"/>
  <c r="S418" i="5" s="1"/>
  <c r="Q417" i="5"/>
  <c r="S417" i="5" s="1"/>
  <c r="Q416" i="5"/>
  <c r="Q415" i="5"/>
  <c r="S415" i="5" s="1"/>
  <c r="Q414" i="5"/>
  <c r="S414" i="5" s="1"/>
  <c r="Q413" i="5"/>
  <c r="S413" i="5" s="1"/>
  <c r="Q412" i="5"/>
  <c r="Q411" i="5"/>
  <c r="S411" i="5" s="1"/>
  <c r="Q410" i="5"/>
  <c r="S410" i="5" s="1"/>
  <c r="Q409" i="5"/>
  <c r="S409" i="5" s="1"/>
  <c r="Q408" i="5"/>
  <c r="Q407" i="5"/>
  <c r="Q406" i="5"/>
  <c r="S406" i="5" s="1"/>
  <c r="Q405" i="5"/>
  <c r="S405" i="5" s="1"/>
  <c r="Q404" i="5"/>
  <c r="Q403" i="5"/>
  <c r="S403" i="5" s="1"/>
  <c r="Q402" i="5"/>
  <c r="S402" i="5" s="1"/>
  <c r="Q401" i="5"/>
  <c r="S401" i="5" s="1"/>
  <c r="Q400" i="5"/>
  <c r="Q399" i="5"/>
  <c r="S399" i="5" s="1"/>
  <c r="Q398" i="5"/>
  <c r="S398" i="5" s="1"/>
  <c r="Q397" i="5"/>
  <c r="S397" i="5" s="1"/>
  <c r="Q396" i="5"/>
  <c r="Q395" i="5"/>
  <c r="S395" i="5" s="1"/>
  <c r="Q394" i="5"/>
  <c r="S394" i="5" s="1"/>
  <c r="Q393" i="5"/>
  <c r="S393" i="5" s="1"/>
  <c r="Q392" i="5"/>
  <c r="Q391" i="5"/>
  <c r="Q390" i="5"/>
  <c r="S390" i="5" s="1"/>
  <c r="Q389" i="5"/>
  <c r="S389" i="5" s="1"/>
  <c r="Q388" i="5"/>
  <c r="Q387" i="5"/>
  <c r="S387" i="5" s="1"/>
  <c r="Q386" i="5"/>
  <c r="S386" i="5" s="1"/>
  <c r="Q385" i="5"/>
  <c r="S385" i="5" s="1"/>
  <c r="Q384" i="5"/>
  <c r="Q383" i="5"/>
  <c r="S383" i="5" s="1"/>
  <c r="Q382" i="5"/>
  <c r="S382" i="5" s="1"/>
  <c r="Q381" i="5"/>
  <c r="S381" i="5" s="1"/>
  <c r="Q380" i="5"/>
  <c r="Q379" i="5"/>
  <c r="S379" i="5" s="1"/>
  <c r="Q378" i="5"/>
  <c r="S378" i="5" s="1"/>
  <c r="Q377" i="5"/>
  <c r="S377" i="5" s="1"/>
  <c r="Q376" i="5"/>
  <c r="Q375" i="5"/>
  <c r="S375" i="5" s="1"/>
  <c r="Q374" i="5"/>
  <c r="Q373" i="5"/>
  <c r="S373" i="5" s="1"/>
  <c r="Q372" i="5"/>
  <c r="Q371" i="5"/>
  <c r="S371" i="5" s="1"/>
  <c r="Q370" i="5"/>
  <c r="S370" i="5" s="1"/>
  <c r="Q369" i="5"/>
  <c r="S369" i="5" s="1"/>
  <c r="Q368" i="5"/>
  <c r="Q367" i="5"/>
  <c r="S367" i="5" s="1"/>
  <c r="Q366" i="5"/>
  <c r="Q365" i="5"/>
  <c r="S365" i="5" s="1"/>
  <c r="Q364" i="5"/>
  <c r="Q363" i="5"/>
  <c r="S363" i="5" s="1"/>
  <c r="Q362" i="5"/>
  <c r="S362" i="5" s="1"/>
  <c r="Q361" i="5"/>
  <c r="S361" i="5" s="1"/>
  <c r="Q360" i="5"/>
  <c r="Q359" i="5"/>
  <c r="S359" i="5" s="1"/>
  <c r="Q358" i="5"/>
  <c r="Q357" i="5"/>
  <c r="S357" i="5" s="1"/>
  <c r="Q356" i="5"/>
  <c r="Q354" i="5"/>
  <c r="S354" i="5" s="1"/>
  <c r="Q353" i="5"/>
  <c r="S353" i="5" s="1"/>
  <c r="Q352" i="5"/>
  <c r="S352" i="5" s="1"/>
  <c r="Q351" i="5"/>
  <c r="Q350" i="5"/>
  <c r="S350" i="5" s="1"/>
  <c r="Q349" i="5"/>
  <c r="Q348" i="5"/>
  <c r="S348" i="5" s="1"/>
  <c r="Q347" i="5"/>
  <c r="S347" i="5" s="1"/>
  <c r="Q346" i="5"/>
  <c r="S346" i="5" s="1"/>
  <c r="Q345" i="5"/>
  <c r="S345" i="5" s="1"/>
  <c r="Q344" i="5"/>
  <c r="Q343" i="5"/>
  <c r="S343" i="5" s="1"/>
  <c r="Q342" i="5"/>
  <c r="S342" i="5" s="1"/>
  <c r="Q341" i="5"/>
  <c r="Q340" i="5"/>
  <c r="S340" i="5" s="1"/>
  <c r="Q339" i="5"/>
  <c r="S339" i="5" s="1"/>
  <c r="Q338" i="5"/>
  <c r="S338" i="5" s="1"/>
  <c r="Q337" i="5"/>
  <c r="Q336" i="5"/>
  <c r="Q335" i="5"/>
  <c r="S335" i="5" s="1"/>
  <c r="Q334" i="5"/>
  <c r="S334" i="5" s="1"/>
  <c r="Q333" i="5"/>
  <c r="Q332" i="5"/>
  <c r="S332" i="5" s="1"/>
  <c r="Q331" i="5"/>
  <c r="S331" i="5" s="1"/>
  <c r="Q330" i="5"/>
  <c r="S330" i="5" s="1"/>
  <c r="Q329" i="5"/>
  <c r="Q328" i="5"/>
  <c r="Q327" i="5"/>
  <c r="S327" i="5" s="1"/>
  <c r="Q326" i="5"/>
  <c r="S326" i="5" s="1"/>
  <c r="Q325" i="5"/>
  <c r="Q324" i="5"/>
  <c r="S324" i="5" s="1"/>
  <c r="Q323" i="5"/>
  <c r="S323" i="5" s="1"/>
  <c r="Q322" i="5"/>
  <c r="S322" i="5" s="1"/>
  <c r="Q321" i="5"/>
  <c r="Q320" i="5"/>
  <c r="Q319" i="5"/>
  <c r="S319" i="5" s="1"/>
  <c r="Q318" i="5"/>
  <c r="S318" i="5" s="1"/>
  <c r="Q317" i="5"/>
  <c r="Q316" i="5"/>
  <c r="S316" i="5" s="1"/>
  <c r="Q315" i="5"/>
  <c r="S315" i="5" s="1"/>
  <c r="Q314" i="5"/>
  <c r="S314" i="5" s="1"/>
  <c r="Q313" i="5"/>
  <c r="Q312" i="5"/>
  <c r="Q311" i="5"/>
  <c r="S311" i="5" s="1"/>
  <c r="Q310" i="5"/>
  <c r="S310" i="5" s="1"/>
  <c r="Q309" i="5"/>
  <c r="Q308" i="5"/>
  <c r="S308" i="5" s="1"/>
  <c r="Q307" i="5"/>
  <c r="S307" i="5" s="1"/>
  <c r="Q306" i="5"/>
  <c r="S306" i="5" s="1"/>
  <c r="Q305" i="5"/>
  <c r="Q304" i="5"/>
  <c r="S304" i="5" s="1"/>
  <c r="Q303" i="5"/>
  <c r="S303" i="5" s="1"/>
  <c r="Q302" i="5"/>
  <c r="S302" i="5" s="1"/>
  <c r="Q301" i="5"/>
  <c r="Q300" i="5"/>
  <c r="S300" i="5" s="1"/>
  <c r="Q299" i="5"/>
  <c r="S299" i="5" s="1"/>
  <c r="Q298" i="5"/>
  <c r="S298" i="5" s="1"/>
  <c r="Q297" i="5"/>
  <c r="Q296" i="5"/>
  <c r="Q295" i="5"/>
  <c r="S295" i="5" s="1"/>
  <c r="Q294" i="5"/>
  <c r="S294" i="5" s="1"/>
  <c r="Q293" i="5"/>
  <c r="Q292" i="5"/>
  <c r="S292" i="5" s="1"/>
  <c r="Q291" i="5"/>
  <c r="S291" i="5" s="1"/>
  <c r="Q290" i="5"/>
  <c r="S290" i="5" s="1"/>
  <c r="Q289" i="5"/>
  <c r="Q288" i="5"/>
  <c r="S288" i="5" s="1"/>
  <c r="Q287" i="5"/>
  <c r="S287" i="5" s="1"/>
  <c r="Q286" i="5"/>
  <c r="S286" i="5" s="1"/>
  <c r="Q285" i="5"/>
  <c r="Q284" i="5"/>
  <c r="S284" i="5" s="1"/>
  <c r="Q283" i="5"/>
  <c r="S283" i="5" s="1"/>
  <c r="Q282" i="5"/>
  <c r="S282" i="5" s="1"/>
  <c r="Q281" i="5"/>
  <c r="Q280" i="5"/>
  <c r="Q279" i="5"/>
  <c r="S279" i="5" s="1"/>
  <c r="Q278" i="5"/>
  <c r="S278" i="5" s="1"/>
  <c r="Q277" i="5"/>
  <c r="Q276" i="5"/>
  <c r="S276" i="5" s="1"/>
  <c r="Q275" i="5"/>
  <c r="S275" i="5" s="1"/>
  <c r="Q274" i="5"/>
  <c r="S274" i="5" s="1"/>
  <c r="Q273" i="5"/>
  <c r="Q272" i="5"/>
  <c r="S272" i="5" s="1"/>
  <c r="Q271" i="5"/>
  <c r="S271" i="5" s="1"/>
  <c r="Q270" i="5"/>
  <c r="S270" i="5" s="1"/>
  <c r="Q269" i="5"/>
  <c r="S269" i="5" s="1"/>
  <c r="Q268" i="5"/>
  <c r="S268" i="5" s="1"/>
  <c r="Q266" i="5"/>
  <c r="S266" i="5" s="1"/>
  <c r="Q265" i="5"/>
  <c r="Q264" i="5"/>
  <c r="Q263" i="5"/>
  <c r="S263" i="5" s="1"/>
  <c r="Q262" i="5"/>
  <c r="S262" i="5" s="1"/>
  <c r="Q261" i="5"/>
  <c r="Q260" i="5"/>
  <c r="S260" i="5" s="1"/>
  <c r="Q259" i="5"/>
  <c r="S259" i="5" s="1"/>
  <c r="Q258" i="5"/>
  <c r="S258" i="5" s="1"/>
  <c r="R257" i="5"/>
  <c r="Q256" i="5"/>
  <c r="S256" i="5" s="1"/>
  <c r="Q255" i="5"/>
  <c r="S255" i="5" s="1"/>
  <c r="Q254" i="5"/>
  <c r="S254" i="5" s="1"/>
  <c r="Q253" i="5"/>
  <c r="S253" i="5" s="1"/>
  <c r="Q252" i="5"/>
  <c r="S252" i="5" s="1"/>
  <c r="Q251" i="5"/>
  <c r="S251" i="5" s="1"/>
  <c r="Q250" i="5"/>
  <c r="S250" i="5" s="1"/>
  <c r="Q249" i="5"/>
  <c r="Q248" i="5"/>
  <c r="Q247" i="5"/>
  <c r="S247" i="5" s="1"/>
  <c r="Q246" i="5"/>
  <c r="S246" i="5" s="1"/>
  <c r="Q245" i="5"/>
  <c r="S245" i="5" s="1"/>
  <c r="Q244" i="5"/>
  <c r="S244" i="5" s="1"/>
  <c r="Q243" i="5"/>
  <c r="S243" i="5" s="1"/>
  <c r="Q242" i="5"/>
  <c r="Q241" i="5"/>
  <c r="S241" i="5" s="1"/>
  <c r="Q240" i="5"/>
  <c r="S240" i="5" s="1"/>
  <c r="Q239" i="5"/>
  <c r="S239" i="5" s="1"/>
  <c r="Q238" i="5"/>
  <c r="Q236" i="5"/>
  <c r="Q235" i="5"/>
  <c r="S235" i="5" s="1"/>
  <c r="Q234" i="5"/>
  <c r="S234" i="5" s="1"/>
  <c r="Q233" i="5"/>
  <c r="Q232" i="5"/>
  <c r="S232" i="5" s="1"/>
  <c r="Q231" i="5"/>
  <c r="Q230" i="5"/>
  <c r="S230" i="5" s="1"/>
  <c r="Q229" i="5"/>
  <c r="Q228" i="5"/>
  <c r="S228" i="5" s="1"/>
  <c r="Q227" i="5"/>
  <c r="S227" i="5" s="1"/>
  <c r="Q226" i="5"/>
  <c r="S226" i="5" s="1"/>
  <c r="Q225" i="5"/>
  <c r="Q224" i="5"/>
  <c r="S224" i="5" s="1"/>
  <c r="Q223" i="5"/>
  <c r="Q222" i="5"/>
  <c r="S222" i="5" s="1"/>
  <c r="Q221" i="5"/>
  <c r="Q220" i="5"/>
  <c r="S220" i="5" s="1"/>
  <c r="Q219" i="5"/>
  <c r="S219" i="5" s="1"/>
  <c r="Q218" i="5"/>
  <c r="S218" i="5" s="1"/>
  <c r="Q217" i="5"/>
  <c r="Q216" i="5"/>
  <c r="Q215" i="5"/>
  <c r="S215" i="5" s="1"/>
  <c r="Q214" i="5"/>
  <c r="S214" i="5" s="1"/>
  <c r="Q213" i="5"/>
  <c r="Q212" i="5"/>
  <c r="S212" i="5" s="1"/>
  <c r="Q211" i="5"/>
  <c r="S211" i="5" s="1"/>
  <c r="Q210" i="5"/>
  <c r="S210" i="5" s="1"/>
  <c r="Q209" i="5"/>
  <c r="Q208" i="5"/>
  <c r="S208" i="5" s="1"/>
  <c r="Q207" i="5"/>
  <c r="Q206" i="5"/>
  <c r="S206" i="5" s="1"/>
  <c r="Q205" i="5"/>
  <c r="Q204" i="5"/>
  <c r="Q203" i="5"/>
  <c r="S203" i="5" s="1"/>
  <c r="Q202" i="5"/>
  <c r="S202" i="5" s="1"/>
  <c r="Q201" i="5"/>
  <c r="Q200" i="5"/>
  <c r="S200" i="5" s="1"/>
  <c r="Q199" i="5"/>
  <c r="Q198" i="5"/>
  <c r="S198" i="5" s="1"/>
  <c r="Q197" i="5"/>
  <c r="S197" i="5" s="1"/>
  <c r="Q196" i="5"/>
  <c r="S196" i="5" s="1"/>
  <c r="Q195" i="5"/>
  <c r="S195" i="5" s="1"/>
  <c r="Q194" i="5"/>
  <c r="Q193" i="5"/>
  <c r="S193" i="5" s="1"/>
  <c r="Q192" i="5"/>
  <c r="S192" i="5" s="1"/>
  <c r="Q191" i="5"/>
  <c r="Q190" i="5"/>
  <c r="S190" i="5" s="1"/>
  <c r="Q189" i="5"/>
  <c r="S189" i="5" s="1"/>
  <c r="Q187" i="5"/>
  <c r="S187" i="5" s="1"/>
  <c r="Q186" i="5"/>
  <c r="Q185" i="5"/>
  <c r="S185" i="5" s="1"/>
  <c r="Q184" i="5"/>
  <c r="S184" i="5" s="1"/>
  <c r="Q183" i="5"/>
  <c r="S183" i="5" s="1"/>
  <c r="Q182" i="5"/>
  <c r="Q181" i="5"/>
  <c r="S181" i="5" s="1"/>
  <c r="Q180" i="5"/>
  <c r="S180" i="5" s="1"/>
  <c r="Q179" i="5"/>
  <c r="S179" i="5" s="1"/>
  <c r="Q178" i="5"/>
  <c r="S178" i="5" s="1"/>
  <c r="Q177" i="5"/>
  <c r="Q176" i="5"/>
  <c r="S176" i="5" s="1"/>
  <c r="Q175" i="5"/>
  <c r="S175" i="5" s="1"/>
  <c r="Q174" i="5"/>
  <c r="Q173" i="5"/>
  <c r="Q172" i="5"/>
  <c r="S172" i="5" s="1"/>
  <c r="Q11" i="5"/>
  <c r="Q155" i="5"/>
  <c r="Q154" i="5"/>
  <c r="S154" i="5" s="1"/>
  <c r="Q153" i="5"/>
  <c r="S153" i="5" s="1"/>
  <c r="Q152" i="5"/>
  <c r="Q151" i="5"/>
  <c r="S151" i="5" s="1"/>
  <c r="Q150" i="5"/>
  <c r="S150" i="5" s="1"/>
  <c r="Q149" i="5"/>
  <c r="S149" i="5" s="1"/>
  <c r="Q148" i="5"/>
  <c r="Q147" i="5"/>
  <c r="S147" i="5" s="1"/>
  <c r="Q146" i="5"/>
  <c r="S146" i="5" s="1"/>
  <c r="Q145" i="5"/>
  <c r="S145" i="5" s="1"/>
  <c r="Q144" i="5"/>
  <c r="Q143" i="5"/>
  <c r="S143" i="5" s="1"/>
  <c r="Q142" i="5"/>
  <c r="S142" i="5" s="1"/>
  <c r="Q141" i="5"/>
  <c r="S141" i="5" s="1"/>
  <c r="Q140" i="5"/>
  <c r="Q139" i="5"/>
  <c r="Q138" i="5"/>
  <c r="S138" i="5" s="1"/>
  <c r="Q137" i="5"/>
  <c r="S137" i="5" s="1"/>
  <c r="Q136" i="5"/>
  <c r="Q135" i="5"/>
  <c r="S135" i="5" s="1"/>
  <c r="Q134" i="5"/>
  <c r="S134" i="5" s="1"/>
  <c r="Q133" i="5"/>
  <c r="S133" i="5" s="1"/>
  <c r="Q132" i="5"/>
  <c r="Q131" i="5"/>
  <c r="S131" i="5" s="1"/>
  <c r="Q130" i="5"/>
  <c r="S130" i="5" s="1"/>
  <c r="Q129" i="5"/>
  <c r="S129" i="5" s="1"/>
  <c r="Q128" i="5"/>
  <c r="Q171" i="5"/>
  <c r="Q170" i="5"/>
  <c r="Q169" i="5"/>
  <c r="S169" i="5" s="1"/>
  <c r="Q168" i="5"/>
  <c r="S168" i="5" s="1"/>
  <c r="Q167" i="5"/>
  <c r="S167" i="5" s="1"/>
  <c r="Q166" i="5"/>
  <c r="S166" i="5" s="1"/>
  <c r="Q165" i="5"/>
  <c r="S165" i="5" s="1"/>
  <c r="Q164" i="5"/>
  <c r="S164" i="5" s="1"/>
  <c r="Q163" i="5"/>
  <c r="S163" i="5" s="1"/>
  <c r="Q162" i="5"/>
  <c r="S162" i="5" s="1"/>
  <c r="Q161" i="5"/>
  <c r="S161" i="5" s="1"/>
  <c r="Q160" i="5"/>
  <c r="S160" i="5" s="1"/>
  <c r="Q159" i="5"/>
  <c r="S159" i="5" s="1"/>
  <c r="Q158" i="5"/>
  <c r="S158" i="5" s="1"/>
  <c r="Q157" i="5"/>
  <c r="S157" i="5" s="1"/>
  <c r="Q156" i="5"/>
  <c r="S156" i="5" s="1"/>
  <c r="E199" i="11" l="1"/>
  <c r="E201" i="11"/>
  <c r="E205" i="11"/>
  <c r="E203" i="11"/>
  <c r="E206" i="11"/>
  <c r="E207" i="11"/>
  <c r="E204" i="11"/>
  <c r="E200" i="11"/>
  <c r="S170" i="5"/>
  <c r="R170" i="5"/>
  <c r="D11" i="11"/>
  <c r="R173" i="5"/>
  <c r="S173" i="5"/>
  <c r="R177" i="5"/>
  <c r="S177" i="5"/>
  <c r="R194" i="5"/>
  <c r="S194" i="5"/>
  <c r="R351" i="5"/>
  <c r="S351" i="5"/>
  <c r="R356" i="5"/>
  <c r="S356" i="5"/>
  <c r="R360" i="5"/>
  <c r="S360" i="5"/>
  <c r="R364" i="5"/>
  <c r="S364" i="5"/>
  <c r="R368" i="5"/>
  <c r="S368" i="5"/>
  <c r="R372" i="5"/>
  <c r="S372" i="5"/>
  <c r="R376" i="5"/>
  <c r="S376" i="5"/>
  <c r="R380" i="5"/>
  <c r="S380" i="5"/>
  <c r="R384" i="5"/>
  <c r="S384" i="5"/>
  <c r="R388" i="5"/>
  <c r="S388" i="5"/>
  <c r="R392" i="5"/>
  <c r="S392" i="5"/>
  <c r="R396" i="5"/>
  <c r="S396" i="5"/>
  <c r="R400" i="5"/>
  <c r="S400" i="5"/>
  <c r="R404" i="5"/>
  <c r="S404" i="5"/>
  <c r="R408" i="5"/>
  <c r="S408" i="5"/>
  <c r="R412" i="5"/>
  <c r="S412" i="5"/>
  <c r="R416" i="5"/>
  <c r="S416" i="5"/>
  <c r="R420" i="5"/>
  <c r="S420" i="5"/>
  <c r="R424" i="5"/>
  <c r="S424" i="5"/>
  <c r="R428" i="5"/>
  <c r="S428" i="5"/>
  <c r="R432" i="5"/>
  <c r="S432" i="5"/>
  <c r="R436" i="5"/>
  <c r="S436" i="5"/>
  <c r="R445" i="5"/>
  <c r="S445" i="5"/>
  <c r="R449" i="5"/>
  <c r="S449" i="5"/>
  <c r="R453" i="5"/>
  <c r="S453" i="5"/>
  <c r="R457" i="5"/>
  <c r="S457" i="5"/>
  <c r="R461" i="5"/>
  <c r="S461" i="5"/>
  <c r="R465" i="5"/>
  <c r="S465" i="5"/>
  <c r="R469" i="5"/>
  <c r="S469" i="5"/>
  <c r="R473" i="5"/>
  <c r="S473" i="5"/>
  <c r="R477" i="5"/>
  <c r="S477" i="5"/>
  <c r="R481" i="5"/>
  <c r="S481" i="5"/>
  <c r="R485" i="5"/>
  <c r="S485" i="5"/>
  <c r="R489" i="5"/>
  <c r="S489" i="5"/>
  <c r="R493" i="5"/>
  <c r="S493" i="5"/>
  <c r="R497" i="5"/>
  <c r="S497" i="5"/>
  <c r="R503" i="5"/>
  <c r="S503" i="5"/>
  <c r="R507" i="5"/>
  <c r="S507" i="5"/>
  <c r="R512" i="5"/>
  <c r="S512" i="5"/>
  <c r="R516" i="5"/>
  <c r="S516" i="5"/>
  <c r="R171" i="5"/>
  <c r="S171" i="5"/>
  <c r="R139" i="5"/>
  <c r="S139" i="5"/>
  <c r="R155" i="5"/>
  <c r="S155" i="5"/>
  <c r="R174" i="5"/>
  <c r="S174" i="5"/>
  <c r="R182" i="5"/>
  <c r="S182" i="5"/>
  <c r="R186" i="5"/>
  <c r="S186" i="5"/>
  <c r="R191" i="5"/>
  <c r="S191" i="5"/>
  <c r="R199" i="5"/>
  <c r="S199" i="5"/>
  <c r="R207" i="5"/>
  <c r="S207" i="5"/>
  <c r="R223" i="5"/>
  <c r="S223" i="5"/>
  <c r="R231" i="5"/>
  <c r="S231" i="5"/>
  <c r="R280" i="5"/>
  <c r="S280" i="5"/>
  <c r="R296" i="5"/>
  <c r="S296" i="5"/>
  <c r="R312" i="5"/>
  <c r="S312" i="5"/>
  <c r="R320" i="5"/>
  <c r="S320" i="5"/>
  <c r="R328" i="5"/>
  <c r="S328" i="5"/>
  <c r="R336" i="5"/>
  <c r="S336" i="5"/>
  <c r="R344" i="5"/>
  <c r="S344" i="5"/>
  <c r="R128" i="5"/>
  <c r="S128" i="5"/>
  <c r="R132" i="5"/>
  <c r="S132" i="5"/>
  <c r="R136" i="5"/>
  <c r="S136" i="5"/>
  <c r="R140" i="5"/>
  <c r="S140" i="5"/>
  <c r="R144" i="5"/>
  <c r="S144" i="5"/>
  <c r="R148" i="5"/>
  <c r="S148" i="5"/>
  <c r="R152" i="5"/>
  <c r="S152" i="5"/>
  <c r="R11" i="5"/>
  <c r="S11" i="5"/>
  <c r="R204" i="5"/>
  <c r="S204" i="5"/>
  <c r="R216" i="5"/>
  <c r="S216" i="5"/>
  <c r="R236" i="5"/>
  <c r="S236" i="5"/>
  <c r="R248" i="5"/>
  <c r="S248" i="5"/>
  <c r="R264" i="5"/>
  <c r="S264" i="5"/>
  <c r="R273" i="5"/>
  <c r="S273" i="5"/>
  <c r="R277" i="5"/>
  <c r="S277" i="5"/>
  <c r="R281" i="5"/>
  <c r="S281" i="5"/>
  <c r="R285" i="5"/>
  <c r="S285" i="5"/>
  <c r="R289" i="5"/>
  <c r="S289" i="5"/>
  <c r="R293" i="5"/>
  <c r="S293" i="5"/>
  <c r="R297" i="5"/>
  <c r="S297" i="5"/>
  <c r="R301" i="5"/>
  <c r="S301" i="5"/>
  <c r="R305" i="5"/>
  <c r="S305" i="5"/>
  <c r="R309" i="5"/>
  <c r="S309" i="5"/>
  <c r="R313" i="5"/>
  <c r="S313" i="5"/>
  <c r="R317" i="5"/>
  <c r="S317" i="5"/>
  <c r="R321" i="5"/>
  <c r="S321" i="5"/>
  <c r="R325" i="5"/>
  <c r="S325" i="5"/>
  <c r="R329" i="5"/>
  <c r="S329" i="5"/>
  <c r="R333" i="5"/>
  <c r="S333" i="5"/>
  <c r="R337" i="5"/>
  <c r="S337" i="5"/>
  <c r="R341" i="5"/>
  <c r="S341" i="5"/>
  <c r="R349" i="5"/>
  <c r="S349" i="5"/>
  <c r="R358" i="5"/>
  <c r="S358" i="5"/>
  <c r="R366" i="5"/>
  <c r="S366" i="5"/>
  <c r="R374" i="5"/>
  <c r="S374" i="5"/>
  <c r="R201" i="5"/>
  <c r="S201" i="5"/>
  <c r="R205" i="5"/>
  <c r="S205" i="5"/>
  <c r="R209" i="5"/>
  <c r="S209" i="5"/>
  <c r="R213" i="5"/>
  <c r="S213" i="5"/>
  <c r="R217" i="5"/>
  <c r="S217" i="5"/>
  <c r="R221" i="5"/>
  <c r="S221" i="5"/>
  <c r="R225" i="5"/>
  <c r="S225" i="5"/>
  <c r="R229" i="5"/>
  <c r="S229" i="5"/>
  <c r="R233" i="5"/>
  <c r="S233" i="5"/>
  <c r="R238" i="5"/>
  <c r="S238" i="5"/>
  <c r="R242" i="5"/>
  <c r="S242" i="5"/>
  <c r="R249" i="5"/>
  <c r="S249" i="5"/>
  <c r="R261" i="5"/>
  <c r="S261" i="5"/>
  <c r="R265" i="5"/>
  <c r="S265" i="5"/>
  <c r="R391" i="5"/>
  <c r="S391" i="5"/>
  <c r="R407" i="5"/>
  <c r="S407" i="5"/>
  <c r="R423" i="5"/>
  <c r="S423" i="5"/>
  <c r="R444" i="5"/>
  <c r="S444" i="5"/>
  <c r="R448" i="5"/>
  <c r="S448" i="5"/>
  <c r="R452" i="5"/>
  <c r="S452" i="5"/>
  <c r="R456" i="5"/>
  <c r="S456" i="5"/>
  <c r="R460" i="5"/>
  <c r="S460" i="5"/>
  <c r="R464" i="5"/>
  <c r="S464" i="5"/>
  <c r="R468" i="5"/>
  <c r="S468" i="5"/>
  <c r="R472" i="5"/>
  <c r="S472" i="5"/>
  <c r="R476" i="5"/>
  <c r="S476" i="5"/>
  <c r="R480" i="5"/>
  <c r="S480" i="5"/>
  <c r="R484" i="5"/>
  <c r="S484" i="5"/>
  <c r="R488" i="5"/>
  <c r="S488" i="5"/>
  <c r="R492" i="5"/>
  <c r="S492" i="5"/>
  <c r="R496" i="5"/>
  <c r="S496" i="5"/>
  <c r="R502" i="5"/>
  <c r="S502" i="5"/>
  <c r="R506" i="5"/>
  <c r="S506" i="5"/>
  <c r="R510" i="5"/>
  <c r="S510" i="5"/>
  <c r="R515" i="5"/>
  <c r="S515" i="5"/>
  <c r="R519" i="5"/>
  <c r="S519" i="5"/>
  <c r="L80" i="11"/>
  <c r="D80" i="11"/>
  <c r="F80" i="11"/>
  <c r="H80" i="11"/>
  <c r="J80" i="11"/>
  <c r="J79" i="11"/>
  <c r="H79" i="11"/>
  <c r="L79" i="11"/>
  <c r="F79" i="11"/>
  <c r="D79" i="11"/>
  <c r="L11" i="11"/>
  <c r="J11" i="11"/>
  <c r="H11" i="11"/>
  <c r="F11" i="11"/>
  <c r="R245" i="5"/>
  <c r="R151" i="5"/>
  <c r="R185" i="5"/>
  <c r="R308" i="5"/>
  <c r="R276" i="5"/>
  <c r="R224" i="5"/>
  <c r="R292" i="5"/>
  <c r="R324" i="5"/>
  <c r="R340" i="5"/>
  <c r="R260" i="5"/>
  <c r="R316" i="5"/>
  <c r="R332" i="5"/>
  <c r="R131" i="5"/>
  <c r="R353" i="5"/>
  <c r="R370" i="5"/>
  <c r="R522" i="5"/>
  <c r="R134" i="5"/>
  <c r="R143" i="5"/>
  <c r="R190" i="5"/>
  <c r="R212" i="5"/>
  <c r="R387" i="5"/>
  <c r="R403" i="5"/>
  <c r="R419" i="5"/>
  <c r="R435" i="5"/>
  <c r="R346" i="5"/>
  <c r="R362" i="5"/>
  <c r="R378" i="5"/>
  <c r="R178" i="5"/>
  <c r="R241" i="5"/>
  <c r="R256" i="5"/>
  <c r="R272" i="5"/>
  <c r="R198" i="5"/>
  <c r="R220" i="5"/>
  <c r="R253" i="5"/>
  <c r="R269" i="5"/>
  <c r="R129" i="5"/>
  <c r="R135" i="5"/>
  <c r="R147" i="5"/>
  <c r="R195" i="5"/>
  <c r="R208" i="5"/>
  <c r="R181" i="5"/>
  <c r="R215" i="5"/>
  <c r="R232" i="5"/>
  <c r="R288" i="5"/>
  <c r="R304" i="5"/>
  <c r="R383" i="5"/>
  <c r="R399" i="5"/>
  <c r="R415" i="5"/>
  <c r="R431" i="5"/>
  <c r="R447" i="5"/>
  <c r="R451" i="5"/>
  <c r="R455" i="5"/>
  <c r="R459" i="5"/>
  <c r="R463" i="5"/>
  <c r="R467" i="5"/>
  <c r="R471" i="5"/>
  <c r="R475" i="5"/>
  <c r="R479" i="5"/>
  <c r="R483" i="5"/>
  <c r="R487" i="5"/>
  <c r="R491" i="5"/>
  <c r="R495" i="5"/>
  <c r="R501" i="5"/>
  <c r="R505" i="5"/>
  <c r="R509" i="5"/>
  <c r="R514" i="5"/>
  <c r="R518" i="5"/>
  <c r="R228" i="5"/>
  <c r="R252" i="5"/>
  <c r="R268" i="5"/>
  <c r="R284" i="5"/>
  <c r="R300" i="5"/>
  <c r="R311" i="5"/>
  <c r="R315" i="5"/>
  <c r="R319" i="5"/>
  <c r="R323" i="5"/>
  <c r="R327" i="5"/>
  <c r="R331" i="5"/>
  <c r="R335" i="5"/>
  <c r="R339" i="5"/>
  <c r="R343" i="5"/>
  <c r="R347" i="5"/>
  <c r="R348" i="5"/>
  <c r="R350" i="5"/>
  <c r="R354" i="5"/>
  <c r="R357" i="5"/>
  <c r="R359" i="5"/>
  <c r="R363" i="5"/>
  <c r="R365" i="5"/>
  <c r="R367" i="5"/>
  <c r="R371" i="5"/>
  <c r="R373" i="5"/>
  <c r="R375" i="5"/>
  <c r="R379" i="5"/>
  <c r="R395" i="5"/>
  <c r="R411" i="5"/>
  <c r="R427" i="5"/>
  <c r="R523" i="5"/>
  <c r="R183" i="5"/>
  <c r="R196" i="5"/>
  <c r="R246" i="5"/>
  <c r="R251" i="5"/>
  <c r="R310" i="5"/>
  <c r="R322" i="5"/>
  <c r="R334" i="5"/>
  <c r="R394" i="5"/>
  <c r="R142" i="5"/>
  <c r="R211" i="5"/>
  <c r="R227" i="5"/>
  <c r="R247" i="5"/>
  <c r="R258" i="5"/>
  <c r="R290" i="5"/>
  <c r="R306" i="5"/>
  <c r="R175" i="5"/>
  <c r="R179" i="5"/>
  <c r="R192" i="5"/>
  <c r="R278" i="5"/>
  <c r="R294" i="5"/>
  <c r="R314" i="5"/>
  <c r="R326" i="5"/>
  <c r="R338" i="5"/>
  <c r="R410" i="5"/>
  <c r="R426" i="5"/>
  <c r="R138" i="5"/>
  <c r="R146" i="5"/>
  <c r="R203" i="5"/>
  <c r="R235" i="5"/>
  <c r="R243" i="5"/>
  <c r="R172" i="5"/>
  <c r="R176" i="5"/>
  <c r="R180" i="5"/>
  <c r="R184" i="5"/>
  <c r="R189" i="5"/>
  <c r="R193" i="5"/>
  <c r="R197" i="5"/>
  <c r="R239" i="5"/>
  <c r="R244" i="5"/>
  <c r="R254" i="5"/>
  <c r="R259" i="5"/>
  <c r="R270" i="5"/>
  <c r="R286" i="5"/>
  <c r="R302" i="5"/>
  <c r="R187" i="5"/>
  <c r="R200" i="5"/>
  <c r="R262" i="5"/>
  <c r="R318" i="5"/>
  <c r="R330" i="5"/>
  <c r="R342" i="5"/>
  <c r="R150" i="5"/>
  <c r="R154" i="5"/>
  <c r="R219" i="5"/>
  <c r="R274" i="5"/>
  <c r="R130" i="5"/>
  <c r="R133" i="5"/>
  <c r="R137" i="5"/>
  <c r="R141" i="5"/>
  <c r="R145" i="5"/>
  <c r="R149" i="5"/>
  <c r="R153" i="5"/>
  <c r="R206" i="5"/>
  <c r="R214" i="5"/>
  <c r="R222" i="5"/>
  <c r="R230" i="5"/>
  <c r="R240" i="5"/>
  <c r="R250" i="5"/>
  <c r="R255" i="5"/>
  <c r="R266" i="5"/>
  <c r="R282" i="5"/>
  <c r="R298" i="5"/>
  <c r="R390" i="5"/>
  <c r="R406" i="5"/>
  <c r="R422" i="5"/>
  <c r="R443" i="5"/>
  <c r="R263" i="5"/>
  <c r="R267" i="5"/>
  <c r="R271" i="5"/>
  <c r="R275" i="5"/>
  <c r="R279" i="5"/>
  <c r="R283" i="5"/>
  <c r="R287" i="5"/>
  <c r="R291" i="5"/>
  <c r="R295" i="5"/>
  <c r="R299" i="5"/>
  <c r="R303" i="5"/>
  <c r="R307" i="5"/>
  <c r="R386" i="5"/>
  <c r="R402" i="5"/>
  <c r="R418" i="5"/>
  <c r="R434" i="5"/>
  <c r="R202" i="5"/>
  <c r="R210" i="5"/>
  <c r="R218" i="5"/>
  <c r="R226" i="5"/>
  <c r="R234" i="5"/>
  <c r="R382" i="5"/>
  <c r="R398" i="5"/>
  <c r="R414" i="5"/>
  <c r="R430" i="5"/>
  <c r="R345" i="5"/>
  <c r="R352" i="5"/>
  <c r="R361" i="5"/>
  <c r="R369" i="5"/>
  <c r="R377" i="5"/>
  <c r="R521" i="5"/>
  <c r="R381" i="5"/>
  <c r="R385" i="5"/>
  <c r="R389" i="5"/>
  <c r="R393" i="5"/>
  <c r="R397" i="5"/>
  <c r="R401" i="5"/>
  <c r="R405" i="5"/>
  <c r="R409" i="5"/>
  <c r="R413" i="5"/>
  <c r="R417" i="5"/>
  <c r="R421" i="5"/>
  <c r="R425" i="5"/>
  <c r="R429" i="5"/>
  <c r="R433" i="5"/>
  <c r="R442" i="5"/>
  <c r="R446" i="5"/>
  <c r="R450" i="5"/>
  <c r="R454" i="5"/>
  <c r="R458" i="5"/>
  <c r="R462" i="5"/>
  <c r="R466" i="5"/>
  <c r="R470" i="5"/>
  <c r="R474" i="5"/>
  <c r="R478" i="5"/>
  <c r="R482" i="5"/>
  <c r="R486" i="5"/>
  <c r="R490" i="5"/>
  <c r="R494" i="5"/>
  <c r="R500" i="5"/>
  <c r="R504" i="5"/>
  <c r="R508" i="5"/>
  <c r="R513" i="5"/>
  <c r="R517" i="5"/>
  <c r="R520" i="5"/>
  <c r="F120" i="11" l="1"/>
  <c r="F113" i="11"/>
  <c r="J110" i="11"/>
  <c r="L124" i="11"/>
  <c r="D124" i="11"/>
  <c r="J124" i="11"/>
  <c r="H124" i="11"/>
  <c r="F124" i="11"/>
  <c r="H122" i="11"/>
  <c r="L120" i="11"/>
  <c r="F122" i="11"/>
  <c r="J122" i="11"/>
  <c r="D122" i="11"/>
  <c r="L122" i="11"/>
  <c r="H120" i="11"/>
  <c r="J120" i="11"/>
  <c r="D120" i="11"/>
  <c r="L119" i="11"/>
  <c r="D119" i="11"/>
  <c r="J119" i="11"/>
  <c r="H119" i="11"/>
  <c r="F119" i="11"/>
  <c r="D114" i="11"/>
  <c r="L114" i="11"/>
  <c r="F114" i="11"/>
  <c r="H114" i="11"/>
  <c r="J114" i="11"/>
  <c r="D113" i="11"/>
  <c r="L113" i="11"/>
  <c r="H113" i="11"/>
  <c r="J113" i="11"/>
  <c r="H109" i="11"/>
  <c r="L109" i="11"/>
  <c r="J109" i="11"/>
  <c r="D109" i="11"/>
  <c r="F109" i="11"/>
  <c r="L103" i="11"/>
  <c r="D103" i="11"/>
  <c r="J103" i="11"/>
  <c r="H103" i="11"/>
  <c r="F103" i="11"/>
  <c r="N203" i="11" l="1"/>
  <c r="Q31" i="8"/>
  <c r="S31" i="8" s="1"/>
  <c r="Q30" i="8"/>
  <c r="Q29" i="8"/>
  <c r="Q28" i="8"/>
  <c r="S28" i="8" s="1"/>
  <c r="Q27" i="8"/>
  <c r="S27" i="8" s="1"/>
  <c r="Q26" i="8"/>
  <c r="Q25" i="8"/>
  <c r="S25" i="8" s="1"/>
  <c r="R29" i="8" l="1"/>
  <c r="S29" i="8"/>
  <c r="R26" i="8"/>
  <c r="S26" i="8"/>
  <c r="R30" i="8"/>
  <c r="S30" i="8"/>
  <c r="R25" i="8"/>
  <c r="R28" i="8"/>
  <c r="R31" i="8"/>
  <c r="R27" i="8"/>
  <c r="Q82" i="7" l="1"/>
  <c r="S82" i="7" s="1"/>
  <c r="Q80" i="7"/>
  <c r="Q79" i="7"/>
  <c r="S79" i="7" s="1"/>
  <c r="Q78" i="7"/>
  <c r="Q77" i="7"/>
  <c r="S77" i="7" s="1"/>
  <c r="Q76" i="7"/>
  <c r="Q75" i="7"/>
  <c r="S75" i="7" s="1"/>
  <c r="Q74" i="7"/>
  <c r="S74" i="7" s="1"/>
  <c r="Q73" i="7"/>
  <c r="S73" i="7" s="1"/>
  <c r="Q72" i="7"/>
  <c r="Q71" i="7"/>
  <c r="S71" i="7" s="1"/>
  <c r="Q70" i="7"/>
  <c r="S70" i="7" s="1"/>
  <c r="Q69" i="7"/>
  <c r="S69" i="7" s="1"/>
  <c r="Q68" i="7"/>
  <c r="Q67" i="7"/>
  <c r="Q66" i="7"/>
  <c r="S66" i="7" s="1"/>
  <c r="Q65" i="7"/>
  <c r="S65" i="7" s="1"/>
  <c r="Q64" i="7"/>
  <c r="Q63" i="7"/>
  <c r="Q62" i="7"/>
  <c r="S62" i="7" s="1"/>
  <c r="Q61" i="7"/>
  <c r="S61" i="7" s="1"/>
  <c r="R63" i="7" l="1"/>
  <c r="S63" i="7"/>
  <c r="R67" i="7"/>
  <c r="S67" i="7"/>
  <c r="R64" i="7"/>
  <c r="S64" i="7"/>
  <c r="R68" i="7"/>
  <c r="S68" i="7"/>
  <c r="R72" i="7"/>
  <c r="S72" i="7"/>
  <c r="R76" i="7"/>
  <c r="S76" i="7"/>
  <c r="R80" i="7"/>
  <c r="S80" i="7"/>
  <c r="R78" i="7"/>
  <c r="S78" i="7"/>
  <c r="R75" i="7"/>
  <c r="R71" i="7"/>
  <c r="R70" i="7"/>
  <c r="R79" i="7"/>
  <c r="R74" i="7"/>
  <c r="R82" i="7"/>
  <c r="R77" i="7"/>
  <c r="R62" i="7"/>
  <c r="R66" i="7"/>
  <c r="R65" i="7"/>
  <c r="R61" i="7"/>
  <c r="R69" i="7"/>
  <c r="R73" i="7"/>
  <c r="H148" i="11" l="1"/>
  <c r="L148" i="11"/>
  <c r="J148" i="11"/>
  <c r="D148" i="11"/>
  <c r="F148" i="11"/>
  <c r="Q60" i="7"/>
  <c r="S60" i="7" s="1"/>
  <c r="Q59" i="7"/>
  <c r="Q58" i="7"/>
  <c r="S58" i="7" s="1"/>
  <c r="Q57" i="7"/>
  <c r="Q56" i="7"/>
  <c r="Q55" i="7"/>
  <c r="Q54" i="7"/>
  <c r="S54" i="7" s="1"/>
  <c r="Q53" i="7"/>
  <c r="Q52" i="7"/>
  <c r="Q51" i="7"/>
  <c r="Q50" i="7"/>
  <c r="S50" i="7" s="1"/>
  <c r="R51" i="7" l="1"/>
  <c r="S51" i="7"/>
  <c r="R55" i="7"/>
  <c r="S55" i="7"/>
  <c r="R59" i="7"/>
  <c r="S59" i="7"/>
  <c r="R52" i="7"/>
  <c r="S52" i="7"/>
  <c r="R56" i="7"/>
  <c r="S56" i="7"/>
  <c r="R53" i="7"/>
  <c r="S53" i="7"/>
  <c r="R57" i="7"/>
  <c r="S57" i="7"/>
  <c r="R60" i="7"/>
  <c r="R50" i="7"/>
  <c r="R54" i="7"/>
  <c r="R58" i="7"/>
  <c r="L147" i="11" l="1"/>
  <c r="J147" i="11"/>
  <c r="F147" i="11"/>
  <c r="Q47" i="7"/>
  <c r="S47" i="7" s="1"/>
  <c r="Q48" i="7"/>
  <c r="Q49" i="7"/>
  <c r="Q42" i="7"/>
  <c r="S42" i="7" s="1"/>
  <c r="Q41" i="7"/>
  <c r="Q40" i="7"/>
  <c r="Q39" i="7"/>
  <c r="S39" i="7" s="1"/>
  <c r="Q38" i="7"/>
  <c r="S38" i="7" s="1"/>
  <c r="Q37" i="7"/>
  <c r="S37" i="7" s="1"/>
  <c r="Q36" i="7"/>
  <c r="Q35" i="7"/>
  <c r="S35" i="7" s="1"/>
  <c r="Q34" i="7"/>
  <c r="Q33" i="7"/>
  <c r="S33" i="7" s="1"/>
  <c r="Q32" i="7"/>
  <c r="Q31" i="7"/>
  <c r="S31" i="7" s="1"/>
  <c r="Q30" i="7"/>
  <c r="S30" i="7" s="1"/>
  <c r="Q29" i="7"/>
  <c r="S29" i="7" s="1"/>
  <c r="Q28" i="7"/>
  <c r="R49" i="7" l="1"/>
  <c r="S49" i="7"/>
  <c r="R32" i="7"/>
  <c r="S32" i="7"/>
  <c r="R36" i="7"/>
  <c r="S36" i="7"/>
  <c r="R40" i="7"/>
  <c r="S40" i="7"/>
  <c r="R48" i="7"/>
  <c r="S48" i="7"/>
  <c r="R41" i="7"/>
  <c r="S41" i="7"/>
  <c r="R34" i="7"/>
  <c r="S34" i="7"/>
  <c r="R46" i="7"/>
  <c r="S46" i="7"/>
  <c r="R28" i="7"/>
  <c r="S28" i="7"/>
  <c r="R47" i="7"/>
  <c r="R39" i="7"/>
  <c r="R35" i="7"/>
  <c r="R31" i="7"/>
  <c r="R30" i="7"/>
  <c r="R29" i="7"/>
  <c r="R33" i="7"/>
  <c r="R37" i="7"/>
  <c r="R38" i="7"/>
  <c r="R42" i="7"/>
  <c r="L145" i="11" l="1"/>
  <c r="D145" i="11"/>
  <c r="J145" i="11"/>
  <c r="H145" i="11"/>
  <c r="F145" i="11"/>
  <c r="Q15" i="7"/>
  <c r="Q16" i="7"/>
  <c r="Q17" i="7"/>
  <c r="S17" i="7" s="1"/>
  <c r="Q18" i="7"/>
  <c r="Q19" i="7"/>
  <c r="Q20" i="7"/>
  <c r="Q21" i="7"/>
  <c r="Q22" i="7"/>
  <c r="Q25" i="7"/>
  <c r="Q26" i="7"/>
  <c r="Q27" i="7"/>
  <c r="Q43" i="7"/>
  <c r="Q44" i="7"/>
  <c r="Q45" i="7"/>
  <c r="Q14" i="7"/>
  <c r="S14" i="7" s="1"/>
  <c r="Q13" i="7"/>
  <c r="Q12" i="7"/>
  <c r="Q11" i="7"/>
  <c r="S11" i="7" s="1"/>
  <c r="D40" i="11"/>
  <c r="F40" i="11"/>
  <c r="H40" i="11"/>
  <c r="J40" i="11"/>
  <c r="L40" i="11"/>
  <c r="D41" i="11"/>
  <c r="F41" i="11"/>
  <c r="H41" i="11"/>
  <c r="J41" i="11"/>
  <c r="L41" i="11"/>
  <c r="B43" i="11"/>
  <c r="D43" i="11"/>
  <c r="F43" i="11"/>
  <c r="H43" i="11"/>
  <c r="J43" i="11"/>
  <c r="L43" i="11"/>
  <c r="J47" i="11"/>
  <c r="D48" i="11"/>
  <c r="F48" i="11"/>
  <c r="H48" i="11"/>
  <c r="J48" i="11"/>
  <c r="L48" i="11"/>
  <c r="D81" i="11"/>
  <c r="F81" i="11"/>
  <c r="H81" i="11"/>
  <c r="J81" i="11"/>
  <c r="L81" i="11"/>
  <c r="D84" i="11"/>
  <c r="F84" i="11"/>
  <c r="H84" i="11"/>
  <c r="J84" i="11"/>
  <c r="L84" i="11"/>
  <c r="D85" i="11"/>
  <c r="F85" i="11"/>
  <c r="H85" i="11"/>
  <c r="J85" i="11"/>
  <c r="L85" i="11"/>
  <c r="D87" i="11"/>
  <c r="F87" i="11"/>
  <c r="H87" i="11"/>
  <c r="J87" i="11"/>
  <c r="L87" i="11"/>
  <c r="D83" i="11"/>
  <c r="F83" i="11"/>
  <c r="H83" i="11"/>
  <c r="J83" i="11"/>
  <c r="L83" i="11"/>
  <c r="D88" i="11"/>
  <c r="F88" i="11"/>
  <c r="H88" i="11"/>
  <c r="J88" i="11"/>
  <c r="L88" i="11"/>
  <c r="D89" i="11"/>
  <c r="H89" i="11"/>
  <c r="J89" i="11"/>
  <c r="L89" i="11"/>
  <c r="D90" i="11"/>
  <c r="H90" i="11"/>
  <c r="J90" i="11"/>
  <c r="L90" i="11"/>
  <c r="D91" i="11"/>
  <c r="H91" i="11"/>
  <c r="J91" i="11"/>
  <c r="L91" i="11"/>
  <c r="F92" i="11"/>
  <c r="H92" i="11"/>
  <c r="J92" i="11"/>
  <c r="L92" i="11"/>
  <c r="D93" i="11"/>
  <c r="F93" i="11"/>
  <c r="H93" i="11"/>
  <c r="J93" i="11"/>
  <c r="L93" i="11"/>
  <c r="D97" i="11"/>
  <c r="F97" i="11"/>
  <c r="H97" i="11"/>
  <c r="J97" i="11"/>
  <c r="L97" i="11"/>
  <c r="D104" i="11"/>
  <c r="F104" i="11"/>
  <c r="H104" i="11"/>
  <c r="J104" i="11"/>
  <c r="L104" i="11"/>
  <c r="D106" i="11"/>
  <c r="F106" i="11"/>
  <c r="H106" i="11"/>
  <c r="J106" i="11"/>
  <c r="L106" i="11"/>
  <c r="D107" i="11"/>
  <c r="F107" i="11"/>
  <c r="H107" i="11"/>
  <c r="J107" i="11"/>
  <c r="L107" i="11"/>
  <c r="D108" i="11"/>
  <c r="F108" i="11"/>
  <c r="H108" i="11"/>
  <c r="J108" i="11"/>
  <c r="L108" i="11"/>
  <c r="D110" i="11"/>
  <c r="F110" i="11"/>
  <c r="H110" i="11"/>
  <c r="L110" i="11"/>
  <c r="D111" i="11"/>
  <c r="F111" i="11"/>
  <c r="H111" i="11"/>
  <c r="J111" i="11"/>
  <c r="L111" i="11"/>
  <c r="D112" i="11"/>
  <c r="F112" i="11"/>
  <c r="H112" i="11"/>
  <c r="J112" i="11"/>
  <c r="L112" i="11"/>
  <c r="D115" i="11"/>
  <c r="F115" i="11"/>
  <c r="H115" i="11"/>
  <c r="J115" i="11"/>
  <c r="L115" i="11"/>
  <c r="D116" i="11"/>
  <c r="F116" i="11"/>
  <c r="H116" i="11"/>
  <c r="J116" i="11"/>
  <c r="L116" i="11"/>
  <c r="D117" i="11"/>
  <c r="F117" i="11"/>
  <c r="H117" i="11"/>
  <c r="J117" i="11"/>
  <c r="L117" i="11"/>
  <c r="D118" i="11"/>
  <c r="F118" i="11"/>
  <c r="H118" i="11"/>
  <c r="J118" i="11"/>
  <c r="L118" i="11"/>
  <c r="D121" i="11"/>
  <c r="F121" i="11"/>
  <c r="H121" i="11"/>
  <c r="J121" i="11"/>
  <c r="L121" i="11"/>
  <c r="D123" i="11"/>
  <c r="F123" i="11"/>
  <c r="H123" i="11"/>
  <c r="J123" i="11"/>
  <c r="L123" i="11"/>
  <c r="D125" i="11"/>
  <c r="F125" i="11"/>
  <c r="H125" i="11"/>
  <c r="J125" i="11"/>
  <c r="L125" i="11"/>
  <c r="D134" i="11"/>
  <c r="F134" i="11"/>
  <c r="H134" i="11"/>
  <c r="J134" i="11"/>
  <c r="L134" i="11"/>
  <c r="D147" i="11"/>
  <c r="H147" i="11"/>
  <c r="D158" i="11"/>
  <c r="F158" i="11"/>
  <c r="H158" i="11"/>
  <c r="J158" i="11"/>
  <c r="L158" i="11"/>
  <c r="D9" i="10"/>
  <c r="D10" i="10"/>
  <c r="D11" i="10"/>
  <c r="D12" i="10"/>
  <c r="D13" i="10"/>
  <c r="D14" i="10"/>
  <c r="D15" i="10"/>
  <c r="D16" i="10"/>
  <c r="D17" i="10"/>
  <c r="C18" i="10"/>
  <c r="E18" i="10"/>
  <c r="D20" i="10"/>
  <c r="D21" i="10"/>
  <c r="D28" i="10"/>
  <c r="C30" i="10"/>
  <c r="E30" i="10"/>
  <c r="B59" i="11"/>
  <c r="B63" i="11"/>
  <c r="B67" i="11"/>
  <c r="B71" i="11"/>
  <c r="C48" i="10"/>
  <c r="E48" i="10"/>
  <c r="D51" i="10"/>
  <c r="B81" i="11" s="1"/>
  <c r="D58" i="10"/>
  <c r="B88" i="11" s="1"/>
  <c r="D59" i="10"/>
  <c r="B89" i="11" s="1"/>
  <c r="D62" i="10"/>
  <c r="B92" i="11" s="1"/>
  <c r="D63" i="10"/>
  <c r="B93" i="11" s="1"/>
  <c r="C68" i="10"/>
  <c r="E68" i="10"/>
  <c r="D70" i="10"/>
  <c r="D72" i="10"/>
  <c r="D73" i="10"/>
  <c r="D76" i="10"/>
  <c r="D77" i="10"/>
  <c r="D78" i="10"/>
  <c r="D81" i="10"/>
  <c r="D83" i="10"/>
  <c r="D87" i="10"/>
  <c r="D89" i="10"/>
  <c r="C92" i="10"/>
  <c r="E92" i="10"/>
  <c r="D95" i="10"/>
  <c r="B135" i="11"/>
  <c r="B137" i="11"/>
  <c r="C99" i="10"/>
  <c r="E99" i="10"/>
  <c r="D101" i="10"/>
  <c r="B145" i="11"/>
  <c r="D103" i="10"/>
  <c r="D104" i="10"/>
  <c r="C106" i="10"/>
  <c r="E106" i="10"/>
  <c r="D107" i="10"/>
  <c r="D109" i="10"/>
  <c r="D110" i="10"/>
  <c r="D111" i="10"/>
  <c r="D112" i="10"/>
  <c r="D113" i="10"/>
  <c r="C117" i="10"/>
  <c r="E117" i="10"/>
  <c r="D119" i="10"/>
  <c r="D120" i="10"/>
  <c r="D123" i="10"/>
  <c r="D124" i="10"/>
  <c r="D127" i="10"/>
  <c r="D128" i="10"/>
  <c r="D129" i="10"/>
  <c r="D130" i="10"/>
  <c r="D132" i="10"/>
  <c r="D134" i="10"/>
  <c r="D135" i="10"/>
  <c r="D139" i="10"/>
  <c r="C141" i="10"/>
  <c r="E141" i="10"/>
  <c r="Q12" i="9"/>
  <c r="S12" i="9" s="1"/>
  <c r="Q13" i="9"/>
  <c r="S13" i="9" s="1"/>
  <c r="Q14" i="9"/>
  <c r="S14" i="9" s="1"/>
  <c r="Q15" i="9"/>
  <c r="Q16" i="9"/>
  <c r="S16" i="9" s="1"/>
  <c r="Q17" i="9"/>
  <c r="S17" i="9" s="1"/>
  <c r="Q18" i="9"/>
  <c r="S18" i="9" s="1"/>
  <c r="Q19" i="9"/>
  <c r="S19" i="9" s="1"/>
  <c r="Q20" i="9"/>
  <c r="S20" i="9" s="1"/>
  <c r="Q21" i="9"/>
  <c r="S21" i="9" s="1"/>
  <c r="Q22" i="9"/>
  <c r="S22" i="9" s="1"/>
  <c r="Q23" i="9"/>
  <c r="S23" i="9" s="1"/>
  <c r="Q24" i="9"/>
  <c r="S24" i="9" s="1"/>
  <c r="Q25" i="9"/>
  <c r="S25" i="9" s="1"/>
  <c r="Q26" i="9"/>
  <c r="Q27" i="9"/>
  <c r="S27" i="9" s="1"/>
  <c r="Q28" i="9"/>
  <c r="S28" i="9" s="1"/>
  <c r="Q29" i="9"/>
  <c r="Q30" i="9"/>
  <c r="S30" i="9" s="1"/>
  <c r="Q31" i="9"/>
  <c r="S31" i="9" s="1"/>
  <c r="Q32" i="9"/>
  <c r="S32" i="9" s="1"/>
  <c r="Q33" i="9"/>
  <c r="S33" i="9" s="1"/>
  <c r="Q34" i="9"/>
  <c r="S34" i="9" s="1"/>
  <c r="Q35" i="9"/>
  <c r="S35" i="9" s="1"/>
  <c r="Q36" i="9"/>
  <c r="S36" i="9" s="1"/>
  <c r="Q37" i="9"/>
  <c r="S37" i="9" s="1"/>
  <c r="Q38" i="9"/>
  <c r="Q39" i="9"/>
  <c r="S39" i="9" s="1"/>
  <c r="Q40" i="9"/>
  <c r="S40" i="9" s="1"/>
  <c r="Q41" i="9"/>
  <c r="S41" i="9" s="1"/>
  <c r="Q42" i="9"/>
  <c r="S42" i="9" s="1"/>
  <c r="Q43" i="9"/>
  <c r="S43" i="9" s="1"/>
  <c r="Q44" i="9"/>
  <c r="S44" i="9" s="1"/>
  <c r="Q45" i="9"/>
  <c r="S45" i="9" s="1"/>
  <c r="Q46" i="9"/>
  <c r="S46" i="9" s="1"/>
  <c r="Q47" i="9"/>
  <c r="Q48" i="9"/>
  <c r="S48" i="9" s="1"/>
  <c r="Q49" i="9"/>
  <c r="S49" i="9" s="1"/>
  <c r="Q50" i="9"/>
  <c r="S50" i="9" s="1"/>
  <c r="Q51" i="9"/>
  <c r="S51" i="9" s="1"/>
  <c r="Q52" i="9"/>
  <c r="S52" i="9" s="1"/>
  <c r="Q53" i="9"/>
  <c r="Q54" i="9"/>
  <c r="S54" i="9" s="1"/>
  <c r="Q55" i="9"/>
  <c r="Q56" i="9"/>
  <c r="S56" i="9" s="1"/>
  <c r="Q57" i="9"/>
  <c r="Q58" i="9"/>
  <c r="Q59" i="9"/>
  <c r="S59" i="9" s="1"/>
  <c r="Q60" i="9"/>
  <c r="S60" i="9" s="1"/>
  <c r="Q61" i="9"/>
  <c r="Q62" i="9"/>
  <c r="S62" i="9" s="1"/>
  <c r="Q63" i="9"/>
  <c r="Q64" i="9"/>
  <c r="S64" i="9" s="1"/>
  <c r="Q65" i="9"/>
  <c r="Q66" i="9"/>
  <c r="S66" i="9" s="1"/>
  <c r="S67" i="9"/>
  <c r="Q71" i="9"/>
  <c r="S71" i="9" s="1"/>
  <c r="Q72" i="9"/>
  <c r="Q73" i="9"/>
  <c r="S73" i="9" s="1"/>
  <c r="Q74" i="9"/>
  <c r="S74" i="9" s="1"/>
  <c r="Q75" i="9"/>
  <c r="S75" i="9" s="1"/>
  <c r="Q76" i="9"/>
  <c r="S76" i="9" s="1"/>
  <c r="Q77" i="9"/>
  <c r="S77" i="9" s="1"/>
  <c r="Q78" i="9"/>
  <c r="S78" i="9" s="1"/>
  <c r="Q79" i="9"/>
  <c r="S79" i="9" s="1"/>
  <c r="Q80" i="9"/>
  <c r="S80" i="9" s="1"/>
  <c r="Q81" i="9"/>
  <c r="Q82" i="9"/>
  <c r="Q83" i="9"/>
  <c r="S83" i="9" s="1"/>
  <c r="Q84" i="9"/>
  <c r="S84" i="9" s="1"/>
  <c r="Q85" i="9"/>
  <c r="S85" i="9" s="1"/>
  <c r="Q86" i="9"/>
  <c r="S86" i="9" s="1"/>
  <c r="Q87" i="9"/>
  <c r="S87" i="9" s="1"/>
  <c r="Q88" i="9"/>
  <c r="Q89" i="9"/>
  <c r="S89" i="9" s="1"/>
  <c r="Q90" i="9"/>
  <c r="S90" i="9" s="1"/>
  <c r="Q91" i="9"/>
  <c r="S91" i="9" s="1"/>
  <c r="Q92" i="9"/>
  <c r="S92" i="9" s="1"/>
  <c r="Q93" i="9"/>
  <c r="Q94" i="9"/>
  <c r="S94" i="9" s="1"/>
  <c r="Q95" i="9"/>
  <c r="S95" i="9" s="1"/>
  <c r="Q96" i="9"/>
  <c r="Q97" i="9"/>
  <c r="S97" i="9" s="1"/>
  <c r="Q98" i="9"/>
  <c r="Q99" i="9"/>
  <c r="S99" i="9" s="1"/>
  <c r="Q100" i="9"/>
  <c r="Q101" i="9"/>
  <c r="S101" i="9" s="1"/>
  <c r="Q102" i="9"/>
  <c r="S102" i="9" s="1"/>
  <c r="Q103" i="9"/>
  <c r="S103" i="9" s="1"/>
  <c r="Q104" i="9"/>
  <c r="S104" i="9" s="1"/>
  <c r="Q105" i="9"/>
  <c r="Q106" i="9"/>
  <c r="S106" i="9" s="1"/>
  <c r="Q108" i="9"/>
  <c r="S108" i="9" s="1"/>
  <c r="Q110" i="9"/>
  <c r="S110" i="9" s="1"/>
  <c r="Q111" i="9"/>
  <c r="S111" i="9" s="1"/>
  <c r="Q112" i="9"/>
  <c r="S112" i="9" s="1"/>
  <c r="Q113" i="9"/>
  <c r="S113" i="9" s="1"/>
  <c r="Q114" i="9"/>
  <c r="S114" i="9" s="1"/>
  <c r="Q115" i="9"/>
  <c r="Q116" i="9"/>
  <c r="Q117" i="9"/>
  <c r="S117" i="9" s="1"/>
  <c r="Q118" i="9"/>
  <c r="S118" i="9" s="1"/>
  <c r="Q119" i="9"/>
  <c r="S119" i="9" s="1"/>
  <c r="Q120" i="9"/>
  <c r="S120" i="9" s="1"/>
  <c r="Q121" i="9"/>
  <c r="S121" i="9" s="1"/>
  <c r="Q122" i="9"/>
  <c r="Q123" i="9"/>
  <c r="S123" i="9" s="1"/>
  <c r="Q124" i="9"/>
  <c r="S124" i="9" s="1"/>
  <c r="Q125" i="9"/>
  <c r="S125" i="9" s="1"/>
  <c r="Q126" i="9"/>
  <c r="S126" i="9" s="1"/>
  <c r="Q127" i="9"/>
  <c r="S127" i="9" s="1"/>
  <c r="Q128" i="9"/>
  <c r="S128" i="9" s="1"/>
  <c r="Q129" i="9"/>
  <c r="S129" i="9" s="1"/>
  <c r="Q130" i="9"/>
  <c r="Q131" i="9"/>
  <c r="Q132" i="9"/>
  <c r="Q133" i="9"/>
  <c r="S133" i="9" s="1"/>
  <c r="Q134" i="9"/>
  <c r="S134" i="9" s="1"/>
  <c r="Q135" i="9"/>
  <c r="Q136" i="9"/>
  <c r="S136" i="9" s="1"/>
  <c r="Q137" i="9"/>
  <c r="S137" i="9" s="1"/>
  <c r="Q138" i="9"/>
  <c r="Q139" i="9"/>
  <c r="Q140" i="9"/>
  <c r="S140" i="9" s="1"/>
  <c r="Q141" i="9"/>
  <c r="S141" i="9" s="1"/>
  <c r="Q142" i="9"/>
  <c r="S142" i="9" s="1"/>
  <c r="Q143" i="9"/>
  <c r="S143" i="9" s="1"/>
  <c r="S150" i="9"/>
  <c r="Q151" i="9"/>
  <c r="S151" i="9" s="1"/>
  <c r="Q152" i="9"/>
  <c r="S152" i="9" s="1"/>
  <c r="Q153" i="9"/>
  <c r="Q154" i="9"/>
  <c r="S154" i="9" s="1"/>
  <c r="Q155" i="9"/>
  <c r="S155" i="9" s="1"/>
  <c r="Q156" i="9"/>
  <c r="S156" i="9" s="1"/>
  <c r="Q157" i="9"/>
  <c r="S157" i="9" s="1"/>
  <c r="Q158" i="9"/>
  <c r="S158" i="9" s="1"/>
  <c r="Q159" i="9"/>
  <c r="Q160" i="9"/>
  <c r="Q161" i="9"/>
  <c r="S161" i="9" s="1"/>
  <c r="Q162" i="9"/>
  <c r="S162" i="9" s="1"/>
  <c r="Q163" i="9"/>
  <c r="S163" i="9" s="1"/>
  <c r="Q164" i="9"/>
  <c r="S164" i="9" s="1"/>
  <c r="Q165" i="9"/>
  <c r="S165" i="9" s="1"/>
  <c r="Q166" i="9"/>
  <c r="S166" i="9" s="1"/>
  <c r="Q167" i="9"/>
  <c r="Q168" i="9"/>
  <c r="Q169" i="9"/>
  <c r="S169" i="9" s="1"/>
  <c r="Q170" i="9"/>
  <c r="S170" i="9" s="1"/>
  <c r="Q171" i="9"/>
  <c r="S171" i="9" s="1"/>
  <c r="Q172" i="9"/>
  <c r="S172" i="9" s="1"/>
  <c r="Q173" i="9"/>
  <c r="S173" i="9" s="1"/>
  <c r="Q174" i="9"/>
  <c r="S174" i="9" s="1"/>
  <c r="Q175" i="9"/>
  <c r="S175" i="9" s="1"/>
  <c r="Q176" i="9"/>
  <c r="Q177" i="9"/>
  <c r="S177" i="9" s="1"/>
  <c r="Q178" i="9"/>
  <c r="S178" i="9" s="1"/>
  <c r="Q179" i="9"/>
  <c r="S179" i="9" s="1"/>
  <c r="Q180" i="9"/>
  <c r="S180" i="9" s="1"/>
  <c r="Q181" i="9"/>
  <c r="S181" i="9" s="1"/>
  <c r="Q182" i="9"/>
  <c r="S182" i="9" s="1"/>
  <c r="Q183" i="9"/>
  <c r="S183" i="9" s="1"/>
  <c r="Q184" i="9"/>
  <c r="Q185" i="9"/>
  <c r="Q186" i="9"/>
  <c r="S186" i="9" s="1"/>
  <c r="Q187" i="9"/>
  <c r="S187" i="9" s="1"/>
  <c r="Q188" i="9"/>
  <c r="S188" i="9" s="1"/>
  <c r="Q189" i="9"/>
  <c r="S189" i="9" s="1"/>
  <c r="Q190" i="9"/>
  <c r="Q191" i="9"/>
  <c r="Q192" i="9"/>
  <c r="S192" i="9" s="1"/>
  <c r="Q193" i="9"/>
  <c r="Q194" i="9"/>
  <c r="S194" i="9" s="1"/>
  <c r="Q195" i="9"/>
  <c r="S195" i="9" s="1"/>
  <c r="Q196" i="9"/>
  <c r="S196" i="9" s="1"/>
  <c r="Q197" i="9"/>
  <c r="S197" i="9" s="1"/>
  <c r="Q198" i="9"/>
  <c r="S198" i="9" s="1"/>
  <c r="Q199" i="9"/>
  <c r="Q200" i="9"/>
  <c r="S200" i="9" s="1"/>
  <c r="Q201" i="9"/>
  <c r="Q203" i="9"/>
  <c r="S203" i="9" s="1"/>
  <c r="Q204" i="9"/>
  <c r="Q205" i="9"/>
  <c r="S205" i="9" s="1"/>
  <c r="Q206" i="9"/>
  <c r="S206" i="9" s="1"/>
  <c r="Q207" i="9"/>
  <c r="S207" i="9" s="1"/>
  <c r="Q208" i="9"/>
  <c r="Q209" i="9"/>
  <c r="S209" i="9" s="1"/>
  <c r="Q210" i="9"/>
  <c r="S210" i="9" s="1"/>
  <c r="Q211" i="9"/>
  <c r="S211" i="9" s="1"/>
  <c r="Q212" i="9"/>
  <c r="S212" i="9" s="1"/>
  <c r="Q213" i="9"/>
  <c r="Q214" i="9"/>
  <c r="S214" i="9" s="1"/>
  <c r="Q215" i="9"/>
  <c r="S215" i="9" s="1"/>
  <c r="Q216" i="9"/>
  <c r="S216" i="9" s="1"/>
  <c r="Q217" i="9"/>
  <c r="S217" i="9" s="1"/>
  <c r="Q218" i="9"/>
  <c r="S218" i="9" s="1"/>
  <c r="Q219" i="9"/>
  <c r="S219" i="9" s="1"/>
  <c r="Q220" i="9"/>
  <c r="S220" i="9" s="1"/>
  <c r="Q221" i="9"/>
  <c r="S221" i="9" s="1"/>
  <c r="Q222" i="9"/>
  <c r="S222" i="9" s="1"/>
  <c r="Q223" i="9"/>
  <c r="S223" i="9" s="1"/>
  <c r="Q224" i="9"/>
  <c r="S224" i="9" s="1"/>
  <c r="Q225" i="9"/>
  <c r="S225" i="9" s="1"/>
  <c r="Q226" i="9"/>
  <c r="S226" i="9" s="1"/>
  <c r="Q227" i="9"/>
  <c r="S227" i="9" s="1"/>
  <c r="Q228" i="9"/>
  <c r="S228" i="9" s="1"/>
  <c r="Q229" i="9"/>
  <c r="S229" i="9" s="1"/>
  <c r="Q230" i="9"/>
  <c r="S230" i="9" s="1"/>
  <c r="Q231" i="9"/>
  <c r="S231" i="9" s="1"/>
  <c r="Q232" i="9"/>
  <c r="S232" i="9" s="1"/>
  <c r="Q233" i="9"/>
  <c r="S233" i="9" s="1"/>
  <c r="Q234" i="9"/>
  <c r="S234" i="9" s="1"/>
  <c r="Q235" i="9"/>
  <c r="S235" i="9" s="1"/>
  <c r="Q236" i="9"/>
  <c r="S236" i="9" s="1"/>
  <c r="Q237" i="9"/>
  <c r="S237" i="9" s="1"/>
  <c r="Q238" i="9"/>
  <c r="S238" i="9" s="1"/>
  <c r="Q239" i="9"/>
  <c r="S239" i="9" s="1"/>
  <c r="Q240" i="9"/>
  <c r="S240" i="9" s="1"/>
  <c r="Q241" i="9"/>
  <c r="S241" i="9" s="1"/>
  <c r="Q242" i="9"/>
  <c r="S242" i="9" s="1"/>
  <c r="Q243" i="9"/>
  <c r="S243" i="9" s="1"/>
  <c r="Q245" i="9"/>
  <c r="S245" i="9" s="1"/>
  <c r="Q246" i="9"/>
  <c r="S246" i="9" s="1"/>
  <c r="Q247" i="9"/>
  <c r="S247" i="9" s="1"/>
  <c r="Q248" i="9"/>
  <c r="S248" i="9" s="1"/>
  <c r="Q249" i="9"/>
  <c r="S249" i="9" s="1"/>
  <c r="Q250" i="9"/>
  <c r="S250" i="9" s="1"/>
  <c r="Q251" i="9"/>
  <c r="S251" i="9" s="1"/>
  <c r="Q252" i="9"/>
  <c r="S252" i="9" s="1"/>
  <c r="Q253" i="9"/>
  <c r="S253" i="9" s="1"/>
  <c r="Q255" i="9"/>
  <c r="S255" i="9" s="1"/>
  <c r="Q256" i="9"/>
  <c r="S256" i="9" s="1"/>
  <c r="Q257" i="9"/>
  <c r="S257" i="9" s="1"/>
  <c r="Q258" i="9"/>
  <c r="S258" i="9" s="1"/>
  <c r="Q259" i="9"/>
  <c r="S259" i="9" s="1"/>
  <c r="Q260" i="9"/>
  <c r="S260" i="9" s="1"/>
  <c r="Q261" i="9"/>
  <c r="S261" i="9" s="1"/>
  <c r="Q262" i="9"/>
  <c r="S262" i="9" s="1"/>
  <c r="Q263" i="9"/>
  <c r="S263" i="9" s="1"/>
  <c r="Q264" i="9"/>
  <c r="S264" i="9" s="1"/>
  <c r="Q266" i="9"/>
  <c r="S266" i="9" s="1"/>
  <c r="Q267" i="9"/>
  <c r="S267" i="9" s="1"/>
  <c r="Q268" i="9"/>
  <c r="S268" i="9" s="1"/>
  <c r="Q269" i="9"/>
  <c r="S269" i="9" s="1"/>
  <c r="Q270" i="9"/>
  <c r="S270" i="9" s="1"/>
  <c r="Q271" i="9"/>
  <c r="S271" i="9" s="1"/>
  <c r="Q272" i="9"/>
  <c r="S272" i="9" s="1"/>
  <c r="Q273" i="9"/>
  <c r="S273" i="9" s="1"/>
  <c r="Q274" i="9"/>
  <c r="S274" i="9" s="1"/>
  <c r="Q275" i="9"/>
  <c r="S275" i="9" s="1"/>
  <c r="Q276" i="9"/>
  <c r="S276" i="9" s="1"/>
  <c r="Q277" i="9"/>
  <c r="S277" i="9" s="1"/>
  <c r="Q278" i="9"/>
  <c r="S278" i="9" s="1"/>
  <c r="Q280" i="9"/>
  <c r="S280" i="9" s="1"/>
  <c r="Q281" i="9"/>
  <c r="S281" i="9" s="1"/>
  <c r="Q282" i="9"/>
  <c r="S282" i="9" s="1"/>
  <c r="Q283" i="9"/>
  <c r="S283" i="9" s="1"/>
  <c r="Q284" i="9"/>
  <c r="S284" i="9" s="1"/>
  <c r="Q285" i="9"/>
  <c r="S285" i="9" s="1"/>
  <c r="Q286" i="9"/>
  <c r="S286" i="9" s="1"/>
  <c r="Q287" i="9"/>
  <c r="S287" i="9" s="1"/>
  <c r="Q289" i="9"/>
  <c r="S289" i="9" s="1"/>
  <c r="Q290" i="9"/>
  <c r="S290" i="9" s="1"/>
  <c r="Q291" i="9"/>
  <c r="S291" i="9" s="1"/>
  <c r="Q292" i="9"/>
  <c r="S292" i="9" s="1"/>
  <c r="Q293" i="9"/>
  <c r="S293" i="9" s="1"/>
  <c r="Q294" i="9"/>
  <c r="S294" i="9" s="1"/>
  <c r="Q295" i="9"/>
  <c r="S295" i="9" s="1"/>
  <c r="Q296" i="9"/>
  <c r="S296" i="9" s="1"/>
  <c r="Q297" i="9"/>
  <c r="S297" i="9" s="1"/>
  <c r="Q298" i="9"/>
  <c r="S298" i="9" s="1"/>
  <c r="Q299" i="9"/>
  <c r="S299" i="9" s="1"/>
  <c r="Q300" i="9"/>
  <c r="S300" i="9" s="1"/>
  <c r="Q301" i="9"/>
  <c r="S301" i="9" s="1"/>
  <c r="Q302" i="9"/>
  <c r="S302" i="9" s="1"/>
  <c r="Q303" i="9"/>
  <c r="S303" i="9" s="1"/>
  <c r="Q304" i="9"/>
  <c r="S304" i="9" s="1"/>
  <c r="Q305" i="9"/>
  <c r="S305" i="9" s="1"/>
  <c r="Q306" i="9"/>
  <c r="S306" i="9" s="1"/>
  <c r="Q307" i="9"/>
  <c r="S307" i="9" s="1"/>
  <c r="Q308" i="9"/>
  <c r="S308" i="9" s="1"/>
  <c r="Q309" i="9"/>
  <c r="S309" i="9" s="1"/>
  <c r="Q310" i="9"/>
  <c r="S310" i="9" s="1"/>
  <c r="Q311" i="9"/>
  <c r="S311" i="9" s="1"/>
  <c r="Q312" i="9"/>
  <c r="S312" i="9" s="1"/>
  <c r="Q313" i="9"/>
  <c r="S313" i="9" s="1"/>
  <c r="Q314" i="9"/>
  <c r="S314" i="9" s="1"/>
  <c r="Q315" i="9"/>
  <c r="S315" i="9" s="1"/>
  <c r="Q316" i="9"/>
  <c r="S316" i="9" s="1"/>
  <c r="Q317" i="9"/>
  <c r="S317" i="9" s="1"/>
  <c r="Q318" i="9"/>
  <c r="S318" i="9" s="1"/>
  <c r="Q319" i="9"/>
  <c r="S319" i="9" s="1"/>
  <c r="Q320" i="9"/>
  <c r="S320" i="9" s="1"/>
  <c r="Q321" i="9"/>
  <c r="S321" i="9" s="1"/>
  <c r="Q322" i="9"/>
  <c r="S322" i="9" s="1"/>
  <c r="Q323" i="9"/>
  <c r="S323" i="9" s="1"/>
  <c r="Q324" i="9"/>
  <c r="S324" i="9" s="1"/>
  <c r="Q325" i="9"/>
  <c r="S325" i="9" s="1"/>
  <c r="Q326" i="9"/>
  <c r="S326" i="9" s="1"/>
  <c r="Q327" i="9"/>
  <c r="S327" i="9" s="1"/>
  <c r="Q328" i="9"/>
  <c r="S328" i="9" s="1"/>
  <c r="Q329" i="9"/>
  <c r="S329" i="9" s="1"/>
  <c r="Q330" i="9"/>
  <c r="S330" i="9" s="1"/>
  <c r="Q331" i="9"/>
  <c r="S331" i="9" s="1"/>
  <c r="Q332" i="9"/>
  <c r="S332" i="9" s="1"/>
  <c r="Q333" i="9"/>
  <c r="S333" i="9" s="1"/>
  <c r="Q334" i="9"/>
  <c r="S334" i="9" s="1"/>
  <c r="Q335" i="9"/>
  <c r="S335" i="9" s="1"/>
  <c r="Q336" i="9"/>
  <c r="S336" i="9" s="1"/>
  <c r="Q337" i="9"/>
  <c r="S337" i="9" s="1"/>
  <c r="Q338" i="9"/>
  <c r="S338" i="9" s="1"/>
  <c r="Q339" i="9"/>
  <c r="S339" i="9" s="1"/>
  <c r="Q340" i="9"/>
  <c r="S340" i="9" s="1"/>
  <c r="Q341" i="9"/>
  <c r="S341" i="9" s="1"/>
  <c r="Q342" i="9"/>
  <c r="S342" i="9" s="1"/>
  <c r="Q343" i="9"/>
  <c r="S343" i="9" s="1"/>
  <c r="Q344" i="9"/>
  <c r="S344" i="9" s="1"/>
  <c r="Q345" i="9"/>
  <c r="S345" i="9" s="1"/>
  <c r="Q346" i="9"/>
  <c r="S346" i="9" s="1"/>
  <c r="Q347" i="9"/>
  <c r="S347" i="9" s="1"/>
  <c r="Q348" i="9"/>
  <c r="S348" i="9" s="1"/>
  <c r="Q351" i="9"/>
  <c r="S351" i="9" s="1"/>
  <c r="Q352" i="9"/>
  <c r="S352" i="9" s="1"/>
  <c r="Q353" i="9"/>
  <c r="S353" i="9" s="1"/>
  <c r="Q354" i="9"/>
  <c r="S354" i="9" s="1"/>
  <c r="Q355" i="9"/>
  <c r="S355" i="9" s="1"/>
  <c r="Q356" i="9"/>
  <c r="S356" i="9" s="1"/>
  <c r="Q357" i="9"/>
  <c r="S357" i="9" s="1"/>
  <c r="Q358" i="9"/>
  <c r="S358" i="9" s="1"/>
  <c r="Q359" i="9"/>
  <c r="S359" i="9" s="1"/>
  <c r="Q360" i="9"/>
  <c r="S360" i="9" s="1"/>
  <c r="Q361" i="9"/>
  <c r="S361" i="9" s="1"/>
  <c r="Q362" i="9"/>
  <c r="S362" i="9" s="1"/>
  <c r="Q363" i="9"/>
  <c r="S363" i="9" s="1"/>
  <c r="Q364" i="9"/>
  <c r="S364" i="9" s="1"/>
  <c r="Q365" i="9"/>
  <c r="S365" i="9" s="1"/>
  <c r="Q366" i="9"/>
  <c r="S366" i="9" s="1"/>
  <c r="Q367" i="9"/>
  <c r="S367" i="9" s="1"/>
  <c r="Q368" i="9"/>
  <c r="S368" i="9" s="1"/>
  <c r="Q369" i="9"/>
  <c r="S369" i="9" s="1"/>
  <c r="Q370" i="9"/>
  <c r="S370" i="9" s="1"/>
  <c r="Q371" i="9"/>
  <c r="S371" i="9" s="1"/>
  <c r="Q372" i="9"/>
  <c r="S372" i="9" s="1"/>
  <c r="Q373" i="9"/>
  <c r="S373" i="9" s="1"/>
  <c r="Q374" i="9"/>
  <c r="S374" i="9" s="1"/>
  <c r="Q375" i="9"/>
  <c r="S375" i="9" s="1"/>
  <c r="Q376" i="9"/>
  <c r="S376" i="9" s="1"/>
  <c r="Q377" i="9"/>
  <c r="S377" i="9" s="1"/>
  <c r="Q378" i="9"/>
  <c r="S378" i="9" s="1"/>
  <c r="Q379" i="9"/>
  <c r="S379" i="9" s="1"/>
  <c r="Q380" i="9"/>
  <c r="S380" i="9" s="1"/>
  <c r="Q381" i="9"/>
  <c r="S381" i="9" s="1"/>
  <c r="Q382" i="9"/>
  <c r="S382" i="9" s="1"/>
  <c r="Q383" i="9"/>
  <c r="S383" i="9" s="1"/>
  <c r="Q384" i="9"/>
  <c r="S384" i="9" s="1"/>
  <c r="Q385" i="9"/>
  <c r="S385" i="9" s="1"/>
  <c r="Q386" i="9"/>
  <c r="S386" i="9" s="1"/>
  <c r="S387" i="9"/>
  <c r="Q388" i="9"/>
  <c r="S388" i="9" s="1"/>
  <c r="Q389" i="9"/>
  <c r="S389" i="9" s="1"/>
  <c r="Q390" i="9"/>
  <c r="S390" i="9" s="1"/>
  <c r="Q391" i="9"/>
  <c r="S391" i="9" s="1"/>
  <c r="Q392" i="9"/>
  <c r="S392" i="9" s="1"/>
  <c r="Q393" i="9"/>
  <c r="S393" i="9" s="1"/>
  <c r="Q394" i="9"/>
  <c r="S394" i="9" s="1"/>
  <c r="Q395" i="9"/>
  <c r="S395" i="9" s="1"/>
  <c r="Q396" i="9"/>
  <c r="S396" i="9" s="1"/>
  <c r="Q397" i="9"/>
  <c r="S397" i="9" s="1"/>
  <c r="Q398" i="9"/>
  <c r="S398" i="9" s="1"/>
  <c r="Q399" i="9"/>
  <c r="S399" i="9" s="1"/>
  <c r="Q400" i="9"/>
  <c r="S400" i="9" s="1"/>
  <c r="Q401" i="9"/>
  <c r="S401" i="9" s="1"/>
  <c r="Q402" i="9"/>
  <c r="S402" i="9" s="1"/>
  <c r="Q411" i="9"/>
  <c r="S411" i="9" s="1"/>
  <c r="Q418" i="9"/>
  <c r="S418" i="9" s="1"/>
  <c r="Q419" i="9"/>
  <c r="S419" i="9" s="1"/>
  <c r="Q420" i="9"/>
  <c r="S420" i="9" s="1"/>
  <c r="Q421" i="9"/>
  <c r="S421" i="9" s="1"/>
  <c r="Q422" i="9"/>
  <c r="S422" i="9" s="1"/>
  <c r="Q423" i="9"/>
  <c r="S423" i="9" s="1"/>
  <c r="Q424" i="9"/>
  <c r="S424" i="9" s="1"/>
  <c r="Q425" i="9"/>
  <c r="S425" i="9" s="1"/>
  <c r="Q437" i="9"/>
  <c r="S437" i="9" s="1"/>
  <c r="Q438" i="9"/>
  <c r="S438" i="9" s="1"/>
  <c r="Q439" i="9"/>
  <c r="S439" i="9" s="1"/>
  <c r="Q440" i="9"/>
  <c r="S440" i="9" s="1"/>
  <c r="Q441" i="9"/>
  <c r="S441" i="9" s="1"/>
  <c r="Q442" i="9"/>
  <c r="S442" i="9" s="1"/>
  <c r="Q443" i="9"/>
  <c r="S443" i="9" s="1"/>
  <c r="Q446" i="9"/>
  <c r="S446" i="9" s="1"/>
  <c r="Q447" i="9"/>
  <c r="S447" i="9" s="1"/>
  <c r="Q448" i="9"/>
  <c r="S448" i="9" s="1"/>
  <c r="Q449" i="9"/>
  <c r="S449" i="9" s="1"/>
  <c r="Q450" i="9"/>
  <c r="S450" i="9" s="1"/>
  <c r="Q451" i="9"/>
  <c r="S451" i="9" s="1"/>
  <c r="Q452" i="9"/>
  <c r="S452" i="9" s="1"/>
  <c r="Q453" i="9"/>
  <c r="S453" i="9" s="1"/>
  <c r="Q454" i="9"/>
  <c r="S454" i="9" s="1"/>
  <c r="Q456" i="9"/>
  <c r="S456" i="9" s="1"/>
  <c r="Q457" i="9"/>
  <c r="S457" i="9" s="1"/>
  <c r="Q458" i="9"/>
  <c r="S458" i="9" s="1"/>
  <c r="Q459" i="9"/>
  <c r="S459" i="9" s="1"/>
  <c r="Q460" i="9"/>
  <c r="S460" i="9" s="1"/>
  <c r="Q461" i="9"/>
  <c r="S461" i="9" s="1"/>
  <c r="Q465" i="9"/>
  <c r="S465" i="9" s="1"/>
  <c r="Q466" i="9"/>
  <c r="S466" i="9" s="1"/>
  <c r="Q467" i="9"/>
  <c r="S467" i="9" s="1"/>
  <c r="Q468" i="9"/>
  <c r="S468" i="9" s="1"/>
  <c r="Q469" i="9"/>
  <c r="S469" i="9" s="1"/>
  <c r="Q470" i="9"/>
  <c r="S470" i="9" s="1"/>
  <c r="Q471" i="9"/>
  <c r="S471" i="9" s="1"/>
  <c r="Q472" i="9"/>
  <c r="S472" i="9" s="1"/>
  <c r="Q473" i="9"/>
  <c r="S473" i="9" s="1"/>
  <c r="Q474" i="9"/>
  <c r="S474" i="9" s="1"/>
  <c r="Q475" i="9"/>
  <c r="S475" i="9" s="1"/>
  <c r="Q476" i="9"/>
  <c r="S476" i="9" s="1"/>
  <c r="Q477" i="9"/>
  <c r="S477" i="9" s="1"/>
  <c r="Q478" i="9"/>
  <c r="S478" i="9" s="1"/>
  <c r="Q479" i="9"/>
  <c r="S479" i="9" s="1"/>
  <c r="Q480" i="9"/>
  <c r="S480" i="9" s="1"/>
  <c r="Q481" i="9"/>
  <c r="S481" i="9" s="1"/>
  <c r="Q482" i="9"/>
  <c r="S482" i="9" s="1"/>
  <c r="Q483" i="9"/>
  <c r="S483" i="9" s="1"/>
  <c r="Q484" i="9"/>
  <c r="S484" i="9" s="1"/>
  <c r="Q485" i="9"/>
  <c r="S485" i="9" s="1"/>
  <c r="Q486" i="9"/>
  <c r="S486" i="9" s="1"/>
  <c r="Q487" i="9"/>
  <c r="S487" i="9" s="1"/>
  <c r="Q488" i="9"/>
  <c r="S488" i="9" s="1"/>
  <c r="Q489" i="9"/>
  <c r="S489" i="9" s="1"/>
  <c r="Q490" i="9"/>
  <c r="S490" i="9" s="1"/>
  <c r="Q491" i="9"/>
  <c r="S491" i="9" s="1"/>
  <c r="Q492" i="9"/>
  <c r="S492" i="9" s="1"/>
  <c r="Q493" i="9"/>
  <c r="S493" i="9" s="1"/>
  <c r="Q494" i="9"/>
  <c r="S494" i="9" s="1"/>
  <c r="Q495" i="9"/>
  <c r="S495" i="9" s="1"/>
  <c r="Q496" i="9"/>
  <c r="S496" i="9" s="1"/>
  <c r="Q497" i="9"/>
  <c r="S497" i="9" s="1"/>
  <c r="Q498" i="9"/>
  <c r="S498" i="9" s="1"/>
  <c r="Q499" i="9"/>
  <c r="S499" i="9" s="1"/>
  <c r="Q500" i="9"/>
  <c r="S500" i="9" s="1"/>
  <c r="Q501" i="9"/>
  <c r="S501" i="9" s="1"/>
  <c r="Q502" i="9"/>
  <c r="S502" i="9" s="1"/>
  <c r="Q503" i="9"/>
  <c r="S503" i="9" s="1"/>
  <c r="Q504" i="9"/>
  <c r="S504" i="9" s="1"/>
  <c r="Q505" i="9"/>
  <c r="S505" i="9" s="1"/>
  <c r="Q506" i="9"/>
  <c r="S506" i="9" s="1"/>
  <c r="Q508" i="9"/>
  <c r="S508" i="9" s="1"/>
  <c r="Q509" i="9"/>
  <c r="Q511" i="9"/>
  <c r="Q512" i="9"/>
  <c r="Q513" i="9"/>
  <c r="Q514" i="9"/>
  <c r="Q515" i="9"/>
  <c r="Q516" i="9"/>
  <c r="S516" i="9" s="1"/>
  <c r="Q517" i="9"/>
  <c r="S517" i="9" s="1"/>
  <c r="Q518" i="9"/>
  <c r="S518" i="9" s="1"/>
  <c r="Q519" i="9"/>
  <c r="Q520" i="9"/>
  <c r="S520" i="9" s="1"/>
  <c r="Q521" i="9"/>
  <c r="Q522" i="9"/>
  <c r="Q523" i="9"/>
  <c r="Q524" i="9"/>
  <c r="S524" i="9" s="1"/>
  <c r="Q525" i="9"/>
  <c r="Q526" i="9"/>
  <c r="S526" i="9" s="1"/>
  <c r="Q527" i="9"/>
  <c r="Q528" i="9"/>
  <c r="S528" i="9" s="1"/>
  <c r="Q529" i="9"/>
  <c r="Q530" i="9"/>
  <c r="S530" i="9" s="1"/>
  <c r="Q531" i="9"/>
  <c r="Q532" i="9"/>
  <c r="Q533" i="9"/>
  <c r="Q534" i="9"/>
  <c r="Q535" i="9"/>
  <c r="S535" i="9" s="1"/>
  <c r="Q536" i="9"/>
  <c r="Q537" i="9"/>
  <c r="Q538" i="9"/>
  <c r="Q539" i="9"/>
  <c r="Q540" i="9"/>
  <c r="S540" i="9" s="1"/>
  <c r="Q541" i="9"/>
  <c r="Q542" i="9"/>
  <c r="Q543" i="9"/>
  <c r="S543" i="9" s="1"/>
  <c r="Q544" i="9"/>
  <c r="S544" i="9" s="1"/>
  <c r="Q545" i="9"/>
  <c r="S545" i="9" s="1"/>
  <c r="Q546" i="9"/>
  <c r="S546" i="9" s="1"/>
  <c r="Q547" i="9"/>
  <c r="Q548" i="9"/>
  <c r="Q549" i="9"/>
  <c r="Q550" i="9"/>
  <c r="S550" i="9" s="1"/>
  <c r="Q551" i="9"/>
  <c r="S551" i="9" s="1"/>
  <c r="Q555" i="9"/>
  <c r="S555" i="9" s="1"/>
  <c r="Q556" i="9"/>
  <c r="S556" i="9" s="1"/>
  <c r="Q557" i="9"/>
  <c r="S557" i="9" s="1"/>
  <c r="Q558" i="9"/>
  <c r="S558" i="9" s="1"/>
  <c r="Q559" i="9"/>
  <c r="S559" i="9" s="1"/>
  <c r="Q560" i="9"/>
  <c r="S560" i="9" s="1"/>
  <c r="Q561" i="9"/>
  <c r="S561" i="9" s="1"/>
  <c r="Q562" i="9"/>
  <c r="S562" i="9" s="1"/>
  <c r="Q563" i="9"/>
  <c r="S563" i="9" s="1"/>
  <c r="Q564" i="9"/>
  <c r="S564" i="9" s="1"/>
  <c r="Q565" i="9"/>
  <c r="S565" i="9" s="1"/>
  <c r="Q566" i="9"/>
  <c r="S566" i="9" s="1"/>
  <c r="Q567" i="9"/>
  <c r="S567" i="9" s="1"/>
  <c r="Q568" i="9"/>
  <c r="S568" i="9" s="1"/>
  <c r="Q569" i="9"/>
  <c r="S569" i="9" s="1"/>
  <c r="Q570" i="9"/>
  <c r="S570" i="9" s="1"/>
  <c r="Q571" i="9"/>
  <c r="S571" i="9" s="1"/>
  <c r="Q572" i="9"/>
  <c r="S572" i="9" s="1"/>
  <c r="Q12" i="8"/>
  <c r="S12" i="8" s="1"/>
  <c r="Q13" i="8"/>
  <c r="Q14" i="8"/>
  <c r="S14" i="8" s="1"/>
  <c r="Q15" i="8"/>
  <c r="S15" i="8" s="1"/>
  <c r="Q16" i="8"/>
  <c r="S16" i="8" s="1"/>
  <c r="Q17" i="8"/>
  <c r="Q21" i="8"/>
  <c r="Q22" i="8"/>
  <c r="S22" i="8" s="1"/>
  <c r="Q23" i="8"/>
  <c r="S23" i="8" s="1"/>
  <c r="Q24" i="8"/>
  <c r="S24" i="8" s="1"/>
  <c r="Q32" i="8"/>
  <c r="S32" i="8" s="1"/>
  <c r="Q33" i="8"/>
  <c r="Q34" i="8"/>
  <c r="S34" i="8" s="1"/>
  <c r="Q35" i="8"/>
  <c r="S35" i="8" s="1"/>
  <c r="Q36" i="8"/>
  <c r="S36" i="8" s="1"/>
  <c r="Q37" i="8"/>
  <c r="Q38" i="8"/>
  <c r="Q39" i="8"/>
  <c r="S39" i="8" s="1"/>
  <c r="Q40" i="8"/>
  <c r="S40" i="8" s="1"/>
  <c r="Q41" i="8"/>
  <c r="S41" i="8" s="1"/>
  <c r="Q42" i="8"/>
  <c r="Q43" i="8"/>
  <c r="S43" i="8" s="1"/>
  <c r="Q44" i="8"/>
  <c r="S44" i="8" s="1"/>
  <c r="Q45" i="8"/>
  <c r="S45" i="8" s="1"/>
  <c r="Q46" i="8"/>
  <c r="S46" i="8" s="1"/>
  <c r="Q47" i="8"/>
  <c r="S47" i="8" s="1"/>
  <c r="Q48" i="8"/>
  <c r="S48" i="8" s="1"/>
  <c r="Q49" i="8"/>
  <c r="Q50" i="8"/>
  <c r="S50" i="8" s="1"/>
  <c r="Q51" i="8"/>
  <c r="S51" i="8" s="1"/>
  <c r="Q52" i="8"/>
  <c r="S52" i="8" s="1"/>
  <c r="Q53" i="8"/>
  <c r="S53" i="8" s="1"/>
  <c r="Q54" i="8"/>
  <c r="Q55" i="8"/>
  <c r="S55" i="8" s="1"/>
  <c r="Q56" i="8"/>
  <c r="S56" i="8" s="1"/>
  <c r="Q57" i="8"/>
  <c r="Q58" i="8"/>
  <c r="S58" i="8" s="1"/>
  <c r="Q59" i="8"/>
  <c r="S59" i="8" s="1"/>
  <c r="Q60" i="8"/>
  <c r="S60" i="8" s="1"/>
  <c r="Q61" i="8"/>
  <c r="S61" i="8" s="1"/>
  <c r="Q62" i="8"/>
  <c r="S62" i="8" s="1"/>
  <c r="Q63" i="8"/>
  <c r="S63" i="8" s="1"/>
  <c r="Q65" i="8"/>
  <c r="S65" i="8" s="1"/>
  <c r="Q66" i="8"/>
  <c r="Q67" i="8"/>
  <c r="S67" i="8" s="1"/>
  <c r="Q68" i="8"/>
  <c r="S68" i="8" s="1"/>
  <c r="Q69" i="8"/>
  <c r="S69" i="8" s="1"/>
  <c r="Q70" i="8"/>
  <c r="S70" i="8" s="1"/>
  <c r="Q71" i="8"/>
  <c r="Q72" i="8"/>
  <c r="S72" i="8" s="1"/>
  <c r="Q73" i="8"/>
  <c r="S73" i="8" s="1"/>
  <c r="Q74" i="8"/>
  <c r="S76" i="8"/>
  <c r="S77" i="8"/>
  <c r="Q78" i="8"/>
  <c r="S78" i="8" s="1"/>
  <c r="Q79" i="8"/>
  <c r="Q80" i="8"/>
  <c r="S80" i="8" s="1"/>
  <c r="Q81" i="8"/>
  <c r="S81" i="8" s="1"/>
  <c r="Q82" i="8"/>
  <c r="Q83" i="8"/>
  <c r="S83" i="8" s="1"/>
  <c r="Q84" i="8"/>
  <c r="S84" i="8" s="1"/>
  <c r="Q85" i="8"/>
  <c r="S85" i="8" s="1"/>
  <c r="Q86" i="8"/>
  <c r="Q87" i="8"/>
  <c r="Q88" i="8"/>
  <c r="S88" i="8" s="1"/>
  <c r="Q89" i="8"/>
  <c r="S89" i="8" s="1"/>
  <c r="Q90" i="8"/>
  <c r="S90" i="8" s="1"/>
  <c r="Q91" i="8"/>
  <c r="Q92" i="8"/>
  <c r="S92" i="8" s="1"/>
  <c r="Q93" i="8"/>
  <c r="S93" i="8" s="1"/>
  <c r="Q94" i="8"/>
  <c r="S94" i="8" s="1"/>
  <c r="Q95" i="8"/>
  <c r="Q96" i="8"/>
  <c r="S96" i="8" s="1"/>
  <c r="Q97" i="8"/>
  <c r="S97" i="8" s="1"/>
  <c r="Q98" i="8"/>
  <c r="Q99" i="8"/>
  <c r="S99" i="8" s="1"/>
  <c r="Q100" i="8"/>
  <c r="S100" i="8" s="1"/>
  <c r="Q101" i="8"/>
  <c r="S101" i="8" s="1"/>
  <c r="Q102" i="8"/>
  <c r="S102" i="8" s="1"/>
  <c r="Q103" i="8"/>
  <c r="Q104" i="8"/>
  <c r="S104" i="8" s="1"/>
  <c r="Q105" i="8"/>
  <c r="S105" i="8" s="1"/>
  <c r="Q106" i="8"/>
  <c r="S106" i="8" s="1"/>
  <c r="Q107" i="8"/>
  <c r="S107" i="8" s="1"/>
  <c r="Q108" i="8"/>
  <c r="S108" i="8" s="1"/>
  <c r="Q109" i="8"/>
  <c r="S109" i="8" s="1"/>
  <c r="Q110" i="8"/>
  <c r="S110" i="8" s="1"/>
  <c r="Q111" i="8"/>
  <c r="Q112" i="8"/>
  <c r="S112" i="8" s="1"/>
  <c r="Q113" i="8"/>
  <c r="S113" i="8" s="1"/>
  <c r="Q114" i="8"/>
  <c r="Q115" i="8"/>
  <c r="S115" i="8" s="1"/>
  <c r="Q116" i="8"/>
  <c r="S116" i="8" s="1"/>
  <c r="Q117" i="8"/>
  <c r="S117" i="8" s="1"/>
  <c r="Q118" i="8"/>
  <c r="S118" i="8" s="1"/>
  <c r="Q119" i="8"/>
  <c r="Q120" i="8"/>
  <c r="S120" i="8" s="1"/>
  <c r="Q121" i="8"/>
  <c r="S121" i="8" s="1"/>
  <c r="Q123" i="8"/>
  <c r="R428" i="2"/>
  <c r="S428" i="2"/>
  <c r="R429" i="2"/>
  <c r="S429" i="2"/>
  <c r="R430" i="2"/>
  <c r="S430" i="2"/>
  <c r="R431" i="2"/>
  <c r="S431" i="2"/>
  <c r="R432" i="2"/>
  <c r="S432" i="2"/>
  <c r="S190" i="9" l="1"/>
  <c r="R190" i="9"/>
  <c r="E142" i="10"/>
  <c r="R17" i="8"/>
  <c r="S17" i="8"/>
  <c r="R13" i="8"/>
  <c r="S13" i="8"/>
  <c r="R547" i="9"/>
  <c r="S547" i="9"/>
  <c r="R539" i="9"/>
  <c r="S539" i="9"/>
  <c r="R531" i="9"/>
  <c r="S531" i="9"/>
  <c r="R527" i="9"/>
  <c r="S527" i="9"/>
  <c r="R523" i="9"/>
  <c r="S523" i="9"/>
  <c r="R519" i="9"/>
  <c r="S519" i="9"/>
  <c r="R515" i="9"/>
  <c r="S515" i="9"/>
  <c r="R511" i="9"/>
  <c r="S511" i="9"/>
  <c r="R119" i="8"/>
  <c r="S119" i="8"/>
  <c r="R111" i="8"/>
  <c r="S111" i="8"/>
  <c r="R103" i="8"/>
  <c r="S103" i="8"/>
  <c r="R95" i="8"/>
  <c r="S95" i="8"/>
  <c r="R91" i="8"/>
  <c r="S91" i="8"/>
  <c r="R87" i="8"/>
  <c r="S87" i="8"/>
  <c r="R79" i="8"/>
  <c r="S79" i="8"/>
  <c r="R75" i="8"/>
  <c r="S75" i="8"/>
  <c r="R71" i="8"/>
  <c r="S71" i="8"/>
  <c r="R54" i="8"/>
  <c r="S54" i="8"/>
  <c r="R42" i="8"/>
  <c r="S42" i="8"/>
  <c r="R38" i="8"/>
  <c r="S38" i="8"/>
  <c r="R542" i="9"/>
  <c r="S542" i="9"/>
  <c r="R538" i="9"/>
  <c r="S538" i="9"/>
  <c r="R534" i="9"/>
  <c r="S534" i="9"/>
  <c r="R522" i="9"/>
  <c r="S522" i="9"/>
  <c r="R514" i="9"/>
  <c r="S514" i="9"/>
  <c r="R509" i="9"/>
  <c r="S509" i="9"/>
  <c r="R123" i="8"/>
  <c r="S123" i="8"/>
  <c r="R114" i="8"/>
  <c r="S114" i="8"/>
  <c r="R98" i="8"/>
  <c r="S98" i="8"/>
  <c r="R86" i="8"/>
  <c r="S86" i="8"/>
  <c r="R82" i="8"/>
  <c r="S82" i="8"/>
  <c r="R74" i="8"/>
  <c r="S74" i="8"/>
  <c r="R66" i="8"/>
  <c r="S66" i="8"/>
  <c r="R57" i="8"/>
  <c r="S57" i="8"/>
  <c r="R49" i="8"/>
  <c r="S49" i="8"/>
  <c r="R37" i="8"/>
  <c r="S37" i="8"/>
  <c r="R33" i="8"/>
  <c r="S33" i="8"/>
  <c r="R549" i="9"/>
  <c r="S549" i="9"/>
  <c r="R541" i="9"/>
  <c r="S541" i="9"/>
  <c r="R537" i="9"/>
  <c r="S537" i="9"/>
  <c r="R533" i="9"/>
  <c r="S533" i="9"/>
  <c r="R529" i="9"/>
  <c r="S529" i="9"/>
  <c r="R525" i="9"/>
  <c r="S525" i="9"/>
  <c r="R521" i="9"/>
  <c r="S521" i="9"/>
  <c r="R513" i="9"/>
  <c r="S513" i="9"/>
  <c r="R21" i="8"/>
  <c r="S21" i="8"/>
  <c r="R548" i="9"/>
  <c r="S548" i="9"/>
  <c r="R536" i="9"/>
  <c r="S536" i="9"/>
  <c r="R532" i="9"/>
  <c r="S532" i="9"/>
  <c r="R512" i="9"/>
  <c r="S512" i="9"/>
  <c r="R27" i="7"/>
  <c r="S27" i="7"/>
  <c r="R21" i="7"/>
  <c r="S21" i="7"/>
  <c r="R13" i="7"/>
  <c r="S13" i="7"/>
  <c r="R43" i="7"/>
  <c r="S43" i="7"/>
  <c r="R22" i="7"/>
  <c r="S22" i="7"/>
  <c r="R18" i="7"/>
  <c r="S18" i="7"/>
  <c r="R45" i="7"/>
  <c r="S45" i="7"/>
  <c r="R26" i="7"/>
  <c r="S26" i="7"/>
  <c r="R20" i="7"/>
  <c r="S20" i="7"/>
  <c r="R16" i="7"/>
  <c r="S16" i="7"/>
  <c r="R12" i="7"/>
  <c r="S12" i="7"/>
  <c r="R44" i="7"/>
  <c r="S44" i="7"/>
  <c r="R25" i="7"/>
  <c r="S25" i="7"/>
  <c r="R19" i="7"/>
  <c r="S19" i="7"/>
  <c r="R15" i="7"/>
  <c r="S15" i="7"/>
  <c r="C142" i="10"/>
  <c r="D98" i="11"/>
  <c r="R571" i="9"/>
  <c r="R567" i="9"/>
  <c r="R563" i="9"/>
  <c r="R555" i="9"/>
  <c r="R524" i="9"/>
  <c r="R516" i="9"/>
  <c r="R478" i="9"/>
  <c r="R443" i="9"/>
  <c r="R395" i="9"/>
  <c r="R387" i="9"/>
  <c r="R380" i="9"/>
  <c r="R368" i="9"/>
  <c r="R360" i="9"/>
  <c r="R346" i="9"/>
  <c r="R334" i="9"/>
  <c r="R326" i="9"/>
  <c r="R322" i="9"/>
  <c r="R314" i="9"/>
  <c r="R310" i="9"/>
  <c r="R302" i="9"/>
  <c r="R298" i="9"/>
  <c r="R290" i="9"/>
  <c r="R282" i="9"/>
  <c r="R277" i="9"/>
  <c r="R264" i="9"/>
  <c r="R260" i="9"/>
  <c r="R256" i="9"/>
  <c r="R247" i="9"/>
  <c r="R242" i="9"/>
  <c r="R234" i="9"/>
  <c r="R230" i="9"/>
  <c r="R226" i="9"/>
  <c r="R218" i="9"/>
  <c r="R201" i="9"/>
  <c r="S201" i="9"/>
  <c r="R193" i="9"/>
  <c r="S193" i="9"/>
  <c r="R185" i="9"/>
  <c r="S185" i="9"/>
  <c r="R153" i="9"/>
  <c r="S153" i="9"/>
  <c r="D175" i="11" s="1"/>
  <c r="R132" i="9"/>
  <c r="S132" i="9"/>
  <c r="R116" i="9"/>
  <c r="S116" i="9"/>
  <c r="R98" i="9"/>
  <c r="S98" i="9"/>
  <c r="R82" i="9"/>
  <c r="S82" i="9"/>
  <c r="R63" i="9"/>
  <c r="S63" i="9"/>
  <c r="R55" i="9"/>
  <c r="S55" i="9"/>
  <c r="R47" i="9"/>
  <c r="S47" i="9"/>
  <c r="R15" i="9"/>
  <c r="S15" i="9"/>
  <c r="R424" i="9"/>
  <c r="R420" i="9"/>
  <c r="R379" i="9"/>
  <c r="R375" i="9"/>
  <c r="R371" i="9"/>
  <c r="R363" i="9"/>
  <c r="R355" i="9"/>
  <c r="R351" i="9"/>
  <c r="R341" i="9"/>
  <c r="R329" i="9"/>
  <c r="R321" i="9"/>
  <c r="R309" i="9"/>
  <c r="R276" i="9"/>
  <c r="R268" i="9"/>
  <c r="R241" i="9"/>
  <c r="R233" i="9"/>
  <c r="R213" i="9"/>
  <c r="S213" i="9"/>
  <c r="R184" i="9"/>
  <c r="S184" i="9"/>
  <c r="R176" i="9"/>
  <c r="S176" i="9"/>
  <c r="R168" i="9"/>
  <c r="S168" i="9"/>
  <c r="R160" i="9"/>
  <c r="S160" i="9"/>
  <c r="R139" i="9"/>
  <c r="S139" i="9"/>
  <c r="R135" i="9"/>
  <c r="S135" i="9"/>
  <c r="R131" i="9"/>
  <c r="S131" i="9"/>
  <c r="R115" i="9"/>
  <c r="S115" i="9"/>
  <c r="R105" i="9"/>
  <c r="S105" i="9"/>
  <c r="R93" i="9"/>
  <c r="S93" i="9"/>
  <c r="R81" i="9"/>
  <c r="S81" i="9"/>
  <c r="R58" i="9"/>
  <c r="S58" i="9"/>
  <c r="R38" i="9"/>
  <c r="S38" i="9"/>
  <c r="R26" i="9"/>
  <c r="S26" i="9"/>
  <c r="R546" i="9"/>
  <c r="R500" i="9"/>
  <c r="R496" i="9"/>
  <c r="R492" i="9"/>
  <c r="R488" i="9"/>
  <c r="R480" i="9"/>
  <c r="R476" i="9"/>
  <c r="R468" i="9"/>
  <c r="R460" i="9"/>
  <c r="R456" i="9"/>
  <c r="R447" i="9"/>
  <c r="R441" i="9"/>
  <c r="R423" i="9"/>
  <c r="R419" i="9"/>
  <c r="R397" i="9"/>
  <c r="R389" i="9"/>
  <c r="R224" i="9"/>
  <c r="R208" i="9"/>
  <c r="S208" i="9"/>
  <c r="R204" i="9"/>
  <c r="S204" i="9"/>
  <c r="R199" i="9"/>
  <c r="S199" i="9"/>
  <c r="R191" i="9"/>
  <c r="S191" i="9"/>
  <c r="R167" i="9"/>
  <c r="S167" i="9"/>
  <c r="R159" i="9"/>
  <c r="S159" i="9"/>
  <c r="R138" i="9"/>
  <c r="S138" i="9"/>
  <c r="R130" i="9"/>
  <c r="S130" i="9"/>
  <c r="R122" i="9"/>
  <c r="S122" i="9"/>
  <c r="R100" i="9"/>
  <c r="S100" i="9"/>
  <c r="R96" i="9"/>
  <c r="S96" i="9"/>
  <c r="R88" i="9"/>
  <c r="S88" i="9"/>
  <c r="R72" i="9"/>
  <c r="S72" i="9"/>
  <c r="R65" i="9"/>
  <c r="S65" i="9"/>
  <c r="J172" i="11" s="1"/>
  <c r="R61" i="9"/>
  <c r="S61" i="9"/>
  <c r="R57" i="9"/>
  <c r="S57" i="9"/>
  <c r="R53" i="9"/>
  <c r="S53" i="9"/>
  <c r="R29" i="9"/>
  <c r="S29" i="9"/>
  <c r="R572" i="9"/>
  <c r="R568" i="9"/>
  <c r="R556" i="9"/>
  <c r="R508" i="9"/>
  <c r="R503" i="9"/>
  <c r="R495" i="9"/>
  <c r="R483" i="9"/>
  <c r="R475" i="9"/>
  <c r="R471" i="9"/>
  <c r="R450" i="9"/>
  <c r="R440" i="9"/>
  <c r="R400" i="9"/>
  <c r="R392" i="9"/>
  <c r="R384" i="9"/>
  <c r="R381" i="9"/>
  <c r="R373" i="9"/>
  <c r="R357" i="9"/>
  <c r="R347" i="9"/>
  <c r="R339" i="9"/>
  <c r="R331" i="9"/>
  <c r="R323" i="9"/>
  <c r="R315" i="9"/>
  <c r="R307" i="9"/>
  <c r="R299" i="9"/>
  <c r="R283" i="9"/>
  <c r="R274" i="9"/>
  <c r="R266" i="9"/>
  <c r="R248" i="9"/>
  <c r="R239" i="9"/>
  <c r="R231" i="9"/>
  <c r="E67" i="11"/>
  <c r="G67" i="11"/>
  <c r="M67" i="11"/>
  <c r="I67" i="11"/>
  <c r="N67" i="11"/>
  <c r="O67" i="11" s="1"/>
  <c r="K67" i="11"/>
  <c r="J98" i="11"/>
  <c r="E63" i="11"/>
  <c r="N63" i="11"/>
  <c r="O63" i="11" s="1"/>
  <c r="M63" i="11"/>
  <c r="G63" i="11"/>
  <c r="K63" i="11"/>
  <c r="I63" i="11"/>
  <c r="H98" i="11"/>
  <c r="N145" i="11"/>
  <c r="O145" i="11" s="1"/>
  <c r="F98" i="11"/>
  <c r="L98" i="11"/>
  <c r="L126" i="11"/>
  <c r="J126" i="11"/>
  <c r="H126" i="11"/>
  <c r="F126" i="11"/>
  <c r="K59" i="11"/>
  <c r="N59" i="11"/>
  <c r="O59" i="11" s="1"/>
  <c r="M59" i="11"/>
  <c r="I59" i="11"/>
  <c r="G59" i="11"/>
  <c r="E59" i="11"/>
  <c r="E71" i="11"/>
  <c r="K71" i="11"/>
  <c r="G71" i="11"/>
  <c r="N71" i="11"/>
  <c r="O71" i="11" s="1"/>
  <c r="I71" i="11"/>
  <c r="M71" i="11"/>
  <c r="N43" i="11"/>
  <c r="R182" i="9"/>
  <c r="R301" i="9"/>
  <c r="R294" i="9"/>
  <c r="R228" i="9"/>
  <c r="R158" i="9"/>
  <c r="R142" i="9"/>
  <c r="R92" i="9"/>
  <c r="R89" i="9"/>
  <c r="R526" i="9"/>
  <c r="R50" i="9"/>
  <c r="R44" i="9"/>
  <c r="R107" i="8"/>
  <c r="R53" i="8"/>
  <c r="R50" i="8"/>
  <c r="R540" i="9"/>
  <c r="R494" i="9"/>
  <c r="R487" i="9"/>
  <c r="R330" i="9"/>
  <c r="R180" i="9"/>
  <c r="R253" i="9"/>
  <c r="R209" i="9"/>
  <c r="R156" i="9"/>
  <c r="R113" i="9"/>
  <c r="R110" i="9"/>
  <c r="R77" i="9"/>
  <c r="R22" i="9"/>
  <c r="R109" i="8"/>
  <c r="R23" i="8"/>
  <c r="R85" i="8"/>
  <c r="R78" i="8"/>
  <c r="R32" i="8"/>
  <c r="R545" i="9"/>
  <c r="R528" i="9"/>
  <c r="R505" i="9"/>
  <c r="R376" i="9"/>
  <c r="R269" i="9"/>
  <c r="R262" i="9"/>
  <c r="R212" i="9"/>
  <c r="R207" i="9"/>
  <c r="R200" i="9"/>
  <c r="R163" i="9"/>
  <c r="R79" i="9"/>
  <c r="R14" i="9"/>
  <c r="R101" i="8"/>
  <c r="R94" i="8"/>
  <c r="R69" i="8"/>
  <c r="R48" i="8"/>
  <c r="R41" i="8"/>
  <c r="R118" i="8"/>
  <c r="R115" i="8"/>
  <c r="R102" i="8"/>
  <c r="R90" i="8"/>
  <c r="R67" i="8"/>
  <c r="R46" i="8"/>
  <c r="R36" i="8"/>
  <c r="R16" i="8"/>
  <c r="R482" i="9"/>
  <c r="R458" i="9"/>
  <c r="R388" i="9"/>
  <c r="R364" i="9"/>
  <c r="R320" i="9"/>
  <c r="R318" i="9"/>
  <c r="R251" i="9"/>
  <c r="R174" i="9"/>
  <c r="R172" i="9"/>
  <c r="R123" i="9"/>
  <c r="R121" i="9"/>
  <c r="R119" i="9"/>
  <c r="R87" i="9"/>
  <c r="R42" i="9"/>
  <c r="R20" i="9"/>
  <c r="D48" i="10"/>
  <c r="R113" i="8"/>
  <c r="R106" i="8"/>
  <c r="R70" i="8"/>
  <c r="R65" i="8"/>
  <c r="R61" i="8"/>
  <c r="R58" i="8"/>
  <c r="R22" i="8"/>
  <c r="R502" i="9"/>
  <c r="R499" i="9"/>
  <c r="R473" i="9"/>
  <c r="R470" i="9"/>
  <c r="R452" i="9"/>
  <c r="R396" i="9"/>
  <c r="R312" i="9"/>
  <c r="R304" i="9"/>
  <c r="R286" i="9"/>
  <c r="R271" i="9"/>
  <c r="R221" i="9"/>
  <c r="R215" i="9"/>
  <c r="R152" i="9"/>
  <c r="R126" i="9"/>
  <c r="R30" i="9"/>
  <c r="R18" i="9"/>
  <c r="R558" i="9"/>
  <c r="R535" i="9"/>
  <c r="R438" i="9"/>
  <c r="R425" i="9"/>
  <c r="R386" i="9"/>
  <c r="R296" i="9"/>
  <c r="R245" i="9"/>
  <c r="R236" i="9"/>
  <c r="R195" i="9"/>
  <c r="R179" i="9"/>
  <c r="R137" i="9"/>
  <c r="R73" i="9"/>
  <c r="R97" i="8"/>
  <c r="R93" i="8"/>
  <c r="R83" i="8"/>
  <c r="R62" i="8"/>
  <c r="R60" i="8"/>
  <c r="R44" i="8"/>
  <c r="R12" i="8"/>
  <c r="R566" i="9"/>
  <c r="R490" i="9"/>
  <c r="R485" i="9"/>
  <c r="R477" i="9"/>
  <c r="R465" i="9"/>
  <c r="R280" i="9"/>
  <c r="R34" i="9"/>
  <c r="R117" i="8"/>
  <c r="R110" i="8"/>
  <c r="R99" i="8"/>
  <c r="R81" i="8"/>
  <c r="R77" i="8"/>
  <c r="R52" i="8"/>
  <c r="R45" i="8"/>
  <c r="R34" i="8"/>
  <c r="R354" i="9"/>
  <c r="R570" i="9"/>
  <c r="R356" i="9"/>
  <c r="R273" i="9"/>
  <c r="R76" i="9"/>
  <c r="R31" i="9"/>
  <c r="R459" i="9"/>
  <c r="R453" i="9"/>
  <c r="R439" i="9"/>
  <c r="R372" i="9"/>
  <c r="R337" i="9"/>
  <c r="R205" i="9"/>
  <c r="R127" i="9"/>
  <c r="R501" i="9"/>
  <c r="R489" i="9"/>
  <c r="R484" i="9"/>
  <c r="R479" i="9"/>
  <c r="R365" i="9"/>
  <c r="R342" i="9"/>
  <c r="R306" i="9"/>
  <c r="R238" i="9"/>
  <c r="R217" i="9"/>
  <c r="R171" i="9"/>
  <c r="R143" i="9"/>
  <c r="R101" i="9"/>
  <c r="R560" i="9"/>
  <c r="R491" i="9"/>
  <c r="R486" i="9"/>
  <c r="R474" i="9"/>
  <c r="R467" i="9"/>
  <c r="R454" i="9"/>
  <c r="R449" i="9"/>
  <c r="R442" i="9"/>
  <c r="R411" i="9"/>
  <c r="R359" i="9"/>
  <c r="R345" i="9"/>
  <c r="R291" i="9"/>
  <c r="R257" i="9"/>
  <c r="R192" i="9"/>
  <c r="R175" i="9"/>
  <c r="R164" i="9"/>
  <c r="R161" i="9"/>
  <c r="R150" i="9"/>
  <c r="R104" i="9"/>
  <c r="R62" i="9"/>
  <c r="R46" i="9"/>
  <c r="R41" i="9"/>
  <c r="R36" i="9"/>
  <c r="R21" i="9"/>
  <c r="R559" i="9"/>
  <c r="R506" i="9"/>
  <c r="R383" i="9"/>
  <c r="R317" i="9"/>
  <c r="R285" i="9"/>
  <c r="R250" i="9"/>
  <c r="R124" i="9"/>
  <c r="R97" i="9"/>
  <c r="R12" i="9"/>
  <c r="R472" i="9"/>
  <c r="R422" i="9"/>
  <c r="R564" i="9"/>
  <c r="R562" i="9"/>
  <c r="R530" i="9"/>
  <c r="R518" i="9"/>
  <c r="R504" i="9"/>
  <c r="R497" i="9"/>
  <c r="R469" i="9"/>
  <c r="R457" i="9"/>
  <c r="R451" i="9"/>
  <c r="R446" i="9"/>
  <c r="R437" i="9"/>
  <c r="R391" i="9"/>
  <c r="R338" i="9"/>
  <c r="R325" i="9"/>
  <c r="R293" i="9"/>
  <c r="R259" i="9"/>
  <c r="R196" i="9"/>
  <c r="R134" i="9"/>
  <c r="R111" i="9"/>
  <c r="R103" i="9"/>
  <c r="R90" i="9"/>
  <c r="R85" i="9"/>
  <c r="R71" i="9"/>
  <c r="R25" i="9"/>
  <c r="R550" i="9"/>
  <c r="R544" i="9"/>
  <c r="R520" i="9"/>
  <c r="R498" i="9"/>
  <c r="R493" i="9"/>
  <c r="R481" i="9"/>
  <c r="R466" i="9"/>
  <c r="R461" i="9"/>
  <c r="R448" i="9"/>
  <c r="R402" i="9"/>
  <c r="R362" i="9"/>
  <c r="R352" i="9"/>
  <c r="R336" i="9"/>
  <c r="R225" i="9"/>
  <c r="R223" i="9"/>
  <c r="R188" i="9"/>
  <c r="R169" i="9"/>
  <c r="R66" i="9"/>
  <c r="R54" i="9"/>
  <c r="R52" i="9"/>
  <c r="R33" i="9"/>
  <c r="R394" i="9"/>
  <c r="R370" i="9"/>
  <c r="R328" i="9"/>
  <c r="R37" i="9"/>
  <c r="R23" i="9"/>
  <c r="L163" i="11"/>
  <c r="R121" i="8"/>
  <c r="R105" i="8"/>
  <c r="R89" i="8"/>
  <c r="R73" i="8"/>
  <c r="R56" i="8"/>
  <c r="R40" i="8"/>
  <c r="R15" i="8"/>
  <c r="D18" i="10"/>
  <c r="D33" i="11"/>
  <c r="H33" i="11"/>
  <c r="L33" i="11"/>
  <c r="F33" i="11"/>
  <c r="J33" i="11"/>
  <c r="F31" i="11"/>
  <c r="L31" i="11"/>
  <c r="H31" i="11"/>
  <c r="D31" i="11"/>
  <c r="J31" i="11"/>
  <c r="J137" i="11"/>
  <c r="K137" i="11" s="1"/>
  <c r="D137" i="11"/>
  <c r="E137" i="11" s="1"/>
  <c r="L137" i="11"/>
  <c r="M137" i="11" s="1"/>
  <c r="F137" i="11"/>
  <c r="G137" i="11" s="1"/>
  <c r="H137" i="11"/>
  <c r="I137" i="11" s="1"/>
  <c r="J133" i="11"/>
  <c r="K133" i="11" s="1"/>
  <c r="D133" i="11"/>
  <c r="L133" i="11"/>
  <c r="F133" i="11"/>
  <c r="G133" i="11" s="1"/>
  <c r="H133" i="11"/>
  <c r="I133" i="11" s="1"/>
  <c r="H132" i="11"/>
  <c r="J132" i="11"/>
  <c r="D132" i="11"/>
  <c r="F132" i="11"/>
  <c r="R120" i="8"/>
  <c r="R116" i="8"/>
  <c r="R112" i="8"/>
  <c r="R108" i="8"/>
  <c r="R104" i="8"/>
  <c r="R100" i="8"/>
  <c r="R96" i="8"/>
  <c r="R92" i="8"/>
  <c r="R88" i="8"/>
  <c r="R84" i="8"/>
  <c r="R80" i="8"/>
  <c r="R76" i="8"/>
  <c r="R72" i="8"/>
  <c r="R68" i="8"/>
  <c r="R63" i="8"/>
  <c r="R59" i="8"/>
  <c r="R55" i="8"/>
  <c r="R51" i="8"/>
  <c r="R47" i="8"/>
  <c r="R43" i="8"/>
  <c r="R39" i="8"/>
  <c r="R35" i="8"/>
  <c r="R24" i="8"/>
  <c r="R14" i="8"/>
  <c r="R569" i="9"/>
  <c r="R565" i="9"/>
  <c r="R561" i="9"/>
  <c r="R557" i="9"/>
  <c r="R551" i="9"/>
  <c r="R543" i="9"/>
  <c r="R517" i="9"/>
  <c r="R421" i="9"/>
  <c r="R418" i="9"/>
  <c r="R399" i="9"/>
  <c r="R393" i="9"/>
  <c r="R382" i="9"/>
  <c r="R378" i="9"/>
  <c r="R367" i="9"/>
  <c r="R361" i="9"/>
  <c r="R348" i="9"/>
  <c r="R344" i="9"/>
  <c r="R333" i="9"/>
  <c r="R327" i="9"/>
  <c r="R316" i="9"/>
  <c r="R308" i="9"/>
  <c r="R300" i="9"/>
  <c r="R292" i="9"/>
  <c r="R284" i="9"/>
  <c r="R275" i="9"/>
  <c r="R267" i="9"/>
  <c r="R258" i="9"/>
  <c r="R249" i="9"/>
  <c r="R240" i="9"/>
  <c r="R232" i="9"/>
  <c r="R219" i="9"/>
  <c r="R210" i="9"/>
  <c r="R206" i="9"/>
  <c r="R197" i="9"/>
  <c r="R183" i="9"/>
  <c r="R154" i="9"/>
  <c r="R140" i="9"/>
  <c r="R136" i="9"/>
  <c r="R128" i="9"/>
  <c r="R114" i="9"/>
  <c r="R83" i="9"/>
  <c r="R74" i="9"/>
  <c r="R67" i="9"/>
  <c r="R59" i="9"/>
  <c r="R45" i="9"/>
  <c r="R16" i="9"/>
  <c r="H28" i="11"/>
  <c r="J28" i="11"/>
  <c r="F28" i="11"/>
  <c r="L28" i="11"/>
  <c r="L26" i="11"/>
  <c r="F26" i="11"/>
  <c r="H26" i="11"/>
  <c r="J26" i="11"/>
  <c r="D8" i="11"/>
  <c r="H8" i="11"/>
  <c r="L8" i="11"/>
  <c r="F8" i="11"/>
  <c r="J8" i="11"/>
  <c r="H24" i="11"/>
  <c r="L24" i="11"/>
  <c r="F24" i="11"/>
  <c r="J24" i="11"/>
  <c r="J49" i="11"/>
  <c r="D49" i="11"/>
  <c r="L49" i="11"/>
  <c r="L50" i="11" s="1"/>
  <c r="F49" i="11"/>
  <c r="H49" i="11"/>
  <c r="F157" i="11"/>
  <c r="H157" i="11"/>
  <c r="J157" i="11"/>
  <c r="D157" i="11"/>
  <c r="L157" i="11"/>
  <c r="R385" i="9"/>
  <c r="R374" i="9"/>
  <c r="R353" i="9"/>
  <c r="R340" i="9"/>
  <c r="R319" i="9"/>
  <c r="R311" i="9"/>
  <c r="R303" i="9"/>
  <c r="R295" i="9"/>
  <c r="R287" i="9"/>
  <c r="R278" i="9"/>
  <c r="R270" i="9"/>
  <c r="R261" i="9"/>
  <c r="R252" i="9"/>
  <c r="R243" i="9"/>
  <c r="R235" i="9"/>
  <c r="R227" i="9"/>
  <c r="R187" i="9"/>
  <c r="R166" i="9"/>
  <c r="R162" i="9"/>
  <c r="R118" i="9"/>
  <c r="R95" i="9"/>
  <c r="R91" i="9"/>
  <c r="R49" i="9"/>
  <c r="R28" i="9"/>
  <c r="R24" i="9"/>
  <c r="J29" i="11"/>
  <c r="F29" i="11"/>
  <c r="L29" i="11"/>
  <c r="H29" i="11"/>
  <c r="H32" i="11"/>
  <c r="D32" i="11"/>
  <c r="J32" i="11"/>
  <c r="F32" i="11"/>
  <c r="L32" i="11"/>
  <c r="F30" i="11"/>
  <c r="L30" i="11"/>
  <c r="H30" i="11"/>
  <c r="D30" i="11"/>
  <c r="J30" i="11"/>
  <c r="L27" i="11"/>
  <c r="F27" i="11"/>
  <c r="H27" i="11"/>
  <c r="J27" i="11"/>
  <c r="G135" i="11"/>
  <c r="I135" i="11"/>
  <c r="K135" i="11"/>
  <c r="M135" i="11"/>
  <c r="R398" i="9"/>
  <c r="R377" i="9"/>
  <c r="R366" i="9"/>
  <c r="R343" i="9"/>
  <c r="R332" i="9"/>
  <c r="R313" i="9"/>
  <c r="R305" i="9"/>
  <c r="R297" i="9"/>
  <c r="R289" i="9"/>
  <c r="R281" i="9"/>
  <c r="R272" i="9"/>
  <c r="R263" i="9"/>
  <c r="R255" i="9"/>
  <c r="R246" i="9"/>
  <c r="R237" i="9"/>
  <c r="R229" i="9"/>
  <c r="R216" i="9"/>
  <c r="R186" i="9"/>
  <c r="R177" i="9"/>
  <c r="R173" i="9"/>
  <c r="R165" i="9"/>
  <c r="R151" i="9"/>
  <c r="R117" i="9"/>
  <c r="R106" i="9"/>
  <c r="R102" i="9"/>
  <c r="R94" i="9"/>
  <c r="R80" i="9"/>
  <c r="R48" i="9"/>
  <c r="R39" i="9"/>
  <c r="R35" i="9"/>
  <c r="R27" i="9"/>
  <c r="R13" i="9"/>
  <c r="F25" i="11"/>
  <c r="J25" i="11"/>
  <c r="L25" i="11"/>
  <c r="H25" i="11"/>
  <c r="R401" i="9"/>
  <c r="R390" i="9"/>
  <c r="R369" i="9"/>
  <c r="R358" i="9"/>
  <c r="R335" i="9"/>
  <c r="R324" i="9"/>
  <c r="R220" i="9"/>
  <c r="R198" i="9"/>
  <c r="R194" i="9"/>
  <c r="R155" i="9"/>
  <c r="R129" i="9"/>
  <c r="R125" i="9"/>
  <c r="R84" i="9"/>
  <c r="R60" i="9"/>
  <c r="R56" i="9"/>
  <c r="R17" i="9"/>
  <c r="R214" i="9"/>
  <c r="R203" i="9"/>
  <c r="R181" i="9"/>
  <c r="R170" i="9"/>
  <c r="R133" i="9"/>
  <c r="R112" i="9"/>
  <c r="R99" i="9"/>
  <c r="R78" i="9"/>
  <c r="R64" i="9"/>
  <c r="R43" i="9"/>
  <c r="R32" i="9"/>
  <c r="R222" i="9"/>
  <c r="R211" i="9"/>
  <c r="R189" i="9"/>
  <c r="R178" i="9"/>
  <c r="R157" i="9"/>
  <c r="R141" i="9"/>
  <c r="R120" i="9"/>
  <c r="R108" i="9"/>
  <c r="R86" i="9"/>
  <c r="R75" i="9"/>
  <c r="R51" i="9"/>
  <c r="R40" i="9"/>
  <c r="R19" i="9"/>
  <c r="G82" i="11"/>
  <c r="B48" i="11"/>
  <c r="B44" i="11"/>
  <c r="E44" i="11" s="1"/>
  <c r="B39" i="11"/>
  <c r="B33" i="11"/>
  <c r="B29" i="11"/>
  <c r="B25" i="11"/>
  <c r="B163" i="11"/>
  <c r="B159" i="11"/>
  <c r="B155" i="11"/>
  <c r="D117" i="10"/>
  <c r="B206" i="11" s="1"/>
  <c r="G81" i="11"/>
  <c r="D30" i="10"/>
  <c r="B200" i="11" s="1"/>
  <c r="B47" i="11"/>
  <c r="I47" i="11" s="1"/>
  <c r="B42" i="11"/>
  <c r="B32" i="11"/>
  <c r="B28" i="11"/>
  <c r="B24" i="11"/>
  <c r="B162" i="11"/>
  <c r="B158" i="11"/>
  <c r="B156" i="11"/>
  <c r="B80" i="11"/>
  <c r="B46" i="11"/>
  <c r="N46" i="11" s="1"/>
  <c r="B41" i="11"/>
  <c r="B31" i="11"/>
  <c r="B27" i="11"/>
  <c r="B161" i="11"/>
  <c r="B157" i="11"/>
  <c r="D68" i="10"/>
  <c r="B202" i="11" s="1"/>
  <c r="B79" i="11"/>
  <c r="K79" i="11" s="1"/>
  <c r="B49" i="11"/>
  <c r="B45" i="11"/>
  <c r="B40" i="11"/>
  <c r="B30" i="11"/>
  <c r="B26" i="11"/>
  <c r="B164" i="11"/>
  <c r="B160" i="11"/>
  <c r="G89" i="11"/>
  <c r="R17" i="7"/>
  <c r="R11" i="7"/>
  <c r="B122" i="11"/>
  <c r="B118" i="11"/>
  <c r="B114" i="11"/>
  <c r="N114" i="11" s="1"/>
  <c r="B110" i="11"/>
  <c r="B106" i="11"/>
  <c r="B193" i="11"/>
  <c r="B189" i="11"/>
  <c r="B185" i="11"/>
  <c r="B181" i="11"/>
  <c r="B177" i="11"/>
  <c r="B173" i="11"/>
  <c r="D141" i="10"/>
  <c r="B207" i="11" s="1"/>
  <c r="B125" i="11"/>
  <c r="N125" i="11" s="1"/>
  <c r="B121" i="11"/>
  <c r="B117" i="11"/>
  <c r="B113" i="11"/>
  <c r="N113" i="11" s="1"/>
  <c r="B109" i="11"/>
  <c r="N109" i="11" s="1"/>
  <c r="B105" i="11"/>
  <c r="B192" i="11"/>
  <c r="B188" i="11"/>
  <c r="B184" i="11"/>
  <c r="B180" i="11"/>
  <c r="B176" i="11"/>
  <c r="B172" i="11"/>
  <c r="D126" i="11"/>
  <c r="B120" i="11"/>
  <c r="B116" i="11"/>
  <c r="N116" i="11" s="1"/>
  <c r="B112" i="11"/>
  <c r="B108" i="11"/>
  <c r="B104" i="11"/>
  <c r="B191" i="11"/>
  <c r="B187" i="11"/>
  <c r="B183" i="11"/>
  <c r="B179" i="11"/>
  <c r="B175" i="11"/>
  <c r="B124" i="11"/>
  <c r="N124" i="11" s="1"/>
  <c r="D92" i="10"/>
  <c r="B203" i="11" s="1"/>
  <c r="B123" i="11"/>
  <c r="B119" i="11"/>
  <c r="N119" i="11" s="1"/>
  <c r="B115" i="11"/>
  <c r="B111" i="11"/>
  <c r="B107" i="11"/>
  <c r="B103" i="11"/>
  <c r="I103" i="11" s="1"/>
  <c r="B190" i="11"/>
  <c r="B186" i="11"/>
  <c r="B182" i="11"/>
  <c r="B178" i="11"/>
  <c r="B174" i="11"/>
  <c r="B147" i="11"/>
  <c r="M145" i="11"/>
  <c r="E145" i="11"/>
  <c r="B143" i="11"/>
  <c r="D106" i="10"/>
  <c r="B205" i="11" s="1"/>
  <c r="B146" i="11"/>
  <c r="K145" i="11"/>
  <c r="I145" i="11"/>
  <c r="B148" i="11"/>
  <c r="G145" i="11"/>
  <c r="B144" i="11"/>
  <c r="B69" i="11"/>
  <c r="B65" i="11"/>
  <c r="B61" i="11"/>
  <c r="B57" i="11"/>
  <c r="R14" i="7"/>
  <c r="B134" i="11"/>
  <c r="D99" i="10"/>
  <c r="B204" i="11" s="1"/>
  <c r="B136" i="11"/>
  <c r="D12" i="11"/>
  <c r="H12" i="11"/>
  <c r="L12" i="11"/>
  <c r="F12" i="11"/>
  <c r="J12" i="11"/>
  <c r="D9" i="11"/>
  <c r="H9" i="11"/>
  <c r="L9" i="11"/>
  <c r="F9" i="11"/>
  <c r="J9" i="11"/>
  <c r="B72" i="11"/>
  <c r="B70" i="11"/>
  <c r="B68" i="11"/>
  <c r="B66" i="11"/>
  <c r="B64" i="11"/>
  <c r="B62" i="11"/>
  <c r="B60" i="11"/>
  <c r="B58" i="11"/>
  <c r="B56" i="11"/>
  <c r="L182" i="11" l="1"/>
  <c r="M182" i="11" s="1"/>
  <c r="F174" i="11"/>
  <c r="H171" i="11"/>
  <c r="I171" i="11" s="1"/>
  <c r="F208" i="11"/>
  <c r="B10" i="11"/>
  <c r="B201" i="11"/>
  <c r="B8" i="11"/>
  <c r="N8" i="11" s="1"/>
  <c r="O8" i="11" s="1"/>
  <c r="B199" i="11"/>
  <c r="M133" i="11"/>
  <c r="L138" i="11"/>
  <c r="J171" i="11"/>
  <c r="K171" i="11" s="1"/>
  <c r="F186" i="11"/>
  <c r="G186" i="11" s="1"/>
  <c r="F187" i="11"/>
  <c r="G187" i="11" s="1"/>
  <c r="F182" i="11"/>
  <c r="G182" i="11" s="1"/>
  <c r="D182" i="11"/>
  <c r="E182" i="11" s="1"/>
  <c r="F164" i="11"/>
  <c r="L164" i="11"/>
  <c r="M164" i="11" s="1"/>
  <c r="H164" i="11"/>
  <c r="I164" i="11" s="1"/>
  <c r="J164" i="11"/>
  <c r="H156" i="11"/>
  <c r="D164" i="11"/>
  <c r="E164" i="11" s="1"/>
  <c r="H163" i="11"/>
  <c r="I163" i="11" s="1"/>
  <c r="J163" i="11"/>
  <c r="D163" i="11"/>
  <c r="F163" i="11"/>
  <c r="G163" i="11" s="1"/>
  <c r="L162" i="11"/>
  <c r="M162" i="11" s="1"/>
  <c r="D162" i="11"/>
  <c r="J162" i="11"/>
  <c r="K162" i="11" s="1"/>
  <c r="H162" i="11"/>
  <c r="I162" i="11" s="1"/>
  <c r="F162" i="11"/>
  <c r="G162" i="11" s="1"/>
  <c r="L156" i="11"/>
  <c r="M156" i="11" s="1"/>
  <c r="J156" i="11"/>
  <c r="D156" i="11"/>
  <c r="E156" i="11" s="1"/>
  <c r="F156" i="11"/>
  <c r="G156" i="11" s="1"/>
  <c r="D143" i="11"/>
  <c r="H143" i="11"/>
  <c r="J143" i="11"/>
  <c r="D14" i="11"/>
  <c r="F143" i="11"/>
  <c r="L143" i="11"/>
  <c r="N122" i="11"/>
  <c r="O122" i="11" s="1"/>
  <c r="M122" i="11"/>
  <c r="H182" i="11"/>
  <c r="I182" i="11" s="1"/>
  <c r="J182" i="11"/>
  <c r="K182" i="11" s="1"/>
  <c r="D172" i="11"/>
  <c r="E172" i="11" s="1"/>
  <c r="H174" i="11"/>
  <c r="I174" i="11" s="1"/>
  <c r="H186" i="11"/>
  <c r="I186" i="11" s="1"/>
  <c r="H184" i="11"/>
  <c r="I184" i="11" s="1"/>
  <c r="J174" i="11"/>
  <c r="L184" i="11"/>
  <c r="M184" i="11" s="1"/>
  <c r="L171" i="11"/>
  <c r="M171" i="11" s="1"/>
  <c r="D186" i="11"/>
  <c r="E186" i="11" s="1"/>
  <c r="F189" i="11"/>
  <c r="G189" i="11" s="1"/>
  <c r="H189" i="11"/>
  <c r="I189" i="11" s="1"/>
  <c r="J189" i="11"/>
  <c r="K189" i="11" s="1"/>
  <c r="D189" i="11"/>
  <c r="E189" i="11" s="1"/>
  <c r="L189" i="11"/>
  <c r="M189" i="11" s="1"/>
  <c r="D171" i="11"/>
  <c r="E171" i="11" s="1"/>
  <c r="L175" i="11"/>
  <c r="M175" i="11" s="1"/>
  <c r="J186" i="11"/>
  <c r="K186" i="11" s="1"/>
  <c r="L186" i="11"/>
  <c r="M186" i="11" s="1"/>
  <c r="J184" i="11"/>
  <c r="K184" i="11" s="1"/>
  <c r="F171" i="11"/>
  <c r="G171" i="11" s="1"/>
  <c r="F175" i="11"/>
  <c r="G175" i="11" s="1"/>
  <c r="H175" i="11"/>
  <c r="I175" i="11" s="1"/>
  <c r="J175" i="11"/>
  <c r="K175" i="11" s="1"/>
  <c r="D190" i="11"/>
  <c r="E190" i="11" s="1"/>
  <c r="L190" i="11"/>
  <c r="M190" i="11" s="1"/>
  <c r="F190" i="11"/>
  <c r="G190" i="11" s="1"/>
  <c r="H190" i="11"/>
  <c r="I190" i="11" s="1"/>
  <c r="J190" i="11"/>
  <c r="K190" i="11" s="1"/>
  <c r="H193" i="11"/>
  <c r="I193" i="11" s="1"/>
  <c r="J193" i="11"/>
  <c r="K193" i="11" s="1"/>
  <c r="D193" i="11"/>
  <c r="E193" i="11" s="1"/>
  <c r="L193" i="11"/>
  <c r="M193" i="11" s="1"/>
  <c r="F193" i="11"/>
  <c r="G193" i="11" s="1"/>
  <c r="L174" i="11"/>
  <c r="M174" i="11" s="1"/>
  <c r="J191" i="11"/>
  <c r="K191" i="11" s="1"/>
  <c r="D191" i="11"/>
  <c r="E191" i="11" s="1"/>
  <c r="L191" i="11"/>
  <c r="M191" i="11" s="1"/>
  <c r="F191" i="11"/>
  <c r="G191" i="11" s="1"/>
  <c r="H191" i="11"/>
  <c r="I191" i="11" s="1"/>
  <c r="D184" i="11"/>
  <c r="E184" i="11" s="1"/>
  <c r="F184" i="11"/>
  <c r="G184" i="11" s="1"/>
  <c r="D174" i="11"/>
  <c r="E174" i="11" s="1"/>
  <c r="K82" i="11"/>
  <c r="H50" i="11"/>
  <c r="J155" i="11"/>
  <c r="K155" i="11" s="1"/>
  <c r="N91" i="11"/>
  <c r="O91" i="11" s="1"/>
  <c r="O46" i="11"/>
  <c r="N92" i="11"/>
  <c r="O92" i="11" s="1"/>
  <c r="N93" i="11"/>
  <c r="O93" i="11" s="1"/>
  <c r="N87" i="11"/>
  <c r="O87" i="11" s="1"/>
  <c r="M61" i="11"/>
  <c r="G61" i="11"/>
  <c r="E61" i="11"/>
  <c r="N61" i="11"/>
  <c r="O61" i="11" s="1"/>
  <c r="K61" i="11"/>
  <c r="I61" i="11"/>
  <c r="I93" i="11"/>
  <c r="N80" i="11"/>
  <c r="O80" i="11" s="1"/>
  <c r="N96" i="11"/>
  <c r="O96" i="11" s="1"/>
  <c r="E81" i="11"/>
  <c r="N81" i="11"/>
  <c r="O81" i="11" s="1"/>
  <c r="N90" i="11"/>
  <c r="O90" i="11" s="1"/>
  <c r="N108" i="11"/>
  <c r="O108" i="11" s="1"/>
  <c r="F172" i="11"/>
  <c r="G172" i="11" s="1"/>
  <c r="E66" i="11"/>
  <c r="K66" i="11"/>
  <c r="G66" i="11"/>
  <c r="M66" i="11"/>
  <c r="I66" i="11"/>
  <c r="N66" i="11"/>
  <c r="O66" i="11" s="1"/>
  <c r="N148" i="11"/>
  <c r="O148" i="11" s="1"/>
  <c r="N147" i="11"/>
  <c r="O147" i="11" s="1"/>
  <c r="O113" i="11"/>
  <c r="M90" i="11"/>
  <c r="N84" i="11"/>
  <c r="O84" i="11" s="1"/>
  <c r="E85" i="11"/>
  <c r="N85" i="11"/>
  <c r="O85" i="11" s="1"/>
  <c r="N95" i="11"/>
  <c r="O95" i="11" s="1"/>
  <c r="N86" i="11"/>
  <c r="O86" i="11" s="1"/>
  <c r="N94" i="11"/>
  <c r="O94" i="11" s="1"/>
  <c r="N42" i="11"/>
  <c r="O42" i="11" s="1"/>
  <c r="N44" i="11"/>
  <c r="O44" i="11" s="1"/>
  <c r="E60" i="11"/>
  <c r="K60" i="11"/>
  <c r="G60" i="11"/>
  <c r="M60" i="11"/>
  <c r="I60" i="11"/>
  <c r="N60" i="11"/>
  <c r="O60" i="11" s="1"/>
  <c r="E62" i="11"/>
  <c r="I62" i="11"/>
  <c r="K62" i="11"/>
  <c r="N62" i="11"/>
  <c r="O62" i="11" s="1"/>
  <c r="G62" i="11"/>
  <c r="M62" i="11"/>
  <c r="O119" i="11"/>
  <c r="G93" i="11"/>
  <c r="K88" i="11"/>
  <c r="N88" i="11"/>
  <c r="O88" i="11" s="1"/>
  <c r="G97" i="11"/>
  <c r="N97" i="11"/>
  <c r="O97" i="11" s="1"/>
  <c r="N89" i="11"/>
  <c r="O89" i="11" s="1"/>
  <c r="N82" i="11"/>
  <c r="O82" i="11" s="1"/>
  <c r="N45" i="11"/>
  <c r="O45" i="11" s="1"/>
  <c r="N47" i="11"/>
  <c r="O47" i="11" s="1"/>
  <c r="N120" i="11"/>
  <c r="O120" i="11" s="1"/>
  <c r="N105" i="11"/>
  <c r="O105" i="11" s="1"/>
  <c r="N118" i="11"/>
  <c r="O118" i="11" s="1"/>
  <c r="N83" i="11"/>
  <c r="O83" i="11" s="1"/>
  <c r="H172" i="11"/>
  <c r="I172" i="11" s="1"/>
  <c r="K158" i="11"/>
  <c r="N158" i="11"/>
  <c r="O158" i="11" s="1"/>
  <c r="N157" i="11"/>
  <c r="O157" i="11" s="1"/>
  <c r="N135" i="11"/>
  <c r="O135" i="11" s="1"/>
  <c r="J138" i="11"/>
  <c r="N136" i="11"/>
  <c r="O136" i="11" s="1"/>
  <c r="F138" i="11"/>
  <c r="H138" i="11"/>
  <c r="E133" i="11"/>
  <c r="N133" i="11"/>
  <c r="O133" i="11" s="1"/>
  <c r="N137" i="11"/>
  <c r="O137" i="11" s="1"/>
  <c r="N134" i="11"/>
  <c r="O134" i="11" s="1"/>
  <c r="N132" i="11"/>
  <c r="O132" i="11" s="1"/>
  <c r="O125" i="11"/>
  <c r="O116" i="11"/>
  <c r="O114" i="11"/>
  <c r="N117" i="11"/>
  <c r="O117" i="11" s="1"/>
  <c r="N111" i="11"/>
  <c r="O111" i="11" s="1"/>
  <c r="O109" i="11"/>
  <c r="N106" i="11"/>
  <c r="O106" i="11" s="1"/>
  <c r="N107" i="11"/>
  <c r="O107" i="11" s="1"/>
  <c r="N123" i="11"/>
  <c r="O123" i="11" s="1"/>
  <c r="N104" i="11"/>
  <c r="O104" i="11" s="1"/>
  <c r="N121" i="11"/>
  <c r="O121" i="11" s="1"/>
  <c r="N115" i="11"/>
  <c r="O124" i="11"/>
  <c r="N112" i="11"/>
  <c r="O112" i="11" s="1"/>
  <c r="N110" i="11"/>
  <c r="O110" i="11" s="1"/>
  <c r="M68" i="11"/>
  <c r="I68" i="11"/>
  <c r="N68" i="11"/>
  <c r="O68" i="11" s="1"/>
  <c r="E68" i="11"/>
  <c r="G68" i="11"/>
  <c r="K68" i="11"/>
  <c r="E65" i="11"/>
  <c r="I65" i="11"/>
  <c r="G65" i="11"/>
  <c r="K65" i="11"/>
  <c r="M65" i="11"/>
  <c r="N65" i="11"/>
  <c r="O65" i="11" s="1"/>
  <c r="G70" i="11"/>
  <c r="M70" i="11"/>
  <c r="I70" i="11"/>
  <c r="E70" i="11"/>
  <c r="N70" i="11"/>
  <c r="O70" i="11" s="1"/>
  <c r="K70" i="11"/>
  <c r="M69" i="11"/>
  <c r="E69" i="11"/>
  <c r="I69" i="11"/>
  <c r="K69" i="11"/>
  <c r="G69" i="11"/>
  <c r="N69" i="11"/>
  <c r="O69" i="11" s="1"/>
  <c r="K56" i="11"/>
  <c r="N56" i="11"/>
  <c r="M56" i="11"/>
  <c r="I56" i="11"/>
  <c r="G56" i="11"/>
  <c r="E56" i="11"/>
  <c r="E64" i="11"/>
  <c r="N64" i="11"/>
  <c r="O64" i="11" s="1"/>
  <c r="G64" i="11"/>
  <c r="K64" i="11"/>
  <c r="I64" i="11"/>
  <c r="M64" i="11"/>
  <c r="E72" i="11"/>
  <c r="N72" i="11"/>
  <c r="O72" i="11" s="1"/>
  <c r="G72" i="11"/>
  <c r="K72" i="11"/>
  <c r="M72" i="11"/>
  <c r="I72" i="11"/>
  <c r="M57" i="11"/>
  <c r="I57" i="11"/>
  <c r="G57" i="11"/>
  <c r="K57" i="11"/>
  <c r="N57" i="11"/>
  <c r="O57" i="11" s="1"/>
  <c r="E57" i="11"/>
  <c r="G58" i="11"/>
  <c r="K58" i="11"/>
  <c r="N58" i="11"/>
  <c r="O58" i="11" s="1"/>
  <c r="M58" i="11"/>
  <c r="I58" i="11"/>
  <c r="E58" i="11"/>
  <c r="F50" i="11"/>
  <c r="N49" i="11"/>
  <c r="O49" i="11" s="1"/>
  <c r="N40" i="11"/>
  <c r="O40" i="11" s="1"/>
  <c r="N48" i="11"/>
  <c r="K39" i="11"/>
  <c r="J50" i="11"/>
  <c r="N41" i="11"/>
  <c r="O41" i="11" s="1"/>
  <c r="N26" i="11"/>
  <c r="O26" i="11" s="1"/>
  <c r="N31" i="11"/>
  <c r="O31" i="11" s="1"/>
  <c r="N27" i="11"/>
  <c r="O27" i="11" s="1"/>
  <c r="J34" i="11"/>
  <c r="N25" i="11"/>
  <c r="O25" i="11" s="1"/>
  <c r="F34" i="11"/>
  <c r="N32" i="11"/>
  <c r="O32" i="11" s="1"/>
  <c r="N29" i="11"/>
  <c r="O29" i="11" s="1"/>
  <c r="L34" i="11"/>
  <c r="N28" i="11"/>
  <c r="O28" i="11" s="1"/>
  <c r="N30" i="11"/>
  <c r="O30" i="11" s="1"/>
  <c r="H34" i="11"/>
  <c r="N33" i="11"/>
  <c r="O33" i="11" s="1"/>
  <c r="I91" i="11"/>
  <c r="G90" i="11"/>
  <c r="M110" i="11"/>
  <c r="D161" i="11"/>
  <c r="E161" i="11" s="1"/>
  <c r="G122" i="11"/>
  <c r="D188" i="11"/>
  <c r="E188" i="11" s="1"/>
  <c r="J159" i="11"/>
  <c r="K159" i="11" s="1"/>
  <c r="F160" i="11"/>
  <c r="G160" i="11" s="1"/>
  <c r="F161" i="11"/>
  <c r="G161" i="11" s="1"/>
  <c r="I122" i="11"/>
  <c r="E122" i="11"/>
  <c r="J187" i="11"/>
  <c r="K187" i="11" s="1"/>
  <c r="D187" i="11"/>
  <c r="E187" i="11" s="1"/>
  <c r="J15" i="11"/>
  <c r="H160" i="11"/>
  <c r="I160" i="11" s="1"/>
  <c r="F155" i="11"/>
  <c r="G155" i="11" s="1"/>
  <c r="K121" i="11"/>
  <c r="K114" i="11"/>
  <c r="G106" i="11"/>
  <c r="G124" i="11"/>
  <c r="I107" i="11"/>
  <c r="J160" i="11"/>
  <c r="K160" i="11" s="1"/>
  <c r="H159" i="11"/>
  <c r="I159" i="11" s="1"/>
  <c r="E163" i="11"/>
  <c r="L155" i="11"/>
  <c r="M155" i="11" s="1"/>
  <c r="J161" i="11"/>
  <c r="K161" i="11" s="1"/>
  <c r="F159" i="11"/>
  <c r="G159" i="11" s="1"/>
  <c r="H161" i="11"/>
  <c r="I161" i="11" s="1"/>
  <c r="K163" i="11"/>
  <c r="D155" i="11"/>
  <c r="E155" i="11" s="1"/>
  <c r="M158" i="11"/>
  <c r="L161" i="11"/>
  <c r="M161" i="11" s="1"/>
  <c r="H155" i="11"/>
  <c r="M109" i="11"/>
  <c r="K116" i="11"/>
  <c r="M86" i="11"/>
  <c r="M87" i="11"/>
  <c r="G95" i="11"/>
  <c r="F15" i="11"/>
  <c r="H15" i="11"/>
  <c r="L160" i="11"/>
  <c r="M160" i="11" s="1"/>
  <c r="L15" i="11"/>
  <c r="D160" i="11"/>
  <c r="E160" i="11" s="1"/>
  <c r="D15" i="11"/>
  <c r="E132" i="11"/>
  <c r="K109" i="11"/>
  <c r="I117" i="11"/>
  <c r="E116" i="11"/>
  <c r="K125" i="11"/>
  <c r="E117" i="11"/>
  <c r="K117" i="11"/>
  <c r="I125" i="11"/>
  <c r="E79" i="11"/>
  <c r="K81" i="11"/>
  <c r="M89" i="11"/>
  <c r="M82" i="11"/>
  <c r="I82" i="11"/>
  <c r="I118" i="11"/>
  <c r="K164" i="11"/>
  <c r="L159" i="11"/>
  <c r="M159" i="11" s="1"/>
  <c r="I106" i="11"/>
  <c r="K118" i="11"/>
  <c r="K110" i="11"/>
  <c r="E106" i="11"/>
  <c r="G114" i="11"/>
  <c r="I25" i="11"/>
  <c r="L181" i="11"/>
  <c r="M181" i="11" s="1"/>
  <c r="I156" i="11"/>
  <c r="G164" i="11"/>
  <c r="D159" i="11"/>
  <c r="I114" i="11"/>
  <c r="G108" i="11"/>
  <c r="E118" i="11"/>
  <c r="E114" i="11"/>
  <c r="M81" i="11"/>
  <c r="K90" i="11"/>
  <c r="E82" i="11"/>
  <c r="E90" i="11"/>
  <c r="I81" i="11"/>
  <c r="K89" i="11"/>
  <c r="D185" i="11"/>
  <c r="E185" i="11" s="1"/>
  <c r="H188" i="11"/>
  <c r="I188" i="11" s="1"/>
  <c r="E104" i="11"/>
  <c r="G113" i="11"/>
  <c r="G125" i="11"/>
  <c r="E108" i="11"/>
  <c r="M117" i="11"/>
  <c r="E109" i="11"/>
  <c r="G117" i="11"/>
  <c r="G109" i="11"/>
  <c r="M108" i="11"/>
  <c r="I108" i="11"/>
  <c r="K108" i="11"/>
  <c r="E89" i="11"/>
  <c r="I89" i="11"/>
  <c r="I90" i="11"/>
  <c r="L16" i="11"/>
  <c r="J16" i="11"/>
  <c r="L188" i="11"/>
  <c r="M188" i="11" s="1"/>
  <c r="F188" i="11"/>
  <c r="G188" i="11" s="1"/>
  <c r="L187" i="11"/>
  <c r="M187" i="11" s="1"/>
  <c r="J188" i="11"/>
  <c r="K188" i="11" s="1"/>
  <c r="H187" i="11"/>
  <c r="I187" i="11" s="1"/>
  <c r="G112" i="11"/>
  <c r="E103" i="11"/>
  <c r="K107" i="11"/>
  <c r="I80" i="11"/>
  <c r="G92" i="11"/>
  <c r="M45" i="11"/>
  <c r="G46" i="11"/>
  <c r="M39" i="11"/>
  <c r="I45" i="11"/>
  <c r="G45" i="11"/>
  <c r="K45" i="11"/>
  <c r="G44" i="11"/>
  <c r="E45" i="11"/>
  <c r="K80" i="11"/>
  <c r="M88" i="11"/>
  <c r="E96" i="11"/>
  <c r="K84" i="11"/>
  <c r="M85" i="11"/>
  <c r="E83" i="11"/>
  <c r="G88" i="11"/>
  <c r="E84" i="11"/>
  <c r="E88" i="11"/>
  <c r="K97" i="11"/>
  <c r="G80" i="11"/>
  <c r="I96" i="11"/>
  <c r="D181" i="11"/>
  <c r="E181" i="11" s="1"/>
  <c r="F16" i="11"/>
  <c r="H183" i="11"/>
  <c r="I183" i="11" s="1"/>
  <c r="L185" i="11"/>
  <c r="M185" i="11" s="1"/>
  <c r="D180" i="11"/>
  <c r="E180" i="11" s="1"/>
  <c r="D138" i="11"/>
  <c r="E135" i="11"/>
  <c r="E123" i="11"/>
  <c r="I123" i="11"/>
  <c r="G103" i="11"/>
  <c r="M123" i="11"/>
  <c r="I109" i="11"/>
  <c r="M79" i="11"/>
  <c r="E80" i="11"/>
  <c r="M96" i="11"/>
  <c r="G96" i="11"/>
  <c r="K83" i="11"/>
  <c r="I92" i="11"/>
  <c r="E92" i="11"/>
  <c r="N79" i="11"/>
  <c r="O79" i="11" s="1"/>
  <c r="I79" i="11"/>
  <c r="K92" i="11"/>
  <c r="K96" i="11"/>
  <c r="M42" i="11"/>
  <c r="I42" i="11"/>
  <c r="G40" i="11"/>
  <c r="K40" i="11"/>
  <c r="E42" i="11"/>
  <c r="I41" i="11"/>
  <c r="M44" i="11"/>
  <c r="I44" i="11"/>
  <c r="K44" i="11"/>
  <c r="G42" i="11"/>
  <c r="M40" i="11"/>
  <c r="E41" i="11"/>
  <c r="K47" i="11"/>
  <c r="G41" i="11"/>
  <c r="K41" i="11"/>
  <c r="M41" i="11"/>
  <c r="G25" i="11"/>
  <c r="M97" i="11"/>
  <c r="G79" i="11"/>
  <c r="M83" i="11"/>
  <c r="G91" i="11"/>
  <c r="M84" i="11"/>
  <c r="E97" i="11"/>
  <c r="I97" i="11"/>
  <c r="I39" i="11"/>
  <c r="N103" i="11"/>
  <c r="G116" i="11"/>
  <c r="E121" i="11"/>
  <c r="M105" i="11"/>
  <c r="M118" i="11"/>
  <c r="G118" i="11"/>
  <c r="E107" i="11"/>
  <c r="G110" i="11"/>
  <c r="M116" i="11"/>
  <c r="M172" i="11"/>
  <c r="E47" i="11"/>
  <c r="I84" i="11"/>
  <c r="K87" i="11"/>
  <c r="E93" i="11"/>
  <c r="I46" i="11"/>
  <c r="I85" i="11"/>
  <c r="E94" i="11"/>
  <c r="K46" i="11"/>
  <c r="K85" i="11"/>
  <c r="E91" i="11"/>
  <c r="G94" i="11"/>
  <c r="E46" i="11"/>
  <c r="G84" i="11"/>
  <c r="I87" i="11"/>
  <c r="M92" i="11"/>
  <c r="B98" i="11"/>
  <c r="C79" i="11" s="1"/>
  <c r="B11" i="11"/>
  <c r="G158" i="11"/>
  <c r="I95" i="11"/>
  <c r="I158" i="11"/>
  <c r="B9" i="11"/>
  <c r="D142" i="10"/>
  <c r="J185" i="11"/>
  <c r="K185" i="11" s="1"/>
  <c r="E25" i="11"/>
  <c r="F183" i="11"/>
  <c r="G183" i="11" s="1"/>
  <c r="E162" i="11"/>
  <c r="K27" i="11"/>
  <c r="E27" i="11"/>
  <c r="M30" i="11"/>
  <c r="K32" i="11"/>
  <c r="M29" i="11"/>
  <c r="J180" i="11"/>
  <c r="K180" i="11" s="1"/>
  <c r="J181" i="11"/>
  <c r="K181" i="11" s="1"/>
  <c r="K157" i="11"/>
  <c r="I49" i="11"/>
  <c r="K49" i="11"/>
  <c r="I24" i="11"/>
  <c r="K26" i="11"/>
  <c r="E26" i="11"/>
  <c r="E28" i="11"/>
  <c r="M31" i="11"/>
  <c r="M33" i="11"/>
  <c r="D16" i="11"/>
  <c r="G107" i="11"/>
  <c r="I110" i="11"/>
  <c r="K122" i="11"/>
  <c r="K106" i="11"/>
  <c r="I116" i="11"/>
  <c r="K119" i="11"/>
  <c r="M106" i="11"/>
  <c r="E110" i="11"/>
  <c r="M114" i="11"/>
  <c r="I121" i="11"/>
  <c r="K124" i="11"/>
  <c r="M107" i="11"/>
  <c r="I113" i="11"/>
  <c r="E124" i="11"/>
  <c r="I40" i="11"/>
  <c r="M47" i="11"/>
  <c r="G85" i="11"/>
  <c r="I83" i="11"/>
  <c r="M93" i="11"/>
  <c r="G47" i="11"/>
  <c r="G86" i="11"/>
  <c r="I88" i="11"/>
  <c r="K91" i="11"/>
  <c r="M94" i="11"/>
  <c r="E40" i="11"/>
  <c r="I86" i="11"/>
  <c r="M91" i="11"/>
  <c r="E95" i="11"/>
  <c r="K42" i="11"/>
  <c r="M46" i="11"/>
  <c r="M80" i="11"/>
  <c r="G83" i="11"/>
  <c r="K93" i="11"/>
  <c r="B15" i="11"/>
  <c r="B165" i="11"/>
  <c r="J178" i="11"/>
  <c r="K178" i="11" s="1"/>
  <c r="D178" i="11"/>
  <c r="E178" i="11" s="1"/>
  <c r="L178" i="11"/>
  <c r="M178" i="11" s="1"/>
  <c r="F178" i="11"/>
  <c r="G178" i="11" s="1"/>
  <c r="H178" i="11"/>
  <c r="I178" i="11" s="1"/>
  <c r="F185" i="11"/>
  <c r="G185" i="11" s="1"/>
  <c r="H185" i="11"/>
  <c r="I185" i="11" s="1"/>
  <c r="M25" i="11"/>
  <c r="L183" i="11"/>
  <c r="M183" i="11" s="1"/>
  <c r="I27" i="11"/>
  <c r="K30" i="11"/>
  <c r="G30" i="11"/>
  <c r="E32" i="11"/>
  <c r="G29" i="11"/>
  <c r="H180" i="11"/>
  <c r="I180" i="11" s="1"/>
  <c r="F181" i="11"/>
  <c r="G181" i="11" s="1"/>
  <c r="H181" i="11"/>
  <c r="I181" i="11" s="1"/>
  <c r="I157" i="11"/>
  <c r="G49" i="11"/>
  <c r="K24" i="11"/>
  <c r="E24" i="11"/>
  <c r="D34" i="11"/>
  <c r="I26" i="11"/>
  <c r="M28" i="11"/>
  <c r="I28" i="11"/>
  <c r="K31" i="11"/>
  <c r="G31" i="11"/>
  <c r="I33" i="11"/>
  <c r="B50" i="11"/>
  <c r="G39" i="11"/>
  <c r="H16" i="11"/>
  <c r="F144" i="11"/>
  <c r="G144" i="11" s="1"/>
  <c r="H144" i="11"/>
  <c r="I144" i="11" s="1"/>
  <c r="J144" i="11"/>
  <c r="K144" i="11" s="1"/>
  <c r="D144" i="11"/>
  <c r="E144" i="11" s="1"/>
  <c r="L144" i="11"/>
  <c r="M144" i="11" s="1"/>
  <c r="K113" i="11"/>
  <c r="J146" i="11"/>
  <c r="K146" i="11" s="1"/>
  <c r="D146" i="11"/>
  <c r="E146" i="11" s="1"/>
  <c r="L146" i="11"/>
  <c r="M146" i="11" s="1"/>
  <c r="F146" i="11"/>
  <c r="G146" i="11" s="1"/>
  <c r="H146" i="11"/>
  <c r="I146" i="11" s="1"/>
  <c r="E86" i="11"/>
  <c r="E87" i="11"/>
  <c r="K95" i="11"/>
  <c r="G87" i="11"/>
  <c r="M95" i="11"/>
  <c r="I94" i="11"/>
  <c r="E158" i="11"/>
  <c r="K94" i="11"/>
  <c r="N24" i="11"/>
  <c r="B34" i="11"/>
  <c r="C24" i="11" s="1"/>
  <c r="K25" i="11"/>
  <c r="J183" i="11"/>
  <c r="K183" i="11" s="1"/>
  <c r="D183" i="11"/>
  <c r="E183" i="11" s="1"/>
  <c r="F192" i="11"/>
  <c r="G192" i="11" s="1"/>
  <c r="H192" i="11"/>
  <c r="I192" i="11" s="1"/>
  <c r="J192" i="11"/>
  <c r="K192" i="11" s="1"/>
  <c r="D192" i="11"/>
  <c r="E192" i="11" s="1"/>
  <c r="L192" i="11"/>
  <c r="M192" i="11" s="1"/>
  <c r="G27" i="11"/>
  <c r="E30" i="11"/>
  <c r="M32" i="11"/>
  <c r="I32" i="11"/>
  <c r="K29" i="11"/>
  <c r="L180" i="11"/>
  <c r="M180" i="11" s="1"/>
  <c r="F180" i="11"/>
  <c r="G180" i="11" s="1"/>
  <c r="M157" i="11"/>
  <c r="G157" i="11"/>
  <c r="M49" i="11"/>
  <c r="G24" i="11"/>
  <c r="G26" i="11"/>
  <c r="G28" i="11"/>
  <c r="E31" i="11"/>
  <c r="K33" i="11"/>
  <c r="E33" i="11"/>
  <c r="M163" i="11"/>
  <c r="M27" i="11"/>
  <c r="I30" i="11"/>
  <c r="G32" i="11"/>
  <c r="I29" i="11"/>
  <c r="E29" i="11"/>
  <c r="F176" i="11"/>
  <c r="G176" i="11" s="1"/>
  <c r="H176" i="11"/>
  <c r="I176" i="11" s="1"/>
  <c r="J176" i="11"/>
  <c r="K176" i="11" s="1"/>
  <c r="D176" i="11"/>
  <c r="E176" i="11" s="1"/>
  <c r="L176" i="11"/>
  <c r="M176" i="11" s="1"/>
  <c r="E157" i="11"/>
  <c r="E49" i="11"/>
  <c r="M24" i="11"/>
  <c r="M26" i="11"/>
  <c r="K28" i="11"/>
  <c r="H173" i="11"/>
  <c r="I173" i="11" s="1"/>
  <c r="J173" i="11"/>
  <c r="K173" i="11" s="1"/>
  <c r="D173" i="11"/>
  <c r="L173" i="11"/>
  <c r="M173" i="11" s="1"/>
  <c r="F173" i="11"/>
  <c r="G173" i="11" s="1"/>
  <c r="H177" i="11"/>
  <c r="I177" i="11" s="1"/>
  <c r="J177" i="11"/>
  <c r="K177" i="11" s="1"/>
  <c r="D177" i="11"/>
  <c r="E177" i="11" s="1"/>
  <c r="L177" i="11"/>
  <c r="M177" i="11" s="1"/>
  <c r="F177" i="11"/>
  <c r="G177" i="11" s="1"/>
  <c r="D179" i="11"/>
  <c r="E179" i="11" s="1"/>
  <c r="L179" i="11"/>
  <c r="M179" i="11" s="1"/>
  <c r="F179" i="11"/>
  <c r="G179" i="11" s="1"/>
  <c r="H179" i="11"/>
  <c r="I179" i="11" s="1"/>
  <c r="J179" i="11"/>
  <c r="K179" i="11" s="1"/>
  <c r="I31" i="11"/>
  <c r="G33" i="11"/>
  <c r="K103" i="11"/>
  <c r="M112" i="11"/>
  <c r="G120" i="11"/>
  <c r="E105" i="11"/>
  <c r="I111" i="11"/>
  <c r="I112" i="11"/>
  <c r="K120" i="11"/>
  <c r="I105" i="11"/>
  <c r="K112" i="11"/>
  <c r="E120" i="11"/>
  <c r="M104" i="11"/>
  <c r="G111" i="11"/>
  <c r="M121" i="11"/>
  <c r="M103" i="11"/>
  <c r="E113" i="11"/>
  <c r="I120" i="11"/>
  <c r="I104" i="11"/>
  <c r="K105" i="11"/>
  <c r="E112" i="11"/>
  <c r="I119" i="11"/>
  <c r="G104" i="11"/>
  <c r="M113" i="11"/>
  <c r="G121" i="11"/>
  <c r="G105" i="11"/>
  <c r="K111" i="11"/>
  <c r="E119" i="11"/>
  <c r="K104" i="11"/>
  <c r="M111" i="11"/>
  <c r="G119" i="11"/>
  <c r="M119" i="11"/>
  <c r="M120" i="11"/>
  <c r="M124" i="11"/>
  <c r="I124" i="11"/>
  <c r="E111" i="11"/>
  <c r="M134" i="11"/>
  <c r="B126" i="11"/>
  <c r="C123" i="11" s="1"/>
  <c r="B12" i="11"/>
  <c r="K174" i="11"/>
  <c r="K123" i="11"/>
  <c r="G174" i="11"/>
  <c r="B194" i="11"/>
  <c r="C180" i="11" s="1"/>
  <c r="K172" i="11"/>
  <c r="E175" i="11"/>
  <c r="B16" i="11"/>
  <c r="E125" i="11"/>
  <c r="G123" i="11"/>
  <c r="M125" i="11"/>
  <c r="E134" i="11"/>
  <c r="G134" i="11"/>
  <c r="K134" i="11"/>
  <c r="E147" i="11"/>
  <c r="G147" i="11"/>
  <c r="I147" i="11"/>
  <c r="M147" i="11"/>
  <c r="I148" i="11"/>
  <c r="K147" i="11"/>
  <c r="M148" i="11"/>
  <c r="B14" i="11"/>
  <c r="K148" i="11"/>
  <c r="B149" i="11"/>
  <c r="C145" i="11" s="1"/>
  <c r="G148" i="11"/>
  <c r="E148" i="11"/>
  <c r="H14" i="11"/>
  <c r="L14" i="11"/>
  <c r="F14" i="11"/>
  <c r="J14" i="11"/>
  <c r="G132" i="11"/>
  <c r="B13" i="11"/>
  <c r="I136" i="11"/>
  <c r="M136" i="11"/>
  <c r="I134" i="11"/>
  <c r="B138" i="11"/>
  <c r="K132" i="11"/>
  <c r="M132" i="11"/>
  <c r="G136" i="11"/>
  <c r="I132" i="11"/>
  <c r="K136" i="11"/>
  <c r="E136" i="11"/>
  <c r="F13" i="11"/>
  <c r="J13" i="11"/>
  <c r="D13" i="11"/>
  <c r="H13" i="11"/>
  <c r="E39" i="11"/>
  <c r="N39" i="11"/>
  <c r="D50" i="11"/>
  <c r="B73" i="11"/>
  <c r="C70" i="11" s="1"/>
  <c r="K16" i="11" l="1"/>
  <c r="N174" i="11"/>
  <c r="O174" i="11" s="1"/>
  <c r="C26" i="11"/>
  <c r="N182" i="11"/>
  <c r="O182" i="11" s="1"/>
  <c r="N171" i="11"/>
  <c r="O171" i="11" s="1"/>
  <c r="G8" i="11"/>
  <c r="E8" i="11"/>
  <c r="K13" i="11"/>
  <c r="I8" i="11"/>
  <c r="G206" i="11"/>
  <c r="N207" i="11"/>
  <c r="H208" i="11"/>
  <c r="L208" i="11"/>
  <c r="G203" i="11"/>
  <c r="G202" i="11"/>
  <c r="G200" i="11"/>
  <c r="G201" i="11"/>
  <c r="G199" i="11"/>
  <c r="G207" i="11"/>
  <c r="G205" i="11"/>
  <c r="G204" i="11"/>
  <c r="J208" i="11"/>
  <c r="N206" i="11"/>
  <c r="M13" i="11"/>
  <c r="G13" i="11"/>
  <c r="K8" i="11"/>
  <c r="M8" i="11"/>
  <c r="I13" i="11"/>
  <c r="E13" i="11"/>
  <c r="B208" i="11"/>
  <c r="D149" i="11"/>
  <c r="E149" i="11" s="1"/>
  <c r="N73" i="11"/>
  <c r="O73" i="11" s="1"/>
  <c r="N191" i="11"/>
  <c r="O191" i="11" s="1"/>
  <c r="N186" i="11"/>
  <c r="O186" i="11" s="1"/>
  <c r="N193" i="11"/>
  <c r="O193" i="11" s="1"/>
  <c r="N175" i="11"/>
  <c r="O175" i="11" s="1"/>
  <c r="N190" i="11"/>
  <c r="O190" i="11" s="1"/>
  <c r="N184" i="11"/>
  <c r="O184" i="11" s="1"/>
  <c r="N189" i="11"/>
  <c r="O189" i="11" s="1"/>
  <c r="N146" i="11"/>
  <c r="O146" i="11" s="1"/>
  <c r="N144" i="11"/>
  <c r="O144" i="11" s="1"/>
  <c r="M11" i="11"/>
  <c r="N173" i="11"/>
  <c r="O173" i="11" s="1"/>
  <c r="N183" i="11"/>
  <c r="O183" i="11" s="1"/>
  <c r="N178" i="11"/>
  <c r="O178" i="11" s="1"/>
  <c r="N187" i="11"/>
  <c r="O187" i="11" s="1"/>
  <c r="G143" i="11"/>
  <c r="F149" i="11"/>
  <c r="G149" i="11" s="1"/>
  <c r="M143" i="11"/>
  <c r="L149" i="11"/>
  <c r="M149" i="11" s="1"/>
  <c r="C89" i="11"/>
  <c r="C192" i="11"/>
  <c r="C178" i="11"/>
  <c r="C85" i="11"/>
  <c r="C84" i="11"/>
  <c r="C185" i="11"/>
  <c r="C188" i="11"/>
  <c r="C190" i="11"/>
  <c r="C96" i="11"/>
  <c r="N181" i="11"/>
  <c r="O181" i="11" s="1"/>
  <c r="C93" i="11"/>
  <c r="C92" i="11"/>
  <c r="C91" i="11"/>
  <c r="C193" i="11"/>
  <c r="K143" i="11"/>
  <c r="J149" i="11"/>
  <c r="K149" i="11" s="1"/>
  <c r="J165" i="11"/>
  <c r="K165" i="11" s="1"/>
  <c r="N164" i="11"/>
  <c r="O164" i="11" s="1"/>
  <c r="N162" i="11"/>
  <c r="O162" i="11" s="1"/>
  <c r="N161" i="11"/>
  <c r="O161" i="11" s="1"/>
  <c r="C83" i="11"/>
  <c r="C173" i="11"/>
  <c r="C191" i="11"/>
  <c r="C175" i="11"/>
  <c r="C86" i="11"/>
  <c r="C187" i="11"/>
  <c r="C81" i="11"/>
  <c r="C186" i="11"/>
  <c r="C146" i="11"/>
  <c r="C182" i="11"/>
  <c r="C144" i="11"/>
  <c r="C58" i="11"/>
  <c r="H194" i="11"/>
  <c r="I194" i="11" s="1"/>
  <c r="C82" i="11"/>
  <c r="C88" i="11"/>
  <c r="C189" i="11"/>
  <c r="N176" i="11"/>
  <c r="O176" i="11" s="1"/>
  <c r="C95" i="11"/>
  <c r="N172" i="11"/>
  <c r="O172" i="11" s="1"/>
  <c r="C147" i="11"/>
  <c r="C148" i="11"/>
  <c r="F194" i="11"/>
  <c r="G194" i="11" s="1"/>
  <c r="C90" i="11"/>
  <c r="C183" i="11"/>
  <c r="C87" i="11"/>
  <c r="N177" i="11"/>
  <c r="O177" i="11" s="1"/>
  <c r="N180" i="11"/>
  <c r="O180" i="11" s="1"/>
  <c r="C179" i="11"/>
  <c r="I143" i="11"/>
  <c r="H149" i="11"/>
  <c r="I149" i="11" s="1"/>
  <c r="N98" i="11"/>
  <c r="O98" i="11" s="1"/>
  <c r="C97" i="11"/>
  <c r="N192" i="11"/>
  <c r="O192" i="11" s="1"/>
  <c r="C176" i="11"/>
  <c r="N143" i="11"/>
  <c r="C94" i="11"/>
  <c r="N185" i="11"/>
  <c r="O185" i="11" s="1"/>
  <c r="N188" i="11"/>
  <c r="O188" i="11" s="1"/>
  <c r="C172" i="11"/>
  <c r="C174" i="11"/>
  <c r="L194" i="11"/>
  <c r="M194" i="11" s="1"/>
  <c r="C80" i="11"/>
  <c r="C181" i="11"/>
  <c r="C184" i="11"/>
  <c r="C177" i="11"/>
  <c r="N179" i="11"/>
  <c r="O179" i="11" s="1"/>
  <c r="J194" i="11"/>
  <c r="K194" i="11" s="1"/>
  <c r="C163" i="11"/>
  <c r="C156" i="11"/>
  <c r="C164" i="11"/>
  <c r="C162" i="11"/>
  <c r="I155" i="11"/>
  <c r="H165" i="11"/>
  <c r="I165" i="11" s="1"/>
  <c r="C157" i="11"/>
  <c r="N163" i="11"/>
  <c r="O163" i="11" s="1"/>
  <c r="L165" i="11"/>
  <c r="M165" i="11" s="1"/>
  <c r="N159" i="11"/>
  <c r="O159" i="11" s="1"/>
  <c r="C160" i="11"/>
  <c r="C158" i="11"/>
  <c r="C161" i="11"/>
  <c r="F165" i="11"/>
  <c r="G165" i="11" s="1"/>
  <c r="C159" i="11"/>
  <c r="N160" i="11"/>
  <c r="O160" i="11" s="1"/>
  <c r="C136" i="11"/>
  <c r="C135" i="11"/>
  <c r="C133" i="11"/>
  <c r="C137" i="11"/>
  <c r="N13" i="11"/>
  <c r="O13" i="11" s="1"/>
  <c r="N138" i="11"/>
  <c r="O138" i="11" s="1"/>
  <c r="C134" i="11"/>
  <c r="C115" i="11"/>
  <c r="E126" i="11"/>
  <c r="C108" i="11"/>
  <c r="C116" i="11"/>
  <c r="C120" i="11"/>
  <c r="C124" i="11"/>
  <c r="C105" i="11"/>
  <c r="C109" i="11"/>
  <c r="C113" i="11"/>
  <c r="C125" i="11"/>
  <c r="C119" i="11"/>
  <c r="C114" i="11"/>
  <c r="C118" i="11"/>
  <c r="C122" i="11"/>
  <c r="O103" i="11"/>
  <c r="N126" i="11"/>
  <c r="O126" i="11" s="1"/>
  <c r="C112" i="11"/>
  <c r="C110" i="11"/>
  <c r="C104" i="11"/>
  <c r="C106" i="11"/>
  <c r="C111" i="11"/>
  <c r="C117" i="11"/>
  <c r="C121" i="11"/>
  <c r="C107" i="11"/>
  <c r="C64" i="11"/>
  <c r="C63" i="11"/>
  <c r="C67" i="11"/>
  <c r="C60" i="11"/>
  <c r="C61" i="11"/>
  <c r="C62" i="11"/>
  <c r="C66" i="11"/>
  <c r="G73" i="11"/>
  <c r="K73" i="11"/>
  <c r="M73" i="11"/>
  <c r="I73" i="11"/>
  <c r="E73" i="11"/>
  <c r="C59" i="11"/>
  <c r="C71" i="11"/>
  <c r="C65" i="11"/>
  <c r="C72" i="11"/>
  <c r="O56" i="11"/>
  <c r="C69" i="11"/>
  <c r="C68" i="11"/>
  <c r="C39" i="11"/>
  <c r="C45" i="11"/>
  <c r="C49" i="11"/>
  <c r="C42" i="11"/>
  <c r="C46" i="11"/>
  <c r="C43" i="11"/>
  <c r="C47" i="11"/>
  <c r="C44" i="11"/>
  <c r="C40" i="11"/>
  <c r="C48" i="11"/>
  <c r="C41" i="11"/>
  <c r="O39" i="11"/>
  <c r="N50" i="11"/>
  <c r="O50" i="11" s="1"/>
  <c r="C32" i="11"/>
  <c r="C29" i="11"/>
  <c r="C27" i="11"/>
  <c r="C31" i="11"/>
  <c r="C30" i="11"/>
  <c r="C28" i="11"/>
  <c r="C25" i="11"/>
  <c r="C33" i="11"/>
  <c r="O24" i="11"/>
  <c r="N34" i="11"/>
  <c r="O34" i="11" s="1"/>
  <c r="M16" i="11"/>
  <c r="N16" i="11"/>
  <c r="O16" i="11" s="1"/>
  <c r="N15" i="11"/>
  <c r="O15" i="11" s="1"/>
  <c r="N14" i="11"/>
  <c r="O14" i="11" s="1"/>
  <c r="N12" i="11"/>
  <c r="O12" i="11" s="1"/>
  <c r="K11" i="11"/>
  <c r="N11" i="11"/>
  <c r="O11" i="11" s="1"/>
  <c r="N9" i="11"/>
  <c r="O9" i="11" s="1"/>
  <c r="D165" i="11"/>
  <c r="E165" i="11" s="1"/>
  <c r="N155" i="11"/>
  <c r="N156" i="11"/>
  <c r="O156" i="11" s="1"/>
  <c r="K156" i="11"/>
  <c r="E138" i="11"/>
  <c r="I11" i="11"/>
  <c r="G11" i="11"/>
  <c r="E11" i="11"/>
  <c r="B17" i="11"/>
  <c r="E159" i="11"/>
  <c r="K15" i="11"/>
  <c r="C155" i="11"/>
  <c r="I12" i="11"/>
  <c r="G12" i="11"/>
  <c r="I16" i="11"/>
  <c r="E15" i="11"/>
  <c r="E9" i="11"/>
  <c r="K9" i="11"/>
  <c r="I9" i="11"/>
  <c r="G9" i="11"/>
  <c r="E50" i="11"/>
  <c r="M9" i="11"/>
  <c r="I15" i="11"/>
  <c r="M15" i="11"/>
  <c r="D194" i="11"/>
  <c r="E194" i="11" s="1"/>
  <c r="E173" i="11"/>
  <c r="I50" i="11"/>
  <c r="M50" i="11"/>
  <c r="K50" i="11"/>
  <c r="G50" i="11"/>
  <c r="E34" i="11"/>
  <c r="G15" i="11"/>
  <c r="G98" i="11"/>
  <c r="K98" i="11"/>
  <c r="I98" i="11"/>
  <c r="M98" i="11"/>
  <c r="E98" i="11"/>
  <c r="E12" i="11"/>
  <c r="M34" i="11"/>
  <c r="K34" i="11"/>
  <c r="I34" i="11"/>
  <c r="G34" i="11"/>
  <c r="K12" i="11"/>
  <c r="M12" i="11"/>
  <c r="G126" i="11"/>
  <c r="K126" i="11"/>
  <c r="M126" i="11"/>
  <c r="I126" i="11"/>
  <c r="G16" i="11"/>
  <c r="E16" i="11"/>
  <c r="C171" i="11"/>
  <c r="C103" i="11"/>
  <c r="G14" i="11"/>
  <c r="I14" i="11"/>
  <c r="E14" i="11"/>
  <c r="E143" i="11"/>
  <c r="K14" i="11"/>
  <c r="M14" i="11"/>
  <c r="C143" i="11"/>
  <c r="I138" i="11"/>
  <c r="M138" i="11"/>
  <c r="G138" i="11"/>
  <c r="K138" i="11"/>
  <c r="C132" i="11"/>
  <c r="C57" i="11"/>
  <c r="C56" i="11"/>
  <c r="I206" i="11" l="1"/>
  <c r="K206" i="11"/>
  <c r="M206" i="11"/>
  <c r="N208" i="11"/>
  <c r="M203" i="11"/>
  <c r="M205" i="11"/>
  <c r="M201" i="11"/>
  <c r="M207" i="11"/>
  <c r="M202" i="11"/>
  <c r="M200" i="11"/>
  <c r="M199" i="11"/>
  <c r="M204" i="11"/>
  <c r="K203" i="11"/>
  <c r="K202" i="11"/>
  <c r="K204" i="11"/>
  <c r="K207" i="11"/>
  <c r="K200" i="11"/>
  <c r="K201" i="11"/>
  <c r="K205" i="11"/>
  <c r="K199" i="11"/>
  <c r="I203" i="11"/>
  <c r="I202" i="11"/>
  <c r="I207" i="11"/>
  <c r="I205" i="11"/>
  <c r="I204" i="11"/>
  <c r="I201" i="11"/>
  <c r="I200" i="11"/>
  <c r="I199" i="11"/>
  <c r="C205" i="11"/>
  <c r="C201" i="11"/>
  <c r="C206" i="11"/>
  <c r="C204" i="11"/>
  <c r="C202" i="11"/>
  <c r="C207" i="11"/>
  <c r="C203" i="11"/>
  <c r="C200" i="11"/>
  <c r="C199" i="11"/>
  <c r="C149" i="11"/>
  <c r="C98" i="11"/>
  <c r="C194" i="11"/>
  <c r="C165" i="11"/>
  <c r="C138" i="11"/>
  <c r="N149" i="11"/>
  <c r="O149" i="11" s="1"/>
  <c r="O143" i="11"/>
  <c r="N194" i="11"/>
  <c r="O194" i="11" s="1"/>
  <c r="C34" i="11"/>
  <c r="O155" i="11"/>
  <c r="N165" i="11"/>
  <c r="O165" i="11" s="1"/>
  <c r="C126" i="11"/>
  <c r="C73" i="11"/>
  <c r="C50" i="11"/>
  <c r="C10" i="11"/>
  <c r="C13" i="11"/>
  <c r="C16" i="11"/>
  <c r="C12" i="11"/>
  <c r="C15" i="11"/>
  <c r="C11" i="11"/>
  <c r="C14" i="11"/>
  <c r="C9" i="11"/>
  <c r="C8" i="11"/>
  <c r="O201" i="11" l="1"/>
  <c r="O206" i="11"/>
  <c r="O203" i="11"/>
  <c r="O200" i="11"/>
  <c r="O204" i="11"/>
  <c r="O205" i="11"/>
  <c r="O202" i="11"/>
  <c r="E208" i="11"/>
  <c r="G208" i="11"/>
  <c r="M208" i="11"/>
  <c r="O207" i="11"/>
  <c r="I208" i="11"/>
  <c r="K208" i="11"/>
  <c r="O199" i="11"/>
  <c r="C208" i="11"/>
  <c r="C17" i="11"/>
  <c r="G10" i="11"/>
  <c r="L17" i="11"/>
  <c r="M17" i="11" s="1"/>
  <c r="I10" i="11"/>
  <c r="K10" i="11"/>
  <c r="E10" i="11"/>
  <c r="O208" i="11" l="1"/>
  <c r="D17" i="11"/>
  <c r="E17" i="11" s="1"/>
  <c r="J17" i="11"/>
  <c r="K17" i="11" s="1"/>
  <c r="F17" i="11"/>
  <c r="G17" i="11" s="1"/>
  <c r="M10" i="11"/>
  <c r="N10" i="11"/>
  <c r="H17" i="11"/>
  <c r="I17" i="11" s="1"/>
  <c r="O10" i="11" l="1"/>
  <c r="N17" i="11"/>
  <c r="O17" i="11" s="1"/>
</calcChain>
</file>

<file path=xl/comments1.xml><?xml version="1.0" encoding="utf-8"?>
<comments xmlns="http://schemas.openxmlformats.org/spreadsheetml/2006/main">
  <authors>
    <author>Usuario</author>
  </authors>
  <commentList>
    <comment ref="C154" authorId="0" shapeId="0">
      <text>
        <r>
          <rPr>
            <sz val="9"/>
            <color indexed="81"/>
            <rFont val="Tahoma"/>
            <family val="2"/>
          </rPr>
          <t xml:space="preserve">
</t>
        </r>
        <r>
          <rPr>
            <sz val="10"/>
            <color indexed="81"/>
            <rFont val="Tahoma"/>
            <family val="2"/>
          </rPr>
          <t>INFORMACION  DEL AÑO  2018</t>
        </r>
      </text>
    </comment>
    <comment ref="C162" authorId="0" shapeId="0">
      <text>
        <r>
          <rPr>
            <sz val="9"/>
            <color indexed="81"/>
            <rFont val="Tahoma"/>
            <family val="2"/>
          </rPr>
          <t xml:space="preserve">
</t>
        </r>
        <r>
          <rPr>
            <sz val="10"/>
            <color indexed="81"/>
            <rFont val="Tahoma"/>
            <family val="2"/>
          </rPr>
          <t>INFORMACION  DEL AÑO 2018</t>
        </r>
      </text>
    </comment>
    <comment ref="C165" authorId="0" shapeId="0">
      <text>
        <r>
          <rPr>
            <sz val="9"/>
            <color indexed="81"/>
            <rFont val="Tahoma"/>
            <family val="2"/>
          </rPr>
          <t xml:space="preserve">
</t>
        </r>
        <r>
          <rPr>
            <sz val="10"/>
            <color indexed="81"/>
            <rFont val="Tahoma"/>
            <family val="2"/>
          </rPr>
          <t>INFORMACIÓN DEL AÑO 2018</t>
        </r>
      </text>
    </comment>
    <comment ref="C167" authorId="0" shapeId="0">
      <text>
        <r>
          <rPr>
            <sz val="9"/>
            <color indexed="81"/>
            <rFont val="Tahoma"/>
            <family val="2"/>
          </rPr>
          <t xml:space="preserve">
</t>
        </r>
        <r>
          <rPr>
            <sz val="10"/>
            <color indexed="81"/>
            <rFont val="Tahoma"/>
            <family val="2"/>
          </rPr>
          <t>INFORMACION  DEL AÑO 2018</t>
        </r>
      </text>
    </comment>
    <comment ref="C170" authorId="0" shapeId="0">
      <text>
        <r>
          <rPr>
            <sz val="9"/>
            <color indexed="81"/>
            <rFont val="Tahoma"/>
            <family val="2"/>
          </rPr>
          <t xml:space="preserve">
</t>
        </r>
        <r>
          <rPr>
            <sz val="10"/>
            <color indexed="81"/>
            <rFont val="Tahoma"/>
            <family val="2"/>
          </rPr>
          <t>INFORMACION  DEL AÑO 2018</t>
        </r>
      </text>
    </comment>
    <comment ref="C207" authorId="0" shapeId="0">
      <text>
        <r>
          <rPr>
            <sz val="10"/>
            <color indexed="81"/>
            <rFont val="Arial"/>
            <family val="2"/>
          </rPr>
          <t>INFORMACION DEL AÑO 2018</t>
        </r>
      </text>
    </comment>
    <comment ref="C208" authorId="0" shapeId="0">
      <text>
        <r>
          <rPr>
            <sz val="10"/>
            <color indexed="81"/>
            <rFont val="Arial"/>
            <family val="2"/>
          </rPr>
          <t>INFORMACION DEL AÑO 2018</t>
        </r>
      </text>
    </comment>
    <comment ref="C220" authorId="0" shapeId="0">
      <text>
        <r>
          <rPr>
            <sz val="10"/>
            <color indexed="81"/>
            <rFont val="Arial"/>
            <family val="2"/>
          </rPr>
          <t>INFORMACION DEL AÑO 2018</t>
        </r>
      </text>
    </comment>
    <comment ref="C221" authorId="0" shapeId="0">
      <text>
        <r>
          <rPr>
            <sz val="10"/>
            <color indexed="81"/>
            <rFont val="Arial"/>
            <family val="2"/>
          </rPr>
          <t>INFORMACION DEL AÑO 2018</t>
        </r>
      </text>
    </comment>
    <comment ref="C222" authorId="0" shapeId="0">
      <text>
        <r>
          <rPr>
            <sz val="10"/>
            <color indexed="81"/>
            <rFont val="Arial"/>
            <family val="2"/>
          </rPr>
          <t>INFORMACION DEL AÑO 2018</t>
        </r>
      </text>
    </comment>
    <comment ref="C223" authorId="0" shapeId="0">
      <text>
        <r>
          <rPr>
            <sz val="10"/>
            <color indexed="81"/>
            <rFont val="Arial"/>
            <family val="2"/>
          </rPr>
          <t>INFORMACION DEL AÑO 2018</t>
        </r>
      </text>
    </comment>
    <comment ref="H226" authorId="0" shapeId="0">
      <text>
        <r>
          <rPr>
            <b/>
            <sz val="10"/>
            <color indexed="81"/>
            <rFont val="Tahoma"/>
            <family val="2"/>
          </rPr>
          <t xml:space="preserve">SECRETARIA DE SALUD:
</t>
        </r>
        <r>
          <rPr>
            <sz val="10"/>
            <color indexed="81"/>
            <rFont val="Tahoma"/>
            <family val="2"/>
          </rPr>
          <t xml:space="preserve">durante este periodo no se realizo toma de muestra </t>
        </r>
      </text>
    </comment>
    <comment ref="H228" authorId="0" shapeId="0">
      <text>
        <r>
          <rPr>
            <b/>
            <sz val="9"/>
            <color indexed="81"/>
            <rFont val="Tahoma"/>
            <family val="2"/>
          </rPr>
          <t xml:space="preserve">SECREYARIA DE SALUD:
</t>
        </r>
        <r>
          <rPr>
            <sz val="10"/>
            <color indexed="81"/>
            <rFont val="Tahoma"/>
            <family val="2"/>
          </rPr>
          <t xml:space="preserve">durante este periodo no se realizo toma de muestra </t>
        </r>
      </text>
    </comment>
    <comment ref="H229" authorId="0" shapeId="0">
      <text>
        <r>
          <rPr>
            <b/>
            <sz val="10"/>
            <color indexed="81"/>
            <rFont val="Arial"/>
            <family val="2"/>
          </rPr>
          <t xml:space="preserve">SECRETARIA DE SALUD
</t>
        </r>
        <r>
          <rPr>
            <sz val="10"/>
            <color indexed="81"/>
            <rFont val="Arial"/>
            <family val="2"/>
          </rPr>
          <t>durante este periodo no se realizo toma de muestra</t>
        </r>
      </text>
    </comment>
    <comment ref="H230" authorId="0" shapeId="0">
      <text>
        <r>
          <rPr>
            <b/>
            <sz val="9"/>
            <color indexed="81"/>
            <rFont val="Tahoma"/>
            <family val="2"/>
          </rPr>
          <t xml:space="preserve">SECRETARIA DE SALUD
</t>
        </r>
        <r>
          <rPr>
            <sz val="10"/>
            <color indexed="81"/>
            <rFont val="Tahoma"/>
            <family val="2"/>
          </rPr>
          <t>durante este periodo no se realizo toma de muestra</t>
        </r>
      </text>
    </comment>
    <comment ref="H231" authorId="0" shapeId="0">
      <text>
        <r>
          <rPr>
            <b/>
            <sz val="9"/>
            <color indexed="81"/>
            <rFont val="Tahoma"/>
            <family val="2"/>
          </rPr>
          <t xml:space="preserve">SECRETARIA DE SALUD
</t>
        </r>
        <r>
          <rPr>
            <sz val="10"/>
            <color indexed="81"/>
            <rFont val="Tahoma"/>
            <family val="2"/>
          </rPr>
          <t>durante este periodo no se realizo toma de muestra</t>
        </r>
      </text>
    </comment>
    <comment ref="H232" authorId="0" shapeId="0">
      <text>
        <r>
          <rPr>
            <b/>
            <sz val="9"/>
            <color indexed="81"/>
            <rFont val="Tahoma"/>
            <family val="2"/>
          </rPr>
          <t xml:space="preserve">SECRETARIA DE SALUD
</t>
        </r>
        <r>
          <rPr>
            <sz val="10"/>
            <color indexed="81"/>
            <rFont val="Tahoma"/>
            <family val="2"/>
          </rPr>
          <t>durante este periodo no se realizo toma de muestra</t>
        </r>
      </text>
    </comment>
    <comment ref="H233" authorId="0" shapeId="0">
      <text>
        <r>
          <rPr>
            <b/>
            <sz val="9"/>
            <color indexed="81"/>
            <rFont val="Tahoma"/>
            <family val="2"/>
          </rPr>
          <t xml:space="preserve">SECRETARIA DE SALUD
</t>
        </r>
        <r>
          <rPr>
            <sz val="10"/>
            <color indexed="81"/>
            <rFont val="Tahoma"/>
            <family val="2"/>
          </rPr>
          <t>durante este periodo no se realizo toma de muestra</t>
        </r>
      </text>
    </comment>
  </commentList>
</comments>
</file>

<file path=xl/comments2.xml><?xml version="1.0" encoding="utf-8"?>
<comments xmlns="http://schemas.openxmlformats.org/spreadsheetml/2006/main">
  <authors>
    <author>Usuario</author>
  </authors>
  <commentList>
    <comment ref="C78" authorId="0" shapeId="0">
      <text>
        <r>
          <rPr>
            <sz val="11"/>
            <color indexed="81"/>
            <rFont val="Arial"/>
            <family val="2"/>
          </rPr>
          <t>Sin sistema de susministro de agua  para consumo humano</t>
        </r>
      </text>
    </comment>
  </commentList>
</comments>
</file>

<file path=xl/comments3.xml><?xml version="1.0" encoding="utf-8"?>
<comments xmlns="http://schemas.openxmlformats.org/spreadsheetml/2006/main">
  <authors>
    <author>usuario</author>
    <author>Usuario</author>
    <author>JHON WILLIAM TABARES MORALES</author>
  </authors>
  <commentList>
    <comment ref="C35" authorId="0" shapeId="0">
      <text>
        <r>
          <rPr>
            <b/>
            <sz val="9"/>
            <color indexed="81"/>
            <rFont val="Tahoma"/>
            <family val="2"/>
          </rPr>
          <t>usuario:</t>
        </r>
        <r>
          <rPr>
            <sz val="9"/>
            <color indexed="81"/>
            <rFont val="Tahoma"/>
            <family val="2"/>
          </rPr>
          <t xml:space="preserve">
YA NO EXISTE 2020</t>
        </r>
      </text>
    </comment>
    <comment ref="C56" authorId="1" shapeId="0">
      <text>
        <r>
          <rPr>
            <b/>
            <sz val="9"/>
            <color indexed="81"/>
            <rFont val="Tahoma"/>
            <family val="2"/>
          </rPr>
          <t>Usuario:</t>
        </r>
        <r>
          <rPr>
            <sz val="9"/>
            <color indexed="81"/>
            <rFont val="Tahoma"/>
            <family val="2"/>
          </rPr>
          <t xml:space="preserve">
Al acueducto rural de la vereda Moravia no se le hace vigilancia porque no cumple parámetros para la misma, sólo surte 4 usuarios, los demás son potreros. Se envió carta de retiro del sistema de vigilancia</t>
        </r>
      </text>
    </comment>
    <comment ref="C57" authorId="2"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58" authorId="2"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59" authorId="2"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60" authorId="2"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61" authorId="2"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62" authorId="2"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63" authorId="2"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64" authorId="2"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65" authorId="2"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67" authorId="2"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68" authorId="2"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69" authorId="2"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70" authorId="2"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71" authorId="2"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72" authorId="2"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73" authorId="2"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97" authorId="1" shapeId="0">
      <text>
        <r>
          <rPr>
            <sz val="10"/>
            <color indexed="81"/>
            <rFont val="Arial"/>
            <family val="2"/>
          </rPr>
          <t>INFORMACION DEL AÑO 2018</t>
        </r>
      </text>
    </comment>
    <comment ref="C98" authorId="1" shapeId="0">
      <text>
        <r>
          <rPr>
            <sz val="9"/>
            <color indexed="81"/>
            <rFont val="Tahoma"/>
            <family val="2"/>
          </rPr>
          <t xml:space="preserve">
</t>
        </r>
        <r>
          <rPr>
            <sz val="10"/>
            <color indexed="81"/>
            <rFont val="Arial"/>
            <family val="2"/>
          </rPr>
          <t>INFORMACION DEL AÑO 2018</t>
        </r>
      </text>
    </comment>
    <comment ref="C104" authorId="1" shapeId="0">
      <text>
        <r>
          <rPr>
            <sz val="10"/>
            <color indexed="81"/>
            <rFont val="Arial"/>
            <family val="2"/>
          </rPr>
          <t>INFORMACION DEL AÑO 2018</t>
        </r>
      </text>
    </comment>
    <comment ref="C106" authorId="1" shapeId="0">
      <text>
        <r>
          <rPr>
            <sz val="10"/>
            <color indexed="81"/>
            <rFont val="Arial"/>
            <family val="2"/>
          </rPr>
          <t>INFORMACION DEL AÑO 2018</t>
        </r>
      </text>
    </comment>
    <comment ref="C107" authorId="1" shapeId="0">
      <text>
        <r>
          <rPr>
            <sz val="10"/>
            <color indexed="81"/>
            <rFont val="Arial"/>
            <family val="2"/>
          </rPr>
          <t>INFORMACION DEL AÑO 2018</t>
        </r>
      </text>
    </comment>
    <comment ref="C108" authorId="1" shapeId="0">
      <text>
        <r>
          <rPr>
            <sz val="11"/>
            <color indexed="81"/>
            <rFont val="Arial"/>
            <family val="2"/>
          </rPr>
          <t>INFORMACION DEL AÑO 2018</t>
        </r>
      </text>
    </comment>
    <comment ref="C111" authorId="1" shapeId="0">
      <text>
        <r>
          <rPr>
            <sz val="10"/>
            <color indexed="81"/>
            <rFont val="Arial"/>
            <family val="2"/>
          </rPr>
          <t>INFORMACION DEL AÑO 2018</t>
        </r>
      </text>
    </comment>
    <comment ref="C113" authorId="1" shapeId="0">
      <text>
        <r>
          <rPr>
            <sz val="10"/>
            <color indexed="81"/>
            <rFont val="Arial"/>
            <family val="2"/>
          </rPr>
          <t>INFORMACION DEL AÑO 2018</t>
        </r>
      </text>
    </comment>
    <comment ref="C114" authorId="1" shapeId="0">
      <text>
        <r>
          <rPr>
            <sz val="10"/>
            <color indexed="81"/>
            <rFont val="Arial"/>
            <family val="2"/>
          </rPr>
          <t>INFORMACION DEL AÑO 2018</t>
        </r>
      </text>
    </comment>
    <comment ref="C117" authorId="1" shapeId="0">
      <text>
        <r>
          <rPr>
            <sz val="10"/>
            <color indexed="81"/>
            <rFont val="Arial"/>
            <family val="2"/>
          </rPr>
          <t>INFORMACION DEL AÑO 2018</t>
        </r>
      </text>
    </comment>
    <comment ref="C132" authorId="1" shapeId="0">
      <text>
        <r>
          <rPr>
            <sz val="10"/>
            <color indexed="81"/>
            <rFont val="Arial"/>
            <family val="2"/>
          </rPr>
          <t>INFORMACION DEL AÑO 2018</t>
        </r>
      </text>
    </comment>
    <comment ref="C137" authorId="1" shapeId="0">
      <text>
        <r>
          <rPr>
            <sz val="10"/>
            <color indexed="81"/>
            <rFont val="Arial"/>
            <family val="2"/>
          </rPr>
          <t>INFORMACION DEL AÑO 2018</t>
        </r>
      </text>
    </comment>
    <comment ref="C154" authorId="1" shapeId="0">
      <text>
        <r>
          <rPr>
            <sz val="10"/>
            <color indexed="81"/>
            <rFont val="Arial"/>
            <family val="2"/>
          </rPr>
          <t>INFORMACION DEL AÑO 2018</t>
        </r>
      </text>
    </comment>
    <comment ref="C155" authorId="1" shapeId="0">
      <text>
        <r>
          <rPr>
            <sz val="9"/>
            <color indexed="81"/>
            <rFont val="Tahoma"/>
            <family val="2"/>
          </rPr>
          <t xml:space="preserve">
</t>
        </r>
        <r>
          <rPr>
            <sz val="10"/>
            <color indexed="81"/>
            <rFont val="Arial"/>
            <family val="2"/>
          </rPr>
          <t>INFORMACION DEL AÑO 2018</t>
        </r>
      </text>
    </comment>
    <comment ref="C156" authorId="1" shapeId="0">
      <text>
        <r>
          <rPr>
            <sz val="9"/>
            <color indexed="81"/>
            <rFont val="Tahoma"/>
            <family val="2"/>
          </rPr>
          <t xml:space="preserve">
INFORMACION  DEL AÑO 2018</t>
        </r>
      </text>
    </comment>
    <comment ref="C167" authorId="1" shapeId="0">
      <text>
        <r>
          <rPr>
            <sz val="10"/>
            <color indexed="81"/>
            <rFont val="Arial"/>
            <family val="2"/>
          </rPr>
          <t>INFORMACION DEL AÑO 2018</t>
        </r>
      </text>
    </comment>
    <comment ref="C208" authorId="1" shapeId="0">
      <text>
        <r>
          <rPr>
            <sz val="10"/>
            <color indexed="81"/>
            <rFont val="Arial"/>
            <family val="2"/>
          </rPr>
          <t>INFORMACION DEL AÑO 2018</t>
        </r>
      </text>
    </comment>
  </commentList>
</comments>
</file>

<file path=xl/comments4.xml><?xml version="1.0" encoding="utf-8"?>
<comments xmlns="http://schemas.openxmlformats.org/spreadsheetml/2006/main">
  <authors>
    <author>Usuario</author>
    <author>JHON WILLIAM TABARES MORALES</author>
  </authors>
  <commentList>
    <comment ref="C11" authorId="0" shapeId="0">
      <text>
        <r>
          <rPr>
            <sz val="10"/>
            <color indexed="81"/>
            <rFont val="Arial"/>
            <family val="2"/>
          </rPr>
          <t>INFORMACION DEL AÑO 2018</t>
        </r>
      </text>
    </comment>
    <comment ref="C13" authorId="0" shapeId="0">
      <text>
        <r>
          <rPr>
            <sz val="10"/>
            <color indexed="81"/>
            <rFont val="Arial"/>
            <family val="2"/>
          </rPr>
          <t>INFORMACION DEL AÑO 2018</t>
        </r>
      </text>
    </comment>
    <comment ref="C14" authorId="0" shapeId="0">
      <text>
        <r>
          <rPr>
            <sz val="10"/>
            <color indexed="81"/>
            <rFont val="Arial"/>
            <family val="2"/>
          </rPr>
          <t>INFORMACION DEL AÑO 2108</t>
        </r>
      </text>
    </comment>
    <comment ref="C15" authorId="0" shapeId="0">
      <text>
        <r>
          <rPr>
            <sz val="10"/>
            <color indexed="81"/>
            <rFont val="Arial"/>
            <family val="2"/>
          </rPr>
          <t>INFORMACION DEL AÑO 2018</t>
        </r>
      </text>
    </comment>
    <comment ref="C17" authorId="0" shapeId="0">
      <text>
        <r>
          <rPr>
            <sz val="10"/>
            <color indexed="81"/>
            <rFont val="Arial"/>
            <family val="2"/>
          </rPr>
          <t>INFORMACIÓN DEL AÑO 2018</t>
        </r>
      </text>
    </comment>
    <comment ref="D313" authorId="0" shapeId="0">
      <text>
        <r>
          <rPr>
            <b/>
            <sz val="9"/>
            <color indexed="81"/>
            <rFont val="Tahoma"/>
            <family val="2"/>
          </rPr>
          <t>Usuario:</t>
        </r>
        <r>
          <rPr>
            <sz val="9"/>
            <color indexed="81"/>
            <rFont val="Tahoma"/>
            <family val="2"/>
          </rPr>
          <t xml:space="preserve">
Acueducto paloblanco Chachafruto lo atiende Ebejico y Sector los Naranjos no se pudo realizar por problemas de orden publico</t>
        </r>
      </text>
    </comment>
    <comment ref="C363"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64"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65"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66"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67"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68"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69"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70"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71"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72"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73"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74"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75"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76"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77"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78"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79"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80"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81"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82"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83"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84"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85"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86"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87"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88"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89"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90"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91"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92"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93"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 ref="C394" authorId="1" shapeId="0">
      <text>
        <r>
          <rPr>
            <b/>
            <sz val="9"/>
            <color indexed="81"/>
            <rFont val="Tahoma"/>
            <family val="2"/>
          </rPr>
          <t>JHON WILLIAM TABARES MORALES:</t>
        </r>
        <r>
          <rPr>
            <sz val="9"/>
            <color indexed="81"/>
            <rFont val="Tahoma"/>
            <family val="2"/>
          </rPr>
          <t xml:space="preserve">
(En el  2018 no se realizan visitas a acueductos rurales toda vez que no hay técnico de base en este municipio y se priorizo la zona urbana)</t>
        </r>
      </text>
    </comment>
  </commentList>
</comments>
</file>

<file path=xl/comments5.xml><?xml version="1.0" encoding="utf-8"?>
<comments xmlns="http://schemas.openxmlformats.org/spreadsheetml/2006/main">
  <authors>
    <author>Usuario</author>
  </authors>
  <commentList>
    <comment ref="E14" authorId="0" shapeId="0">
      <text>
        <r>
          <rPr>
            <b/>
            <sz val="9"/>
            <color indexed="81"/>
            <rFont val="Tahoma"/>
            <family val="2"/>
          </rPr>
          <t>Usuario:</t>
        </r>
        <r>
          <rPr>
            <sz val="9"/>
            <color indexed="81"/>
            <rFont val="Tahoma"/>
            <family val="2"/>
          </rPr>
          <t xml:space="preserve">
incumple turbiedad</t>
        </r>
      </text>
    </comment>
    <comment ref="E15" authorId="0" shapeId="0">
      <text>
        <r>
          <rPr>
            <b/>
            <sz val="9"/>
            <color indexed="81"/>
            <rFont val="Tahoma"/>
            <family val="2"/>
          </rPr>
          <t>Usuario:</t>
        </r>
        <r>
          <rPr>
            <sz val="9"/>
            <color indexed="81"/>
            <rFont val="Tahoma"/>
            <family val="2"/>
          </rPr>
          <t xml:space="preserve">
incumple turbiedad y coliformes</t>
        </r>
      </text>
    </comment>
    <comment ref="A116" authorId="0" shapeId="0">
      <text>
        <r>
          <rPr>
            <sz val="10"/>
            <color indexed="81"/>
            <rFont val="Arial"/>
            <family val="2"/>
          </rPr>
          <t>INFORMACION SEGUNDO SEMESTRE DEL AÑO 2019</t>
        </r>
      </text>
    </comment>
    <comment ref="A128" authorId="0" shapeId="0">
      <text>
        <r>
          <rPr>
            <sz val="9"/>
            <color indexed="81"/>
            <rFont val="Tahoma"/>
            <family val="2"/>
          </rPr>
          <t xml:space="preserve">INFORMACION DEL SEGUNDO SEMETRE DEL AÑO 2019
</t>
        </r>
      </text>
    </comment>
    <comment ref="C246" authorId="0" shapeId="0">
      <text>
        <r>
          <rPr>
            <sz val="11"/>
            <color indexed="81"/>
            <rFont val="Arial"/>
            <family val="2"/>
          </rPr>
          <t>no  tiene tratamiento quimico del agua que suministra.</t>
        </r>
      </text>
    </comment>
    <comment ref="C247" authorId="0" shapeId="0">
      <text>
        <r>
          <rPr>
            <sz val="11"/>
            <color indexed="81"/>
            <rFont val="Arial"/>
            <family val="2"/>
          </rPr>
          <t>no  tiene tratamiento quimico del agua que suministra.</t>
        </r>
      </text>
    </comment>
    <comment ref="C248" authorId="0" shapeId="0">
      <text>
        <r>
          <rPr>
            <sz val="11"/>
            <color indexed="81"/>
            <rFont val="Arial"/>
            <family val="2"/>
          </rPr>
          <t>no tiene tratamiento quimico del agua que suministra.</t>
        </r>
      </text>
    </comment>
    <comment ref="C249" authorId="0" shapeId="0">
      <text>
        <r>
          <rPr>
            <sz val="11"/>
            <color indexed="81"/>
            <rFont val="Arial"/>
            <family val="2"/>
          </rPr>
          <t>no  tiene tratamiento quimico del agua que suministra.</t>
        </r>
      </text>
    </comment>
    <comment ref="C250" authorId="0" shapeId="0">
      <text>
        <r>
          <rPr>
            <sz val="11"/>
            <color indexed="81"/>
            <rFont val="Arial"/>
            <family val="2"/>
          </rPr>
          <t>cuenta con planta de tratamiento</t>
        </r>
      </text>
    </comment>
    <comment ref="C251" authorId="0" shapeId="0">
      <text>
        <r>
          <rPr>
            <sz val="11"/>
            <color indexed="81"/>
            <rFont val="Arial"/>
            <family val="2"/>
          </rPr>
          <t xml:space="preserve">cuanta con planta de tratamiento </t>
        </r>
      </text>
    </comment>
    <comment ref="C252" authorId="0" shapeId="0">
      <text>
        <r>
          <rPr>
            <sz val="11"/>
            <color indexed="81"/>
            <rFont val="Arial"/>
            <family val="2"/>
          </rPr>
          <t>cuenta con planta de tratamiento</t>
        </r>
      </text>
    </comment>
    <comment ref="C253" authorId="0" shapeId="0">
      <text>
        <r>
          <rPr>
            <sz val="11"/>
            <color indexed="81"/>
            <rFont val="Arial"/>
            <family val="2"/>
          </rPr>
          <t>cuenta con planta de tratamiento</t>
        </r>
      </text>
    </comment>
    <comment ref="C254" authorId="0" shapeId="0">
      <text>
        <r>
          <rPr>
            <sz val="11"/>
            <color indexed="81"/>
            <rFont val="Arial"/>
            <family val="2"/>
          </rPr>
          <t xml:space="preserve">cuenta con planta de tratamiento </t>
        </r>
      </text>
    </comment>
    <comment ref="A430" authorId="0" shapeId="0">
      <text>
        <r>
          <rPr>
            <sz val="10"/>
            <color indexed="81"/>
            <rFont val="Arial"/>
            <family val="2"/>
          </rPr>
          <t>INFORMACION SEGUNDO SEMESTRE DEL AÑO 2019</t>
        </r>
      </text>
    </comment>
    <comment ref="C433" authorId="0" shapeId="0">
      <text>
        <r>
          <rPr>
            <b/>
            <sz val="9"/>
            <color indexed="81"/>
            <rFont val="Tahoma"/>
            <family val="2"/>
          </rPr>
          <t>Usuario:</t>
        </r>
        <r>
          <rPr>
            <sz val="9"/>
            <color indexed="81"/>
            <rFont val="Tahoma"/>
            <family val="2"/>
          </rPr>
          <t xml:space="preserve">
ACUEDUCTO NO ESTA LEGALIZADO</t>
        </r>
      </text>
    </comment>
    <comment ref="C434" authorId="0" shapeId="0">
      <text>
        <r>
          <rPr>
            <sz val="10"/>
            <color indexed="81"/>
            <rFont val="Arial"/>
            <family val="2"/>
          </rPr>
          <t>ACUEDUCTO NO ESTÁ LEGALIZADO</t>
        </r>
        <r>
          <rPr>
            <b/>
            <sz val="9"/>
            <color indexed="81"/>
            <rFont val="Tahoma"/>
            <family val="2"/>
          </rPr>
          <t xml:space="preserve"> </t>
        </r>
      </text>
    </comment>
    <comment ref="C436" authorId="0" shapeId="0">
      <text>
        <r>
          <rPr>
            <sz val="10"/>
            <color indexed="81"/>
            <rFont val="Arial"/>
            <family val="2"/>
          </rPr>
          <t>ACUEDUCTO NO ESTA LEGALIZADO</t>
        </r>
        <r>
          <rPr>
            <sz val="9"/>
            <color indexed="81"/>
            <rFont val="Tahoma"/>
            <family val="2"/>
          </rPr>
          <t xml:space="preserve">
</t>
        </r>
      </text>
    </comment>
    <comment ref="C477" authorId="0" shapeId="0">
      <text>
        <r>
          <rPr>
            <sz val="10"/>
            <color indexed="81"/>
            <rFont val="Arial"/>
            <family val="2"/>
          </rPr>
          <t xml:space="preserve">TAS_URRAO:
acuedcuto en remodelacion esta a tres dias de camino </t>
        </r>
        <r>
          <rPr>
            <sz val="9"/>
            <color indexed="81"/>
            <rFont val="Tahoma"/>
            <family val="2"/>
          </rPr>
          <t xml:space="preserve">
</t>
        </r>
      </text>
    </comment>
    <comment ref="C479" authorId="0" shapeId="0">
      <text>
        <r>
          <rPr>
            <b/>
            <sz val="9"/>
            <color indexed="81"/>
            <rFont val="Tahoma"/>
            <family val="2"/>
          </rPr>
          <t xml:space="preserve">TAS_URRAO:
</t>
        </r>
        <r>
          <rPr>
            <sz val="11"/>
            <color indexed="81"/>
            <rFont val="Arial"/>
            <family val="2"/>
          </rPr>
          <t xml:space="preserve">acuedcuto fuera de servicio </t>
        </r>
      </text>
    </comment>
    <comment ref="C480" authorId="0" shapeId="0">
      <text>
        <r>
          <rPr>
            <b/>
            <sz val="9"/>
            <color indexed="81"/>
            <rFont val="Tahoma"/>
            <family val="2"/>
          </rPr>
          <t xml:space="preserve">TAS_URRAO:
</t>
        </r>
        <r>
          <rPr>
            <sz val="11"/>
            <color indexed="81"/>
            <rFont val="Arial"/>
            <family val="2"/>
          </rPr>
          <t xml:space="preserve">acuedcuto fuera de servicio </t>
        </r>
      </text>
    </comment>
    <comment ref="C490" authorId="0" shapeId="0">
      <text>
        <r>
          <rPr>
            <sz val="10"/>
            <color indexed="81"/>
            <rFont val="Arial"/>
            <family val="2"/>
          </rPr>
          <t>INFORMACION DEL AÑO 2018</t>
        </r>
      </text>
    </comment>
    <comment ref="C491" authorId="0" shapeId="0">
      <text>
        <r>
          <rPr>
            <sz val="10"/>
            <color indexed="81"/>
            <rFont val="Arial"/>
            <family val="2"/>
          </rPr>
          <t>INFORMACION DEL AÑO 2018</t>
        </r>
      </text>
    </comment>
    <comment ref="C495" authorId="0" shapeId="0">
      <text>
        <r>
          <rPr>
            <sz val="10"/>
            <color indexed="81"/>
            <rFont val="Arial"/>
            <family val="2"/>
          </rPr>
          <t>INFORMACION DEL AÑO 2018</t>
        </r>
      </text>
    </comment>
    <comment ref="A503" authorId="0" shapeId="0">
      <text>
        <r>
          <rPr>
            <sz val="10"/>
            <color indexed="81"/>
            <rFont val="Arial"/>
            <family val="2"/>
          </rPr>
          <t>INFORMACIÓN SEGUNDO SEMESTRE DEL AÑO 2019</t>
        </r>
      </text>
    </comment>
  </commentList>
</comments>
</file>

<file path=xl/comments6.xml><?xml version="1.0" encoding="utf-8"?>
<comments xmlns="http://schemas.openxmlformats.org/spreadsheetml/2006/main">
  <authors>
    <author>JHON WILLIAM TABARES MORALES</author>
  </authors>
  <commentList>
    <comment ref="C11" authorId="0" shapeId="0">
      <text>
        <r>
          <rPr>
            <b/>
            <sz val="9"/>
            <color indexed="81"/>
            <rFont val="Tahoma"/>
            <family val="2"/>
          </rPr>
          <t>JHON WILLIAM TABARES MORALES:</t>
        </r>
        <r>
          <rPr>
            <sz val="9"/>
            <color indexed="81"/>
            <rFont val="Tahoma"/>
            <family val="2"/>
          </rPr>
          <t xml:space="preserve">
El Tecnico Area de Salud  no envio informacíon para el año 2018</t>
        </r>
      </text>
    </comment>
    <comment ref="C12" authorId="0" shapeId="0">
      <text>
        <r>
          <rPr>
            <b/>
            <sz val="9"/>
            <color indexed="81"/>
            <rFont val="Tahoma"/>
            <family val="2"/>
          </rPr>
          <t>JHON WILLIAM TABARES MORALES:</t>
        </r>
        <r>
          <rPr>
            <sz val="9"/>
            <color indexed="81"/>
            <rFont val="Tahoma"/>
            <family val="2"/>
          </rPr>
          <t xml:space="preserve">
El Tecnico Area de Salud  no envio informacíon para el año 2018</t>
        </r>
      </text>
    </comment>
    <comment ref="C13" authorId="0" shapeId="0">
      <text>
        <r>
          <rPr>
            <b/>
            <sz val="9"/>
            <color indexed="81"/>
            <rFont val="Tahoma"/>
            <family val="2"/>
          </rPr>
          <t>JHON WILLIAM TABARES MORALES:</t>
        </r>
        <r>
          <rPr>
            <sz val="9"/>
            <color indexed="81"/>
            <rFont val="Tahoma"/>
            <family val="2"/>
          </rPr>
          <t xml:space="preserve">
El Tecnico Area de Salud  no envio informacíon para el año 2018</t>
        </r>
      </text>
    </comment>
    <comment ref="C14" authorId="0" shapeId="0">
      <text>
        <r>
          <rPr>
            <b/>
            <sz val="9"/>
            <color indexed="81"/>
            <rFont val="Tahoma"/>
            <family val="2"/>
          </rPr>
          <t>JHON WILLIAM TABARES MORALES:</t>
        </r>
        <r>
          <rPr>
            <sz val="9"/>
            <color indexed="81"/>
            <rFont val="Tahoma"/>
            <family val="2"/>
          </rPr>
          <t xml:space="preserve">
El Tecnico Area de Salud  no envio informacíon para el año 2018</t>
        </r>
      </text>
    </comment>
    <comment ref="C15" authorId="0" shapeId="0">
      <text>
        <r>
          <rPr>
            <b/>
            <sz val="9"/>
            <color indexed="81"/>
            <rFont val="Tahoma"/>
            <family val="2"/>
          </rPr>
          <t>JHON WILLIAM TABARES MORALES:</t>
        </r>
        <r>
          <rPr>
            <sz val="9"/>
            <color indexed="81"/>
            <rFont val="Tahoma"/>
            <family val="2"/>
          </rPr>
          <t xml:space="preserve">
El Tecnico Area de Salud  no envio informacíon para el año 2018</t>
        </r>
      </text>
    </comment>
    <comment ref="C16" authorId="0" shapeId="0">
      <text>
        <r>
          <rPr>
            <b/>
            <sz val="9"/>
            <color indexed="81"/>
            <rFont val="Tahoma"/>
            <family val="2"/>
          </rPr>
          <t>JHON WILLIAM TABARES MORALES:</t>
        </r>
        <r>
          <rPr>
            <sz val="9"/>
            <color indexed="81"/>
            <rFont val="Tahoma"/>
            <family val="2"/>
          </rPr>
          <t xml:space="preserve">
El Tecnico Area de Salud  no envio informacíon para el año 2018</t>
        </r>
      </text>
    </comment>
    <comment ref="C17" authorId="0" shapeId="0">
      <text>
        <r>
          <rPr>
            <b/>
            <sz val="9"/>
            <color indexed="81"/>
            <rFont val="Tahoma"/>
            <family val="2"/>
          </rPr>
          <t>JHON WILLIAM TABARES MORALES:</t>
        </r>
        <r>
          <rPr>
            <sz val="9"/>
            <color indexed="81"/>
            <rFont val="Tahoma"/>
            <family val="2"/>
          </rPr>
          <t xml:space="preserve">
El Tecnico Area de Salud  no envio informacíon para el año 2018</t>
        </r>
      </text>
    </comment>
    <comment ref="C18" authorId="0" shapeId="0">
      <text>
        <r>
          <rPr>
            <b/>
            <sz val="9"/>
            <color indexed="81"/>
            <rFont val="Tahoma"/>
            <family val="2"/>
          </rPr>
          <t>JHON WILLIAM TABARES MORALES:</t>
        </r>
        <r>
          <rPr>
            <sz val="9"/>
            <color indexed="81"/>
            <rFont val="Tahoma"/>
            <family val="2"/>
          </rPr>
          <t xml:space="preserve">
El Tecnico Area de Salud  no envio informacíon para el año 2018</t>
        </r>
      </text>
    </comment>
    <comment ref="C19" authorId="0" shapeId="0">
      <text>
        <r>
          <rPr>
            <b/>
            <sz val="9"/>
            <color indexed="81"/>
            <rFont val="Tahoma"/>
            <family val="2"/>
          </rPr>
          <t>JHON WILLIAM TABARES MORALES:</t>
        </r>
        <r>
          <rPr>
            <sz val="9"/>
            <color indexed="81"/>
            <rFont val="Tahoma"/>
            <family val="2"/>
          </rPr>
          <t xml:space="preserve">
El Tecnico Area de Salud  no envio informacíon para el año 2018</t>
        </r>
      </text>
    </comment>
    <comment ref="C23" authorId="0" shapeId="0">
      <text>
        <r>
          <rPr>
            <b/>
            <sz val="9"/>
            <color indexed="81"/>
            <rFont val="Tahoma"/>
            <family val="2"/>
          </rPr>
          <t>JHON WILLIAM TABARES MORALES:</t>
        </r>
        <r>
          <rPr>
            <sz val="9"/>
            <color indexed="81"/>
            <rFont val="Tahoma"/>
            <family val="2"/>
          </rPr>
          <t xml:space="preserve">
En el  2018 no se realizan visitas a acueductos rurales ni toma de muestras</t>
        </r>
      </text>
    </comment>
    <comment ref="C26" authorId="0" shapeId="0">
      <text>
        <r>
          <rPr>
            <b/>
            <sz val="9"/>
            <color indexed="81"/>
            <rFont val="Tahoma"/>
            <family val="2"/>
          </rPr>
          <t>JHON WILLIAM TABARES MORALES:</t>
        </r>
        <r>
          <rPr>
            <sz val="9"/>
            <color indexed="81"/>
            <rFont val="Tahoma"/>
            <family val="2"/>
          </rPr>
          <t xml:space="preserve">
En el  2018 no se realizan visitas a acueductos rurales ni toma de muestras</t>
        </r>
      </text>
    </comment>
    <comment ref="C27" authorId="0" shapeId="0">
      <text>
        <r>
          <rPr>
            <b/>
            <sz val="9"/>
            <color indexed="81"/>
            <rFont val="Tahoma"/>
            <family val="2"/>
          </rPr>
          <t>JHON WILLIAM TABARES MORALES:</t>
        </r>
        <r>
          <rPr>
            <sz val="9"/>
            <color indexed="81"/>
            <rFont val="Tahoma"/>
            <family val="2"/>
          </rPr>
          <t xml:space="preserve">
En el  2018 no se realizan visitas a acueductos rurales ni toma de muestras</t>
        </r>
      </text>
    </comment>
  </commentList>
</comments>
</file>

<file path=xl/comments7.xml><?xml version="1.0" encoding="utf-8"?>
<comments xmlns="http://schemas.openxmlformats.org/spreadsheetml/2006/main">
  <authors>
    <author>Usuario</author>
    <author>usuario</author>
  </authors>
  <commentList>
    <comment ref="A127" authorId="0" shapeId="0">
      <text>
        <r>
          <rPr>
            <sz val="10"/>
            <color indexed="81"/>
            <rFont val="Arial"/>
            <family val="2"/>
          </rPr>
          <t>INFORMACION SEGUNDO SEMESTRE DEL AÑO 2019</t>
        </r>
      </text>
    </comment>
    <comment ref="A154" authorId="0" shapeId="0">
      <text>
        <r>
          <rPr>
            <sz val="10"/>
            <color indexed="81"/>
            <rFont val="Arial"/>
            <family val="2"/>
          </rPr>
          <t>INFORMACION SEGUNDO SEMESTRE DEL AÑO 2019</t>
        </r>
      </text>
    </comment>
    <comment ref="A182" authorId="0" shapeId="0">
      <text>
        <r>
          <rPr>
            <sz val="10"/>
            <color indexed="81"/>
            <rFont val="Arial"/>
            <family val="2"/>
          </rPr>
          <t xml:space="preserve">INFORMACION SEGUNDO SEMESTRE DEL AÑO 2019 
</t>
        </r>
      </text>
    </comment>
    <comment ref="A266" authorId="0" shapeId="0">
      <text>
        <r>
          <rPr>
            <sz val="10"/>
            <color indexed="81"/>
            <rFont val="Arial"/>
            <family val="2"/>
          </rPr>
          <t>INFORMACION SEGUNDO SEMESTRE DEL AÑO 2019</t>
        </r>
      </text>
    </comment>
    <comment ref="A388" authorId="1" shapeId="0">
      <text>
        <r>
          <rPr>
            <b/>
            <sz val="9"/>
            <color indexed="81"/>
            <rFont val="Tahoma"/>
            <family val="2"/>
          </rPr>
          <t>usuario:MARINILLA NO REPORTO SEMESTRE 02</t>
        </r>
        <r>
          <rPr>
            <sz val="9"/>
            <color indexed="81"/>
            <rFont val="Tahoma"/>
            <family val="2"/>
          </rPr>
          <t xml:space="preserve">
</t>
        </r>
      </text>
    </comment>
    <comment ref="A437" authorId="1" shapeId="0">
      <text>
        <r>
          <rPr>
            <b/>
            <sz val="9"/>
            <color indexed="81"/>
            <rFont val="Tahoma"/>
            <family val="2"/>
          </rPr>
          <t>usuario:RIONEGRO SOLO REPORTÓ SEMESTRE 02</t>
        </r>
        <r>
          <rPr>
            <sz val="9"/>
            <color indexed="81"/>
            <rFont val="Tahoma"/>
            <family val="2"/>
          </rPr>
          <t xml:space="preserve">
</t>
        </r>
      </text>
    </comment>
    <comment ref="A492" authorId="0" shapeId="0">
      <text>
        <r>
          <rPr>
            <sz val="10"/>
            <color indexed="81"/>
            <rFont val="Arial"/>
            <family val="2"/>
          </rPr>
          <t>INFORMACIÓN SEGUNDO SEMESTRE DEL AÑO 2019</t>
        </r>
      </text>
    </comment>
    <comment ref="C558" authorId="0" shapeId="0">
      <text>
        <r>
          <rPr>
            <sz val="10"/>
            <color indexed="81"/>
            <rFont val="Arial"/>
            <family val="2"/>
          </rPr>
          <t xml:space="preserve">INFORMACION DEL AÑO 2018
</t>
        </r>
      </text>
    </comment>
    <comment ref="C559" authorId="0" shapeId="0">
      <text>
        <r>
          <rPr>
            <sz val="10"/>
            <color indexed="81"/>
            <rFont val="Arial"/>
            <family val="2"/>
          </rPr>
          <t xml:space="preserve">INFORMACION DEL AÑO 2018
</t>
        </r>
      </text>
    </comment>
    <comment ref="C560" authorId="0" shapeId="0">
      <text>
        <r>
          <rPr>
            <sz val="10"/>
            <color indexed="81"/>
            <rFont val="Arial"/>
            <family val="2"/>
          </rPr>
          <t>INFORMACION  DEL AÑO 2018</t>
        </r>
      </text>
    </comment>
    <comment ref="C563" authorId="0" shapeId="0">
      <text>
        <r>
          <rPr>
            <sz val="10"/>
            <color indexed="81"/>
            <rFont val="Arial"/>
            <family val="2"/>
          </rPr>
          <t>INFORMACION DEL AÑO 2018</t>
        </r>
      </text>
    </comment>
    <comment ref="C564" authorId="0" shapeId="0">
      <text>
        <r>
          <rPr>
            <sz val="10"/>
            <color indexed="81"/>
            <rFont val="Arial"/>
            <family val="2"/>
          </rPr>
          <t>INFORMACION DEL AÑO 2018</t>
        </r>
      </text>
    </comment>
    <comment ref="C566" authorId="0" shapeId="0">
      <text>
        <r>
          <rPr>
            <sz val="10"/>
            <color indexed="81"/>
            <rFont val="Arial"/>
            <family val="2"/>
          </rPr>
          <t>INFORMACION DEL AÑO 2018</t>
        </r>
      </text>
    </comment>
    <comment ref="C568" authorId="0" shapeId="0">
      <text>
        <r>
          <rPr>
            <sz val="10"/>
            <color indexed="81"/>
            <rFont val="Arial"/>
            <family val="2"/>
          </rPr>
          <t>INFORMACION DEL AÑO 2018</t>
        </r>
      </text>
    </comment>
    <comment ref="C572" authorId="0" shapeId="0">
      <text>
        <r>
          <rPr>
            <sz val="10"/>
            <color indexed="81"/>
            <rFont val="Arial"/>
            <family val="2"/>
          </rPr>
          <t xml:space="preserve">INFORMACION DEL AÑO 2018
</t>
        </r>
      </text>
    </comment>
  </commentList>
</comments>
</file>

<file path=xl/comments8.xml><?xml version="1.0" encoding="utf-8"?>
<comments xmlns="http://schemas.openxmlformats.org/spreadsheetml/2006/main">
  <authors>
    <author>ROGELIO DE JESUS LOPEZ</author>
  </authors>
  <commentList>
    <comment ref="E208" authorId="0" shapeId="0">
      <text>
        <r>
          <rPr>
            <b/>
            <sz val="9"/>
            <color indexed="81"/>
            <rFont val="Tahoma"/>
            <family val="2"/>
          </rPr>
          <t>ROGELIO DE JESUS LOPEZ:</t>
        </r>
        <r>
          <rPr>
            <sz val="9"/>
            <color indexed="81"/>
            <rFont val="Tahoma"/>
            <family val="2"/>
          </rPr>
          <t xml:space="preserve">
EL porcentaje es con respecto al total de las muestras y no a numero de sistemas
</t>
        </r>
      </text>
    </comment>
  </commentList>
</comments>
</file>

<file path=xl/sharedStrings.xml><?xml version="1.0" encoding="utf-8"?>
<sst xmlns="http://schemas.openxmlformats.org/spreadsheetml/2006/main" count="8423" uniqueCount="4632">
  <si>
    <t>Vereda Santa Ana</t>
  </si>
  <si>
    <t>Vereda Guayabal</t>
  </si>
  <si>
    <t>Vereda La Florida</t>
  </si>
  <si>
    <t>Vereda Buena Vista</t>
  </si>
  <si>
    <t>Corregimiento El Tres</t>
  </si>
  <si>
    <t>Vereda El Roble</t>
  </si>
  <si>
    <t>Vereda Santa Catalina</t>
  </si>
  <si>
    <t>Santo Domingo</t>
  </si>
  <si>
    <t>Vereda La Palma</t>
  </si>
  <si>
    <t>Vereda San Francisco</t>
  </si>
  <si>
    <t>Vereda La Quiebra</t>
  </si>
  <si>
    <t>Municipio</t>
  </si>
  <si>
    <t>Vereda Potrerito</t>
  </si>
  <si>
    <t>Corregimiento Puerto Belgica</t>
  </si>
  <si>
    <t>Corregimiento Guarumo</t>
  </si>
  <si>
    <t>Nechi</t>
  </si>
  <si>
    <t>Vereda El Guadual</t>
  </si>
  <si>
    <t>Vereda La Estrella</t>
  </si>
  <si>
    <t>Vereda La Mina</t>
  </si>
  <si>
    <t>Vereda San Luis</t>
  </si>
  <si>
    <t>Vereda La Clara</t>
  </si>
  <si>
    <t>ENE.</t>
  </si>
  <si>
    <t>FEB.</t>
  </si>
  <si>
    <t>MAR.</t>
  </si>
  <si>
    <t>ABR.</t>
  </si>
  <si>
    <t>MAY.</t>
  </si>
  <si>
    <t>JUN.</t>
  </si>
  <si>
    <t>JUL.</t>
  </si>
  <si>
    <t>AGO.</t>
  </si>
  <si>
    <t>SEP.</t>
  </si>
  <si>
    <t>OCT.</t>
  </si>
  <si>
    <t>NOV.</t>
  </si>
  <si>
    <t>DIC.</t>
  </si>
  <si>
    <t>INDICE DE RIESGO DE CALIDAD DEL AGUA - IRCA- %</t>
  </si>
  <si>
    <t>% IRCA  ACOMULADO</t>
  </si>
  <si>
    <t>NIVEL DE RIESGO</t>
  </si>
  <si>
    <t>APTA PARA CONSUMO HUMANO</t>
  </si>
  <si>
    <t>MUNICIPIO</t>
  </si>
  <si>
    <t>LOCALIDAD(VEREDA)</t>
  </si>
  <si>
    <t>Vereda Mocorongo</t>
  </si>
  <si>
    <t>Vereda Graciano</t>
  </si>
  <si>
    <t>Vereda Aguas Claras Arriba</t>
  </si>
  <si>
    <t>Vereda Chorrohondo La Meseta</t>
  </si>
  <si>
    <t>Vereda El Guayabo</t>
  </si>
  <si>
    <t>La Ceja</t>
  </si>
  <si>
    <t>Vereda La Virgen</t>
  </si>
  <si>
    <t>Betulia</t>
  </si>
  <si>
    <t>Vereda La Cascada</t>
  </si>
  <si>
    <t>Vereda San Pablo</t>
  </si>
  <si>
    <t>Vereda Puerto Santo</t>
  </si>
  <si>
    <t>Vereda Quebrada Arriba</t>
  </si>
  <si>
    <t>Corregimento Las Flores</t>
  </si>
  <si>
    <t>Vereda La Meseta</t>
  </si>
  <si>
    <t>San Carlos</t>
  </si>
  <si>
    <t>Vereda Monteloro</t>
  </si>
  <si>
    <t>Puerto Triunfo</t>
  </si>
  <si>
    <t>Junta de Accion Comunal</t>
  </si>
  <si>
    <t>Corregimiento Buenos Aires</t>
  </si>
  <si>
    <t>Vereda Malpaso</t>
  </si>
  <si>
    <t>Vereda Quebradona Abajo</t>
  </si>
  <si>
    <t>Vereda La Peña</t>
  </si>
  <si>
    <t>Vereda La Montañita</t>
  </si>
  <si>
    <t>Vereda El Cerro</t>
  </si>
  <si>
    <t>Vereda El Vergel</t>
  </si>
  <si>
    <t>Vereda El Zancudo</t>
  </si>
  <si>
    <t>Vereda El Porvenir</t>
  </si>
  <si>
    <t>Vereda San Rafael</t>
  </si>
  <si>
    <t>Vereda La Chorrera</t>
  </si>
  <si>
    <t xml:space="preserve">Vereda El Sesenta </t>
  </si>
  <si>
    <t>Vereda El Salado</t>
  </si>
  <si>
    <t>Vereda La Playa</t>
  </si>
  <si>
    <t>Vereda Buenos Aires</t>
  </si>
  <si>
    <t>Vereda Chontadural</t>
  </si>
  <si>
    <t>Vereda Los Cedros</t>
  </si>
  <si>
    <t>San Luis</t>
  </si>
  <si>
    <t>Vereda CharcoVerde</t>
  </si>
  <si>
    <t xml:space="preserve">Vereda La Unión </t>
  </si>
  <si>
    <t>Vereda La Primavera</t>
  </si>
  <si>
    <t>Barbosa</t>
  </si>
  <si>
    <t>Bello</t>
  </si>
  <si>
    <t>Girardota</t>
  </si>
  <si>
    <t>Rionegro</t>
  </si>
  <si>
    <t>Murindo</t>
  </si>
  <si>
    <t>Vereda Zumbido Medio</t>
  </si>
  <si>
    <t>Asociación de Usuarios de Acueducto y Alcantarillado de la Vereda La Matica Baja</t>
  </si>
  <si>
    <t>Vereda La Matica Baja</t>
  </si>
  <si>
    <t>Armenia</t>
  </si>
  <si>
    <t>Vereda Sabaneta</t>
  </si>
  <si>
    <t>Vereda Maria Auxiliadora</t>
  </si>
  <si>
    <t>Vereda Las Lomitas</t>
  </si>
  <si>
    <t>Vereda La Doctora</t>
  </si>
  <si>
    <t>Vereda San José</t>
  </si>
  <si>
    <t>Vereda Cañaveralejo</t>
  </si>
  <si>
    <t>Vereda Pan de Azucar</t>
  </si>
  <si>
    <t>San Rafael</t>
  </si>
  <si>
    <t>Vereda San Andres</t>
  </si>
  <si>
    <t>Vereda San Isidro</t>
  </si>
  <si>
    <t>Vereda Guadual</t>
  </si>
  <si>
    <t>Vereda El Barro</t>
  </si>
  <si>
    <t>REGIONAL</t>
  </si>
  <si>
    <t>VEREDAS MUNICIPIO</t>
  </si>
  <si>
    <t>TOTAL SISTEMAS</t>
  </si>
  <si>
    <t>%</t>
  </si>
  <si>
    <t>AREA METROPOLITANA</t>
  </si>
  <si>
    <t>Medellín</t>
  </si>
  <si>
    <t>Caldas</t>
  </si>
  <si>
    <t>Copacabana</t>
  </si>
  <si>
    <t>Itagui</t>
  </si>
  <si>
    <t>Envigado</t>
  </si>
  <si>
    <t>Sabaneta</t>
  </si>
  <si>
    <t>La Estrella</t>
  </si>
  <si>
    <t>SUBTOTAL</t>
  </si>
  <si>
    <t>URABA</t>
  </si>
  <si>
    <t>Apartado</t>
  </si>
  <si>
    <t>Arboletes</t>
  </si>
  <si>
    <t>Carepa</t>
  </si>
  <si>
    <t>Chigorodo</t>
  </si>
  <si>
    <t>Mutata</t>
  </si>
  <si>
    <t>Necocli</t>
  </si>
  <si>
    <t>San Juan de Urabá</t>
  </si>
  <si>
    <t>San Pedro de Urabá</t>
  </si>
  <si>
    <t>Vigía del Fuerte</t>
  </si>
  <si>
    <t>Turbo</t>
  </si>
  <si>
    <t>NORTE</t>
  </si>
  <si>
    <t>Angostura</t>
  </si>
  <si>
    <t>Belmira</t>
  </si>
  <si>
    <t>Briceño</t>
  </si>
  <si>
    <t>Campamento</t>
  </si>
  <si>
    <t>Carolina del Príncipe</t>
  </si>
  <si>
    <t>Don Matías</t>
  </si>
  <si>
    <t>Gómez Plata</t>
  </si>
  <si>
    <t>Guadalupe</t>
  </si>
  <si>
    <t>Ituango</t>
  </si>
  <si>
    <t>San Andrés de Cuerquia</t>
  </si>
  <si>
    <t>San José de la Montaña</t>
  </si>
  <si>
    <t>San Pedro de los Milagros</t>
  </si>
  <si>
    <t>Santa Rosa de Osos</t>
  </si>
  <si>
    <t>Toledo</t>
  </si>
  <si>
    <t>Valdivia</t>
  </si>
  <si>
    <t>Yarumal</t>
  </si>
  <si>
    <t>OCCIDENTE</t>
  </si>
  <si>
    <t>Abriaqui</t>
  </si>
  <si>
    <t>Anza</t>
  </si>
  <si>
    <t>Buritica</t>
  </si>
  <si>
    <t>Cañas gordas</t>
  </si>
  <si>
    <t>Dabeiba</t>
  </si>
  <si>
    <t>Ebejico</t>
  </si>
  <si>
    <t>Frontino</t>
  </si>
  <si>
    <t>Caicedo</t>
  </si>
  <si>
    <t>Giraldo</t>
  </si>
  <si>
    <t>Heliconia</t>
  </si>
  <si>
    <t>Liborina</t>
  </si>
  <si>
    <t>Olaya</t>
  </si>
  <si>
    <t>Peque</t>
  </si>
  <si>
    <t>Sabanalarga</t>
  </si>
  <si>
    <t>San Jerónimo</t>
  </si>
  <si>
    <t>Santa Fe de Antioquia</t>
  </si>
  <si>
    <t>Sopetran</t>
  </si>
  <si>
    <t>Uramita</t>
  </si>
  <si>
    <t>SUROESTE</t>
  </si>
  <si>
    <t>Amaga</t>
  </si>
  <si>
    <t>Andes</t>
  </si>
  <si>
    <t>Betania</t>
  </si>
  <si>
    <t>Caramanta</t>
  </si>
  <si>
    <t>Ciudad Bolívar</t>
  </si>
  <si>
    <t>Concordia</t>
  </si>
  <si>
    <t>Fredonia</t>
  </si>
  <si>
    <t>Hispania</t>
  </si>
  <si>
    <t>Jardín</t>
  </si>
  <si>
    <t>Jericó</t>
  </si>
  <si>
    <t>La Pintada</t>
  </si>
  <si>
    <t>Montebello</t>
  </si>
  <si>
    <t>Pueblorrico</t>
  </si>
  <si>
    <t>Salgar</t>
  </si>
  <si>
    <t>Santa Bárbara</t>
  </si>
  <si>
    <t>Tamesis</t>
  </si>
  <si>
    <t>Tarso</t>
  </si>
  <si>
    <t>Titiribí</t>
  </si>
  <si>
    <t>Urrao</t>
  </si>
  <si>
    <t>Valparaíso</t>
  </si>
  <si>
    <t>Venecia</t>
  </si>
  <si>
    <t>BAJO CAUCA</t>
  </si>
  <si>
    <t>Caucasia</t>
  </si>
  <si>
    <t>Cáceres</t>
  </si>
  <si>
    <t>El Bagre</t>
  </si>
  <si>
    <t>Tarazá</t>
  </si>
  <si>
    <t>Zaragoza</t>
  </si>
  <si>
    <t>MAGDALENA MEDIO</t>
  </si>
  <si>
    <t>Caracolí</t>
  </si>
  <si>
    <t>Maceo</t>
  </si>
  <si>
    <t>Puerto Berrio</t>
  </si>
  <si>
    <t>Puerto Nare</t>
  </si>
  <si>
    <t>Yondo</t>
  </si>
  <si>
    <t>NORDESTE</t>
  </si>
  <si>
    <t>Amalfi</t>
  </si>
  <si>
    <t>Anori</t>
  </si>
  <si>
    <t>Cisneros</t>
  </si>
  <si>
    <t>Remedios</t>
  </si>
  <si>
    <t>San Roque</t>
  </si>
  <si>
    <t>Segovia</t>
  </si>
  <si>
    <t>Vegachi</t>
  </si>
  <si>
    <t>Yali</t>
  </si>
  <si>
    <t>Yolombo</t>
  </si>
  <si>
    <t>ORIENTE</t>
  </si>
  <si>
    <t>Abejorral</t>
  </si>
  <si>
    <t>Alejandría</t>
  </si>
  <si>
    <t>Argelia</t>
  </si>
  <si>
    <t>Cocorná</t>
  </si>
  <si>
    <t>Concepción</t>
  </si>
  <si>
    <t>El Carmen de Viboral</t>
  </si>
  <si>
    <t>El Peñol</t>
  </si>
  <si>
    <t>El Retiro</t>
  </si>
  <si>
    <t>El Santuario</t>
  </si>
  <si>
    <t>Granada</t>
  </si>
  <si>
    <t>Guarne</t>
  </si>
  <si>
    <t>Guatapé</t>
  </si>
  <si>
    <t>La Unión</t>
  </si>
  <si>
    <t>Marinilla</t>
  </si>
  <si>
    <t>Nariño</t>
  </si>
  <si>
    <t>San Francisco</t>
  </si>
  <si>
    <t>San Vicente</t>
  </si>
  <si>
    <t>Sonsón</t>
  </si>
  <si>
    <t>TOTAL</t>
  </si>
  <si>
    <t>Uraba</t>
  </si>
  <si>
    <t>Norte</t>
  </si>
  <si>
    <t>Occidente</t>
  </si>
  <si>
    <t>Suroeste</t>
  </si>
  <si>
    <t>Bajo Cauca</t>
  </si>
  <si>
    <t>Magdalena Medio</t>
  </si>
  <si>
    <t xml:space="preserve">Nordeste </t>
  </si>
  <si>
    <t>Oriente</t>
  </si>
  <si>
    <t>Cañasgordas</t>
  </si>
  <si>
    <t>Caceres</t>
  </si>
  <si>
    <t>Vereda Llano Grande</t>
  </si>
  <si>
    <t>Vereda Mercedes Abrego</t>
  </si>
  <si>
    <t xml:space="preserve">Vereda Cañaveral </t>
  </si>
  <si>
    <t>Vereda La Cejita</t>
  </si>
  <si>
    <t>Corregimiento El Carmelo</t>
  </si>
  <si>
    <t>Vereda Mellito Alto</t>
  </si>
  <si>
    <t>Vereda La Esperanza</t>
  </si>
  <si>
    <t>Vereda El Rosario</t>
  </si>
  <si>
    <t>Vereda Pueblo Chino</t>
  </si>
  <si>
    <t>Vereda El Yeso</t>
  </si>
  <si>
    <t>Vereda Los Cajones</t>
  </si>
  <si>
    <t>Vereda Siete Hermanas</t>
  </si>
  <si>
    <t>Valle de Aburra</t>
  </si>
  <si>
    <t>Sin Riesgo</t>
  </si>
  <si>
    <t>Bajo</t>
  </si>
  <si>
    <t>Medio</t>
  </si>
  <si>
    <t>Alto</t>
  </si>
  <si>
    <t>Inviable Sanitariamente</t>
  </si>
  <si>
    <t>Sin Dato</t>
  </si>
  <si>
    <t>Número de Sistemas</t>
  </si>
  <si>
    <t>Regional</t>
  </si>
  <si>
    <t>SECRETARIA SECCIONAL DE SALUD Y PROTECCION SOCIAL DE ANTIOQUIA</t>
  </si>
  <si>
    <t>Versión: 01</t>
  </si>
  <si>
    <t>Página 1 de 1</t>
  </si>
  <si>
    <t>PERSONA PRESTADORA DEL SERVICIO</t>
  </si>
  <si>
    <r>
      <rPr>
        <sz val="11"/>
        <rFont val="Arial"/>
        <family val="2"/>
      </rPr>
      <t xml:space="preserve">0.0 - 5 %: 
</t>
    </r>
    <r>
      <rPr>
        <b/>
        <sz val="11"/>
        <rFont val="Arial"/>
        <family val="2"/>
      </rPr>
      <t>Sin Riesgo</t>
    </r>
  </si>
  <si>
    <r>
      <rPr>
        <sz val="11"/>
        <rFont val="Arial"/>
        <family val="2"/>
      </rPr>
      <t xml:space="preserve">35.1 - 80 %
</t>
    </r>
    <r>
      <rPr>
        <b/>
        <sz val="11"/>
        <rFont val="Arial"/>
        <family val="2"/>
      </rPr>
      <t xml:space="preserve"> Alto</t>
    </r>
  </si>
  <si>
    <t>Convenciones:</t>
  </si>
  <si>
    <r>
      <rPr>
        <sz val="11"/>
        <color indexed="9"/>
        <rFont val="Arial"/>
        <family val="2"/>
      </rPr>
      <t>80.1 -  100 %:</t>
    </r>
    <r>
      <rPr>
        <b/>
        <sz val="11"/>
        <color indexed="9"/>
        <rFont val="Arial"/>
        <family val="2"/>
      </rPr>
      <t xml:space="preserve"> 
Inviable Sanitariamente</t>
    </r>
  </si>
  <si>
    <t>Vereda Buga</t>
  </si>
  <si>
    <t>Junta Pro-Acueducto Vallecitos-Vallecitos</t>
  </si>
  <si>
    <t>Corregimiento El Hatillo-El Paraiso</t>
  </si>
  <si>
    <t>Vereda El Tablazo-Hatillo</t>
  </si>
  <si>
    <t>Acueducto Comunal Tablazo-Hatillo</t>
  </si>
  <si>
    <t>Vereda Tablazo-Popalito</t>
  </si>
  <si>
    <t>Acueducto Veredal El Tablazo Popalito</t>
  </si>
  <si>
    <t>Asociación de Usuarios del Acueducto y/o Alcantarillado de La Vereda Las Victorias,(ASUAVIC)</t>
  </si>
  <si>
    <t>Vereda Las Peñas</t>
  </si>
  <si>
    <t>Acueducto Veredal Las Peñas</t>
  </si>
  <si>
    <t>Asociación de Usuarios Acueducto Vereda Potrerito</t>
  </si>
  <si>
    <t>Asociación de Usuarios Acueducto Vereda La Cejita</t>
  </si>
  <si>
    <t>Corporación de Asociados de Acueducto Vereda Filoverde</t>
  </si>
  <si>
    <t>Parcelación Popalito</t>
  </si>
  <si>
    <t>Vereda Aguas Claras Abajo</t>
  </si>
  <si>
    <t>Comité Empresarial de Acueducto Aguas Clara Abajo.</t>
  </si>
  <si>
    <t>Asociación de Usuarios del Acueducto y/o Alcantarillado de La Vereda La Chapa Parte Baja</t>
  </si>
  <si>
    <t>Asociación de Usuarios del Acueducto y Alcantarillado de La Vereda San Rafael</t>
  </si>
  <si>
    <t>Asociación Junta Administradora de Acueducto de La Vereda La Calda.</t>
  </si>
  <si>
    <t>Corporación de Asociados del Acueducto Vereda La Montañita</t>
  </si>
  <si>
    <t xml:space="preserve">Corregimiento San Felix </t>
  </si>
  <si>
    <t>Asociación de Usuarios del Acueducto y Alcantarillado de San Félix-Agualinda - Asociación Agualinda</t>
  </si>
  <si>
    <t>Asociación de Usuarios "Acueducto Charco Verde"</t>
  </si>
  <si>
    <t>Asociación de Usuarios Acueducto Veredal La Unión-Bello</t>
  </si>
  <si>
    <t>Junta de Accion Comunal Vereda La Primavera Sector El Salado</t>
  </si>
  <si>
    <t>Asociación de Usuarios del Acueducto "Aguas de Potrerito"</t>
  </si>
  <si>
    <t>Vereda Tierradentro Parte Baja</t>
  </si>
  <si>
    <t>Junta de Accion Comunal Tierradentro Parte Baja</t>
  </si>
  <si>
    <t>Vereda Tierradentro Planta Fabricato</t>
  </si>
  <si>
    <t>Acueducto Tierradentro Planta Fabricato</t>
  </si>
  <si>
    <t>Vereda Los Espejos</t>
  </si>
  <si>
    <t>Junta de Accion Comunal Vereda Los Espejos</t>
  </si>
  <si>
    <t>Vereda Guasimalito</t>
  </si>
  <si>
    <t xml:space="preserve">Asociación de Suscriptores o Usuarios del Acueducto Guasimalito </t>
  </si>
  <si>
    <t>Junta Administradora Acueducto Vereda Buenavista</t>
  </si>
  <si>
    <t>Vereda Jalisco-La Loca</t>
  </si>
  <si>
    <t>Junta Administradora Acueducto Veredal Jalisco-La Loca</t>
  </si>
  <si>
    <t>Vereda Tambo-Meneses</t>
  </si>
  <si>
    <t>Acueducto Tambo-Meneses</t>
  </si>
  <si>
    <t>Vereda Jalisco-Los Carvajares</t>
  </si>
  <si>
    <t>Junta Administradora Acueducto Veredal Jalisco-Los Carvajares</t>
  </si>
  <si>
    <t>Vereda La Calera</t>
  </si>
  <si>
    <t>Asociación de Usuarios Acueducto Nueva Antioquia - El Totumo</t>
  </si>
  <si>
    <t>Asociación de usuarios de Acueducto Vereda Jamundí-Sector Escuela</t>
  </si>
  <si>
    <t xml:space="preserve">Sistema de Abasto Vereda Jamundí -Sector Los Rieles </t>
  </si>
  <si>
    <t>Asociación de junta Administradora  de Acueducto El Barro - El Tigre</t>
  </si>
  <si>
    <t>Sistema de Abasto Vereda El Barro Sector Piedra Lisa</t>
  </si>
  <si>
    <t xml:space="preserve">Asociación de Usuarios del Acueducto Vereda La Chuscala </t>
  </si>
  <si>
    <t>Junta de Acción Comunal Vereda Salinas-Malpaso</t>
  </si>
  <si>
    <t>Junta de Accion Comunal Vereda El Raizal</t>
  </si>
  <si>
    <t>Asociación de Usuarios del Acueducto Multiveredal Corrala, Corralita y Corrala - Corrala Parte Baja (ACORMIEL)</t>
  </si>
  <si>
    <t>Junta de Accion Comunal Vereda La Valeria</t>
  </si>
  <si>
    <t>Junta de Accion Comunal Vereda La Quiebra-Moraima</t>
  </si>
  <si>
    <t>Junta de Accion Comunal Vereda La Quiebra-San Francisco</t>
  </si>
  <si>
    <t>Junta de Accion Comunal Vereda La Quiebra-Las Juntas</t>
  </si>
  <si>
    <t>Junta de Acción Comunal Vereda Salada Parte Baja</t>
  </si>
  <si>
    <t>Junta de Accion Comunal Vereda La Aguacatala</t>
  </si>
  <si>
    <t>Junta de Accion Comunal Vereda La Clara</t>
  </si>
  <si>
    <t>Comité de Acueducto Vereda Cardalito</t>
  </si>
  <si>
    <t>Junta de Accion Comunal Vereda Maní del Cardal</t>
  </si>
  <si>
    <t>Junta Administradora Acueducto Vereda Primavera</t>
  </si>
  <si>
    <t>Asociación de Usuarios del Acueducto Veredal de La Raya</t>
  </si>
  <si>
    <t>Corporación de Usuarios de Acueducto y Alcantarillado Vereda María Auxiliadora</t>
  </si>
  <si>
    <t xml:space="preserve">Asociación de Usuarios del Acueducto Veredal Las Lomitas </t>
  </si>
  <si>
    <t>Asociacion de Usuarios del Acueducto Veredal Las Brisas y San Isidro E.S.P.</t>
  </si>
  <si>
    <t>Asociacion de Usuarios del Acueducto Veredal La Doctora E.S.P. La Doctora E.S.P.</t>
  </si>
  <si>
    <t>Corporacion de Usuarios de Acueducto y Alcantarillado Las Margaritas</t>
  </si>
  <si>
    <t xml:space="preserve"> Acueducto Veredal Canaveralejo</t>
  </si>
  <si>
    <t>Empresa de Servicios Publicos Domiciliarios La Estrella S.A E.S.P - Planta Sagrada Familia</t>
  </si>
  <si>
    <t>Empresa de Servicios Publicos Domiciliarios La Estrella S.A E.S.P - Planta Pueblo Viejo</t>
  </si>
  <si>
    <t>Empresa de Servicios Publicos Domiciliarios La Estrella S.A E.S.P - Planta San Isidro</t>
  </si>
  <si>
    <t>Empresa de Servicios Publicos Domiciliarios La Estrella S.A E.S.P - Planta San Jose</t>
  </si>
  <si>
    <t>Empresa de Servicios Publicos Domiciliarios La Estrella S.A E.S.P - Planta Morrón - Tarapacá</t>
  </si>
  <si>
    <t>Vereda La Bermejala</t>
  </si>
  <si>
    <t>Asociación de Usuarios Acueducto Vereda La Bermejala</t>
  </si>
  <si>
    <t>Vereda Tierra Amarilla Parte Baja</t>
  </si>
  <si>
    <t>Corregimiento de Churido Pueblo</t>
  </si>
  <si>
    <t>San Jose de Apartado</t>
  </si>
  <si>
    <t>Vereda Vijagual</t>
  </si>
  <si>
    <t>Vereda Naranjales</t>
  </si>
  <si>
    <t>Corregimiento de La Trinidad</t>
  </si>
  <si>
    <t>Corregimiento de La Candelaria</t>
  </si>
  <si>
    <t>Vereda Bajo Grande</t>
  </si>
  <si>
    <t>Corregimiento de Guadual Arriba</t>
  </si>
  <si>
    <t>Vereda Nueva Estrella</t>
  </si>
  <si>
    <t>Corregimiento Santa fe de las Platas</t>
  </si>
  <si>
    <t>Vereda San Jose del Carmelo</t>
  </si>
  <si>
    <t>Vereda Casa Verde</t>
  </si>
  <si>
    <t>Barrio Pueblo Nuevo</t>
  </si>
  <si>
    <t>Vereda Nueva Esperanza</t>
  </si>
  <si>
    <t>Corregimiento  El Silencio</t>
  </si>
  <si>
    <t>Vereda Guapá La India</t>
  </si>
  <si>
    <t>Vereda Guapá León</t>
  </si>
  <si>
    <t>Corregimiento Pavarandocito</t>
  </si>
  <si>
    <t>Vereda Nuevo Mundo</t>
  </si>
  <si>
    <t>Corregimiento Belén Bajirá</t>
  </si>
  <si>
    <t>Corregimiento Caucheras</t>
  </si>
  <si>
    <t>Vereda Porroso</t>
  </si>
  <si>
    <t>Corregimiento Bejuquillo</t>
  </si>
  <si>
    <t>Comunidad  los Cacaos</t>
  </si>
  <si>
    <t>Corregimiento  El Mellito #1</t>
  </si>
  <si>
    <t>Corregimiento  El Mellito #2</t>
  </si>
  <si>
    <t>Corregimiento Zapata</t>
  </si>
  <si>
    <t>Vereda El Caño Margen Izquierdo</t>
  </si>
  <si>
    <t>Vereda Arenas Monas</t>
  </si>
  <si>
    <t>Vereda Caracoli</t>
  </si>
  <si>
    <t>Corregimiento Currulao</t>
  </si>
  <si>
    <t>Corregimiento Rio Grande</t>
  </si>
  <si>
    <t>Corregimiento Nueva Colonia</t>
  </si>
  <si>
    <t>Corregimiento El Dos</t>
  </si>
  <si>
    <t>Corregimiento Alto Mulatos</t>
  </si>
  <si>
    <t>Corregimiento Nueva Antioquia</t>
  </si>
  <si>
    <t>Corregimiento San Vicente del Congo</t>
  </si>
  <si>
    <t>Corregimiento San Jose de Mulataos</t>
  </si>
  <si>
    <t>Junta Administradora de Acueducto Los Pantanos</t>
  </si>
  <si>
    <t>Junta Administradora de Acueducto La Florida</t>
  </si>
  <si>
    <t>Junta de Accion Comunal Puerto Triana-Las Peñitas</t>
  </si>
  <si>
    <t>Corregimiento El Jardin</t>
  </si>
  <si>
    <t>Empresa de Servicios Públicos Tamaná Caceres S.A. E.S.P.-Guarumo</t>
  </si>
  <si>
    <t>No esta en funcionamiento</t>
  </si>
  <si>
    <t>Batallón Rifles</t>
  </si>
  <si>
    <t xml:space="preserve">Batallon Militar Rifles - Planta de Tratamiento Batallon Rifles </t>
  </si>
  <si>
    <t>Vereda Piedras</t>
  </si>
  <si>
    <t>Junta de Accion Comunal Las Delicias Piedras</t>
  </si>
  <si>
    <t>Junta Administradora Acueducto Buenos Aires</t>
  </si>
  <si>
    <t>Vereda La Arenosa</t>
  </si>
  <si>
    <t xml:space="preserve">Junta Administradora  Acueducto Vereda Santa Ana </t>
  </si>
  <si>
    <t>Junta Administradora Acueducto El Granadillo Purima-Purima</t>
  </si>
  <si>
    <t>Asociación de Usuarios Acueducto El Erizo</t>
  </si>
  <si>
    <t xml:space="preserve">Asociacion de Usuarios del Acueducto de La Vereda  Chagualal </t>
  </si>
  <si>
    <t>Asociacion de Usuarios del Acueducto del Chagualo-El Caunzal</t>
  </si>
  <si>
    <t xml:space="preserve">Asociacion de Usuarios del Acueducto  La Cascada </t>
  </si>
  <si>
    <t xml:space="preserve">Asociacion de Usuarios del Acueducto Asientos Canoas </t>
  </si>
  <si>
    <t>Asociacion de Usuarios Acueducto Portugal</t>
  </si>
  <si>
    <t>Asociacion de Usuarios Acueducto Multiveredal El Guaico  ASOAGUA E.S.P-Santa Catalina</t>
  </si>
  <si>
    <t>Asociacion de Usuarios Acueducto Multiveredal El Guaico  ASOAGUA E.S.P-Buey Colmenas</t>
  </si>
  <si>
    <t>Asociacion de Usuarios Acueducto Multiveredal El Guaico  ASOAGUA E.S.P-Morron</t>
  </si>
  <si>
    <t>Asociacion de Usuarios Acueducto Multiveredal El Guaico  ASOAGUA E.S.P-La Saltadera</t>
  </si>
  <si>
    <t>Asociacion de Usuarios Acueducto Multiveredal El Guaico  ASOAGUA E.S.P-Altamira</t>
  </si>
  <si>
    <t>Asociacion de Usuarios Acueducto Multiveredal El Guaico  ASOAGUA E.S.P-El Guadual</t>
  </si>
  <si>
    <t>Asociacion de Usuarios Acueducto Multiveredal El Guaico  ASOAGUA E.S.P-San Pedro</t>
  </si>
  <si>
    <t>Asociacion Acueducto Multiveredal Pantanillo ACUMUPAN-Corregimiento Pantanillo</t>
  </si>
  <si>
    <t>Asociacion de Usuarios del Acueducto Multiveredal Pantatnilo ACUMUPAN-Mata de Guadua</t>
  </si>
  <si>
    <t>Asociacion de Usuarios del Acueducto Multiveredal Pantatnilo ACUMUPAN-Sotayac</t>
  </si>
  <si>
    <t xml:space="preserve">Junta Administradora Acueducto La Samaria </t>
  </si>
  <si>
    <t xml:space="preserve">Asociacion de Usuarios del Acuedcuto Veredal Quebradanegra Abejorral </t>
  </si>
  <si>
    <t>Asociacion de Usuarios del Acueducto Multiveredal Pantatnilo ACUMUPAN-Corinto</t>
  </si>
  <si>
    <t>Asociacion de Usuarios del Acueducto La Primavera Chagualal Abejorral</t>
  </si>
  <si>
    <t>Asociacion de Usuarios del Acueducto Multiveredal Pantatnilo ACUMUPAN-El Vesubio</t>
  </si>
  <si>
    <t>Asociacion de Usuarios Acueducto Multiveredal El Guaico  ASOAGUA E.S.P-San Luis</t>
  </si>
  <si>
    <t>Asociacion de Usuarios del Acueducto Multiveredal Pantatnilo ACUMUPAN-Llano Grande</t>
  </si>
  <si>
    <t>Asociacion de Usuarios del Acueducto Multiveredal Pantatnilo ACUMUPAN-Monteloro</t>
  </si>
  <si>
    <t>Asociacion de Usuarios del Acueducto Ventiaderos Abejorral</t>
  </si>
  <si>
    <t>Asociacion de Usuarios del Acueducto Multiveredal Pantatnilo ACUMUPAN-San Bernardo</t>
  </si>
  <si>
    <t>Asociacion de Usuarios del Acueducto Multiveredal Pantatnilo ACUMUPAN-La Perdida</t>
  </si>
  <si>
    <t>Asociacion de Usuarios del Acueducto Multiveredal Pantatnilo ACUMUPAN-Las Trojas</t>
  </si>
  <si>
    <t>Junta Administradora Acueducto El Granadillo Purima-Granadillo</t>
  </si>
  <si>
    <t>NUMERO DE SUSCRIPTORES RESIDENCIALES</t>
  </si>
  <si>
    <t>Vereda Aguas Frias-Corregimiento Altavista</t>
  </si>
  <si>
    <t>Vereda Montañita-Corregimiento San Antonio de Prado</t>
  </si>
  <si>
    <t>14.1  -  35 % 
Riesgo Medio</t>
  </si>
  <si>
    <t>Vereda San Sebastian</t>
  </si>
  <si>
    <t>Vereda El Hoyito</t>
  </si>
  <si>
    <t>Vereda Rio Necoclí</t>
  </si>
  <si>
    <t>Vereda Morron</t>
  </si>
  <si>
    <t>Vereda Los Pantanos</t>
  </si>
  <si>
    <t>Corregimiento Pueblo Nuevo</t>
  </si>
  <si>
    <t>Vereda La Lomita</t>
  </si>
  <si>
    <t>Vereda Guaimaral</t>
  </si>
  <si>
    <t>Vereda El Diamante</t>
  </si>
  <si>
    <t>Vereda El Erizo</t>
  </si>
  <si>
    <t>Vereda Chagualal</t>
  </si>
  <si>
    <t>Vereda Portugal</t>
  </si>
  <si>
    <t>Corregimiento El Guaico</t>
  </si>
  <si>
    <t>Vereda La Saltadera</t>
  </si>
  <si>
    <t>Corregimiento Pantanillo</t>
  </si>
  <si>
    <t>Asociación Acueducto Veredal Naranjal La Llanada-Naranjal</t>
  </si>
  <si>
    <t>Vereda Mata de Guadua</t>
  </si>
  <si>
    <t>Vereda Sotayac</t>
  </si>
  <si>
    <t xml:space="preserve">Vereda El Chagualo </t>
  </si>
  <si>
    <t>Vereda Quebrada Negra</t>
  </si>
  <si>
    <t>Vereda Corinto</t>
  </si>
  <si>
    <t>Asociación Acueducto Veredal Naranjal La Llanada-La Llanada</t>
  </si>
  <si>
    <t>Vereda San Bernardo</t>
  </si>
  <si>
    <t>Vereda La Perdida</t>
  </si>
  <si>
    <t>Vereda Las Trojas</t>
  </si>
  <si>
    <t>Vereda Granadillo</t>
  </si>
  <si>
    <t>Vereda Portachuelo</t>
  </si>
  <si>
    <t>Vereda Corrientes</t>
  </si>
  <si>
    <t>Vereda Filo Verde</t>
  </si>
  <si>
    <t>Vereda La Valeria</t>
  </si>
  <si>
    <t>Vereda Salada Parte Baja</t>
  </si>
  <si>
    <t>Vereda El Raizal</t>
  </si>
  <si>
    <t>Vereda La Aguacatala</t>
  </si>
  <si>
    <t>Vereda La Raya</t>
  </si>
  <si>
    <t>Vereda El Cano</t>
  </si>
  <si>
    <t>Vereda Cabuyal</t>
  </si>
  <si>
    <t>Vereda San Esteban</t>
  </si>
  <si>
    <t>Vereda San Diego-Sector I</t>
  </si>
  <si>
    <t>Vereda Las Brisas y San Isidro</t>
  </si>
  <si>
    <t>Vereda Camerun</t>
  </si>
  <si>
    <t>Vereda Aguas Claras</t>
  </si>
  <si>
    <t>Vereda La Martina</t>
  </si>
  <si>
    <t>Vereda Cope</t>
  </si>
  <si>
    <t>Corregimiento El Reposo</t>
  </si>
  <si>
    <t xml:space="preserve">Vereda Los Mandarinos </t>
  </si>
  <si>
    <t>Vereda 28 De Octubre</t>
  </si>
  <si>
    <t>Vereda Carepita Promexcol</t>
  </si>
  <si>
    <t>Vereda Villa Arteaga</t>
  </si>
  <si>
    <t>Vereda Ceibita</t>
  </si>
  <si>
    <t>Corregimiento Changas</t>
  </si>
  <si>
    <t>Corregimiento  Mello Villa Vicencio</t>
  </si>
  <si>
    <t>Vereda La Comarca</t>
  </si>
  <si>
    <t>Vereda Villa Sonia</t>
  </si>
  <si>
    <t>Corregimiento Mulatos</t>
  </si>
  <si>
    <t>Corregimiento Caribia</t>
  </si>
  <si>
    <t>Vereda Villa Nueva</t>
  </si>
  <si>
    <t>Vereda Loma de Piedra</t>
  </si>
  <si>
    <t>Vereda Piedrecitas</t>
  </si>
  <si>
    <t>Vereda Meleguindo</t>
  </si>
  <si>
    <t>Vereda Tarapaca</t>
  </si>
  <si>
    <t>Corregimiento Barranquillita</t>
  </si>
  <si>
    <t>Vereda El Totumo</t>
  </si>
  <si>
    <t>Vereda El Cortado</t>
  </si>
  <si>
    <t>Vereda Las Victorias</t>
  </si>
  <si>
    <t>Vereda Popalito</t>
  </si>
  <si>
    <t>El Escobero</t>
  </si>
  <si>
    <t>Vereda Cardalito</t>
  </si>
  <si>
    <t>Vereda Loma Verde</t>
  </si>
  <si>
    <r>
      <rPr>
        <sz val="11"/>
        <rFont val="Arial"/>
        <family val="2"/>
      </rPr>
      <t>5.1  - 14 %:</t>
    </r>
    <r>
      <rPr>
        <b/>
        <sz val="11"/>
        <rFont val="Arial"/>
        <family val="2"/>
      </rPr>
      <t xml:space="preserve">  
Riesgo Bajo</t>
    </r>
  </si>
  <si>
    <t>Código:  F0-M2-P5-1893</t>
  </si>
  <si>
    <t>Fecha de aprobación:  19-01-2018</t>
  </si>
  <si>
    <t xml:space="preserve">Asociacion de Usuarios del Acueducto del Chagualo -El Chagualo </t>
  </si>
  <si>
    <t>Vereda El Volcan</t>
  </si>
  <si>
    <t xml:space="preserve">Asociacion de Usuarios del Acueducto El Volcan </t>
  </si>
  <si>
    <t>Vereda Loma Alta</t>
  </si>
  <si>
    <t xml:space="preserve">Asociacion  de Usuarios  del acueducto de la peña y loma alta   - Vereda loma alta </t>
  </si>
  <si>
    <t>Junta Administradora Acueducto Cañaveral</t>
  </si>
  <si>
    <t>Vereda Canoas La Esperanza</t>
  </si>
  <si>
    <t>Vereda Guayaquil</t>
  </si>
  <si>
    <t xml:space="preserve">Asociacion de Usuarios del Acuedcuto Vereda Guayaquil </t>
  </si>
  <si>
    <t xml:space="preserve">Vereda La Samaria </t>
  </si>
  <si>
    <t xml:space="preserve"> Vereda El Chagualo Caunzal </t>
  </si>
  <si>
    <t>Vereda  Buey Colmenas</t>
  </si>
  <si>
    <t>Asociacion de Usuarios Acueducto Multiveredal El Guaico ASUAGUA ESP- El Zancudo Corregimiento El Guaico</t>
  </si>
  <si>
    <t>Vereda  Altamira</t>
  </si>
  <si>
    <t xml:space="preserve"> Vereda San Pedro</t>
  </si>
  <si>
    <t>Vereda La Llanada</t>
  </si>
  <si>
    <t xml:space="preserve">Vereda Naranjal </t>
  </si>
  <si>
    <t>Asociacion de Usuarios del Acueducto Multiveredal Pantatnilo ACUMUPAN-Guayabal</t>
  </si>
  <si>
    <t>Vereda El Vesubio</t>
  </si>
  <si>
    <t xml:space="preserve">Vereda El Ancla Pantano Negro </t>
  </si>
  <si>
    <t xml:space="preserve">Asociacion de Usuarios del Acueducto El Ancla de La Vereda de Pantanonegro </t>
  </si>
  <si>
    <t>Vereda La Primavera Chagualal</t>
  </si>
  <si>
    <t xml:space="preserve">Vereda La Maria La Betulia </t>
  </si>
  <si>
    <t xml:space="preserve">Junta Administradora Acueducto La Maria-La Betulia </t>
  </si>
  <si>
    <t>Asociación Junta Administradora Acueducto La Peña-La Peña</t>
  </si>
  <si>
    <t xml:space="preserve">Vereda La Betulia </t>
  </si>
  <si>
    <t xml:space="preserve">Junta Administradora Acueducto La Betulia -La Betulia </t>
  </si>
  <si>
    <t>Junta Administradora Acueducto Quebradona Abajo</t>
  </si>
  <si>
    <t>Vereda La Polka</t>
  </si>
  <si>
    <t>Junta Administradora Acueducto La Polka</t>
  </si>
  <si>
    <t>Vereda Circita</t>
  </si>
  <si>
    <t>Junta Administradora Acueducto Circita</t>
  </si>
  <si>
    <t>Junta Acción Comunal La Esperanza</t>
  </si>
  <si>
    <t>Vereda Ventiladeros</t>
  </si>
  <si>
    <t xml:space="preserve">Vereda Purima </t>
  </si>
  <si>
    <t>Vereda El Popo</t>
  </si>
  <si>
    <t>Asociacion de Usuarios del Acueducto Veredal El Popo</t>
  </si>
  <si>
    <t>Vereda  Las Cruces</t>
  </si>
  <si>
    <t>Asociacion de Usuarios Suscriptores del Acueducto Multiveredal Cruces,El Cerro,La Inmaculada y San Jose-Las Cruces</t>
  </si>
  <si>
    <t>Vereda San Jose</t>
  </si>
  <si>
    <t>Asociacion de Usuarios Suscriptores del Acueducto Multiveredal Cruces,El Cerro,La Inmaculada y San Jose-San Jose</t>
  </si>
  <si>
    <t>Asociacion de Ususarios Suscriptores del Acueducto Multiveredal Cruces El Cerro La Inmaculada y San Jose-El Cerro</t>
  </si>
  <si>
    <t>Vereda San Miguel El Respaldo</t>
  </si>
  <si>
    <t>Asociacion de Usuarios del Acueducto Rural San Miguel El Respaldo</t>
  </si>
  <si>
    <t>Vereda El Carbón</t>
  </si>
  <si>
    <t>Asociacion de Ususarios del Acueducto Multiveredal  El Tambo Vereda El Carbón</t>
  </si>
  <si>
    <t>Vereda La Inmaculada</t>
  </si>
  <si>
    <t>Asociación de Usuarios Suscriptores del Acueducto Multiveredal Cruces El Cerro La Inmaculada y San Jose-La Inmaculada</t>
  </si>
  <si>
    <t>Vereda El Fresnito</t>
  </si>
  <si>
    <t>Acueducto  La Linda- El Fresnito</t>
  </si>
  <si>
    <t>Junta Administradora Acueducto La Estrella</t>
  </si>
  <si>
    <t>Vereda La Plata</t>
  </si>
  <si>
    <t>Junta Administradora Acueducto  La Quiebra-La Plata</t>
  </si>
  <si>
    <t>Junta Administradora Acueducto San Pablo</t>
  </si>
  <si>
    <t>Junta Administradora El Zancudo</t>
  </si>
  <si>
    <t>Junta Admnistradora Acueducto Guaimaral</t>
  </si>
  <si>
    <t>Junta Admnistradora Acueducto Guadual</t>
  </si>
  <si>
    <t>Junta Administradora Acueducto La Mina</t>
  </si>
  <si>
    <t>Junta Administradora Acueducto San Luis</t>
  </si>
  <si>
    <t>Vereda El Cabuyo</t>
  </si>
  <si>
    <t>Junta Administradora El Cabuyo</t>
  </si>
  <si>
    <t>Junta Administradora El Diamante</t>
  </si>
  <si>
    <t>Junta Administradora El Rosario</t>
  </si>
  <si>
    <t>Vereda La Julia</t>
  </si>
  <si>
    <t>Junta Administradora  La Julia</t>
  </si>
  <si>
    <t>Junta de Acción Comunal  La Primavera</t>
  </si>
  <si>
    <t>Vereda El Oro</t>
  </si>
  <si>
    <t>Junta Administradora  El Oro</t>
  </si>
  <si>
    <t>Vereda Rancho Largo Parte Alta</t>
  </si>
  <si>
    <t>Junta Administradora Rancho Largo Parte Alta</t>
  </si>
  <si>
    <t>Vereda Rancho Largo Parte  Baja</t>
  </si>
  <si>
    <t>Junta Administradora Rancho Largo Parte Baja</t>
  </si>
  <si>
    <t>Vereda Villeta Florida</t>
  </si>
  <si>
    <t>Junta Administradora Villeta Florida</t>
  </si>
  <si>
    <t>Vereda San Agustin</t>
  </si>
  <si>
    <t>Junta Administradora Acueducto Vereda San Agustin</t>
  </si>
  <si>
    <t>Vereda Boqueron</t>
  </si>
  <si>
    <t>Asociacion de Socios del Acueducto Boqueron del Municipio de El Carmen de Viboral</t>
  </si>
  <si>
    <t>Vereda La Chapa</t>
  </si>
  <si>
    <t>Asociación de Socios del Acueducto Vereda La Chapa del Municipio del Carmen de Viboral-La Chapa</t>
  </si>
  <si>
    <t>Sector Puente Larga</t>
  </si>
  <si>
    <t>Asociación de Socios del Acueducto Vereda La Chapa del Municipio del Carmen de Viboral-Sector Puente Larga</t>
  </si>
  <si>
    <t>Vereda Campo Alegre</t>
  </si>
  <si>
    <t>Asociacion de Socios del Acueducto y Alcantarillado Campo Alegre de El Municipio de El Carmen de Viboral</t>
  </si>
  <si>
    <t>Vereda La Madera - La Morena</t>
  </si>
  <si>
    <t>Asociacion de Socios del Acueducto El Dragal y La Morena Vereda La Madera Municipio El Carmen de Viboral-La Morena</t>
  </si>
  <si>
    <t>Vereda La Madera - El Dragal</t>
  </si>
  <si>
    <t>Asociacion de Socios del Acueducto El Dragal y La Morena Vereda La Madera Municipio El Carmen de Viboral-El Dragal</t>
  </si>
  <si>
    <t>Vereda Camargo</t>
  </si>
  <si>
    <t>Asociacion de Socios del Acueducto Camargo</t>
  </si>
  <si>
    <t>Vereda Betania 1-La cabaña</t>
  </si>
  <si>
    <t>Asociacion de Usuarios del Acueducto Betania, del Municipio de El Carmen de Viboral-Betania 1</t>
  </si>
  <si>
    <t>Vereda Betania 2-Los Giraldos</t>
  </si>
  <si>
    <t>Asociacion de Usuarios del Acueducto Betania, del Municipio de El Carmen de Viboral-Betania 2</t>
  </si>
  <si>
    <t>Vereda Betania 3- Los alcáceres</t>
  </si>
  <si>
    <t>Asociacion de Usuarios del Acueducto Betania, del Municipio de El Carmen de Viboral-Betania 3</t>
  </si>
  <si>
    <t>Vereda Rivera</t>
  </si>
  <si>
    <t>Asociacion de Socios del Acueducto La Palma Rivera Altogrande de Las Veredas La Palma Rivera Altogrande-Rivera</t>
  </si>
  <si>
    <t>Asociacion de Socios del Acueducto La Palma Rivera Altogrande de Las Veredas La Palma Rivera Altogrande-La Palma</t>
  </si>
  <si>
    <t>Vereda Alto Grande</t>
  </si>
  <si>
    <t>Asociacion de Socios del Acueducto La Palma Rivera Altogrande de Las Veredas La Palma Rivera Altogrande-Alto Grande</t>
  </si>
  <si>
    <t>Vereda  La Aurora El Quemado</t>
  </si>
  <si>
    <t>Asociacion de Usuarios del Acueducto La Aurora Viboral Municipio de El Carmen de Viboral-El Quemado</t>
  </si>
  <si>
    <t>Vereda Viboral  El Quemado</t>
  </si>
  <si>
    <t>Asociacion de Usuarios del Acueducto La Aurora Viboral Municipio de El Carmen de Viboral-Viboral  El Quemado</t>
  </si>
  <si>
    <t>Vereda Viboral La Linda</t>
  </si>
  <si>
    <t>Asociacion de Usuarios del Acueducto La Aurora Viboral Municipio de El Carmen de Viboral-Viboral   La Linda</t>
  </si>
  <si>
    <t>Vereda  La Aurora La Linda</t>
  </si>
  <si>
    <t>Asociacion de Usuarios del Acueducto La Aurora Viboral Municipio de El Carmen de Viboral-La Linda</t>
  </si>
  <si>
    <t>Asociacion de Usuarios del Acueducto La Aurora Viboral Municipio de El Carmen de Viboral-Sector Las Brisas</t>
  </si>
  <si>
    <t>Vereda La Milagrosa</t>
  </si>
  <si>
    <t>Asociacion de Usuarios del Acueducto Aguas Claras del Municipio del Carmen de Viboral-La Milagrosa</t>
  </si>
  <si>
    <t>Asociacion de Usuarios del Acueducto Aguas Claras del Municipio del Carmen de Viboral-Aguas Claras</t>
  </si>
  <si>
    <t>Vereda Guamito</t>
  </si>
  <si>
    <t>Asociacion de Usuarios del Acueducto Aguas Claras del Municipio del Carmen de Viboral-Guamito</t>
  </si>
  <si>
    <t>Vereda Quirama</t>
  </si>
  <si>
    <t>Asociacion de Usuarios del Acueducto Aguas Claras del Municipio del Carmen de Viboral-Quirama</t>
  </si>
  <si>
    <t>Vereda El salado</t>
  </si>
  <si>
    <t>Asociacion de Socios del Acueducto El Cerro, Samaria, La Milagrosa, Quirama, Cristo Rey y El Saldo-El Salado</t>
  </si>
  <si>
    <t>Vereda Samaria</t>
  </si>
  <si>
    <t>Asociacion de Socios del Acueducto El Cerro, Samaria, La Milagrosa, Quirama, Cristo Rey y El Saldo-Samaria</t>
  </si>
  <si>
    <t>Vereda Cristo Rey</t>
  </si>
  <si>
    <t>Asociacion de Socios del Acueducto El Cerro, Samaria, La Milagrosa, Quirama, Cristo Rey y El Saldo-Cristo Rey</t>
  </si>
  <si>
    <t>Vereda La Sonadora</t>
  </si>
  <si>
    <t>Asociacion de Socios del Acueducto y Alcantarillado Sonadora Garzonas-Sonadora</t>
  </si>
  <si>
    <t>Vereda Las Garzonas</t>
  </si>
  <si>
    <t>Asociacion de Socios del Acueducto y Alcantarillado Sonadora Garzonas -Garzonas</t>
  </si>
  <si>
    <t>Vereda Las Acacias</t>
  </si>
  <si>
    <t>Asociacion de Socios del Acueducto de Las Acacias del Municipio del Carmen de Viboral</t>
  </si>
  <si>
    <t>Vereda Mazorcal</t>
  </si>
  <si>
    <t>Asociacion de Socios del Acueducto Mazorcal</t>
  </si>
  <si>
    <t>Asociacion de Socios del Acueducto La Florida Municipio de El Carmen de Viboral departamento de Antioquia</t>
  </si>
  <si>
    <t>Vereda Rivera Arriba</t>
  </si>
  <si>
    <t>Asociacion de Socios del Acueducto Rivera Arriba</t>
  </si>
  <si>
    <t>Asociacion de Socios del Acueducto El Cerro, Samaria, La Milagrosa, Quirama, Cristo Rey y El Saldo-La Milagrosa</t>
  </si>
  <si>
    <t>Asociacion de Socios del Acueducto El Cerro, Samaria, La Milagrosa, Quirama, Cristo Rey y El Saldo-El Cerro</t>
  </si>
  <si>
    <t>Asociacion de Socios del Acueducto El Cerro, Samaria, La Milagrosa, Quirama, Cristo Rey y El Saldo-Quirama</t>
  </si>
  <si>
    <t>Vereda Risaralda</t>
  </si>
  <si>
    <t>Asociacion de Usuarios del Acueducto Veredal Risaralda Municipio de Amalfi</t>
  </si>
  <si>
    <t>Corregimiento Portachuelo</t>
  </si>
  <si>
    <t>Acueducto Junta de Acción Comunal Portachuelo Comité</t>
  </si>
  <si>
    <t>Vereda La Maria</t>
  </si>
  <si>
    <t>Junta de Acción Comunal Pro Acueducto Vereda La Maria</t>
  </si>
  <si>
    <t>Vereda  Montebello Parte Alta</t>
  </si>
  <si>
    <t>Junta de Accion Comunal de La Vereda Montebello- Parte Alta</t>
  </si>
  <si>
    <t>Vereda  Montebello La Pradera</t>
  </si>
  <si>
    <t>Junta de Accion Comunal Comité Proacueducto Vereda Montebello -La Pradera</t>
  </si>
  <si>
    <t>Campamento El Tablon</t>
  </si>
  <si>
    <t>EPM-Campamento El tablon</t>
  </si>
  <si>
    <t>Vereda Bellavista</t>
  </si>
  <si>
    <t>Vereda Cruces</t>
  </si>
  <si>
    <t>Vereda El Limón</t>
  </si>
  <si>
    <t>Acueducto Multiveredal El Limón</t>
  </si>
  <si>
    <t>Vereda El Retiro</t>
  </si>
  <si>
    <t>Acueducto Multiveredal El Retiro</t>
  </si>
  <si>
    <t>Campamento Primavera EPM</t>
  </si>
  <si>
    <t>Acueducto Campamento Primavera EPM</t>
  </si>
  <si>
    <t>Vereda La Soledad</t>
  </si>
  <si>
    <t>Vereda Montefrio</t>
  </si>
  <si>
    <t>Vereda Pajonal</t>
  </si>
  <si>
    <t>Vereda Santo Domingo</t>
  </si>
  <si>
    <t>Vereda  El Cadillo</t>
  </si>
  <si>
    <t>Junta de Accion Comunal El Cadillo</t>
  </si>
  <si>
    <t>Vereda El Dos</t>
  </si>
  <si>
    <t>Junta de Accion Comunal El Dos</t>
  </si>
  <si>
    <t>Junta de Accion Comunal El Limón</t>
  </si>
  <si>
    <t>Vereda La Piñuela</t>
  </si>
  <si>
    <t xml:space="preserve">Corporación Acueducto Comunitario Vereda La Piñuela </t>
  </si>
  <si>
    <t>Junta Accion Comunal Los Cedros</t>
  </si>
  <si>
    <t>Vereda El Coco</t>
  </si>
  <si>
    <t>Junta Administradora Acueducto El Coco</t>
  </si>
  <si>
    <t>Vereda El Choco</t>
  </si>
  <si>
    <t xml:space="preserve">Asociación de Usuarios de Acueducto (ASOCOCORNA) Vereda San Jose </t>
  </si>
  <si>
    <t xml:space="preserve">Junta Administradora Acueducto Cruces </t>
  </si>
  <si>
    <t>Vereda Palmirita</t>
  </si>
  <si>
    <t>Junta Administradora de Acueducto Santo Domingo</t>
  </si>
  <si>
    <t>Vereda La Veta</t>
  </si>
  <si>
    <t>Vereda El Viadal</t>
  </si>
  <si>
    <t>Junta Administradora Acueducto El Viadal</t>
  </si>
  <si>
    <t>Junta Administradora Acueducto San Juan</t>
  </si>
  <si>
    <t>Vereda San Antonio</t>
  </si>
  <si>
    <t>Vereda El Higueron</t>
  </si>
  <si>
    <t>Vereda Mazotes</t>
  </si>
  <si>
    <t>Junta Administradora Acueducto Mazotes</t>
  </si>
  <si>
    <t>Vereda La Placeta</t>
  </si>
  <si>
    <t>Junta Administradora Acueducto La Placeta</t>
  </si>
  <si>
    <t>Vereda Chorrera</t>
  </si>
  <si>
    <t>Vereda San Lorenzo</t>
  </si>
  <si>
    <t>Junta Administradora Acueducto San Lorenzo</t>
  </si>
  <si>
    <t>Vereda  Alto San Juan</t>
  </si>
  <si>
    <t>Junta de Acción Comunal Vereda San Juan Alto</t>
  </si>
  <si>
    <t>Vereda  San Pedro Bajo</t>
  </si>
  <si>
    <t>Junta de Acción Comunal Vereda San Pedro Bajo</t>
  </si>
  <si>
    <t>Vereda  Arango</t>
  </si>
  <si>
    <t>Junta de Acción Comunal Vereda Arango</t>
  </si>
  <si>
    <t>Vereda  Palmichal</t>
  </si>
  <si>
    <t>Junta de Acción Comunal Vereda Palmichal</t>
  </si>
  <si>
    <t>Vereda  La Magdalena</t>
  </si>
  <si>
    <t>Asociacion de Usuarios del Acueducto La Magdalena San Lorenzo</t>
  </si>
  <si>
    <t>Vereda  Bonilla Arriba</t>
  </si>
  <si>
    <t>Asociacion de Usuarios Acueducto Bonilla Arriba</t>
  </si>
  <si>
    <t>Vereda  Helida</t>
  </si>
  <si>
    <t>Asociacion de Usuarios Acueducto Helida Concordia- Helida</t>
  </si>
  <si>
    <t>Vereda  Horizontes</t>
  </si>
  <si>
    <t>Asociacion de Usuarios Acueducto Horizontes-Horizontes</t>
  </si>
  <si>
    <t>Vereda  El Marial</t>
  </si>
  <si>
    <t>Asociacion de Usuarios del Acueducto Palmira Marial-El Marial</t>
  </si>
  <si>
    <t>Vereda  Santa Ana</t>
  </si>
  <si>
    <t>Asociacion de Usuarios del Acueducto Joaquin y Ana</t>
  </si>
  <si>
    <t>Vereda  La Chapa</t>
  </si>
  <si>
    <t>Asociacion de Usuarios del Acueducto La Chapa</t>
  </si>
  <si>
    <t>Vereda  Santa Ines</t>
  </si>
  <si>
    <t>Asociacion de Usuarios del Acueducto Multiveredal El Salto, Santa Ines, Primavera, Culebra-Santa Ines</t>
  </si>
  <si>
    <t>Vereda  El Salto</t>
  </si>
  <si>
    <t>Asociacion de Usuarios del Acueducto Multiveredal El Salto, Santa Ines, Primavera, Culebra-El Salto</t>
  </si>
  <si>
    <t>Vereda  Culebra</t>
  </si>
  <si>
    <t>Asociacion de Usuarios del Acueducto Multiveredal El Salto, Santa Ines, Primavera, Culebra-Culebra</t>
  </si>
  <si>
    <t>Vereda  Primavera</t>
  </si>
  <si>
    <t>Asociacion de Usuarios del Acueducto Multiveredal El Salto, Santa Ines, Primavera, Culebra-Primavera</t>
  </si>
  <si>
    <t>Vereda  Palmira</t>
  </si>
  <si>
    <t>Asociacion de Usuarios del Acueducto Palmira Marial-Palmira</t>
  </si>
  <si>
    <t>Vereda  Palestina</t>
  </si>
  <si>
    <t>Asociacion de Socios, Suscriptores y Usuarios del Acueducto Bonilla-Palestina -Palestina</t>
  </si>
  <si>
    <t>Vereda  El Morro</t>
  </si>
  <si>
    <t>Asociacion de Usuarios Acueducto Jesús Arcesio Botero-El Morro</t>
  </si>
  <si>
    <t>Vereda  Concordia</t>
  </si>
  <si>
    <t>Asociacion de Usuarios Acueducto Helida Concordia-Concordia</t>
  </si>
  <si>
    <t>Vereda  Bonilla</t>
  </si>
  <si>
    <t xml:space="preserve"> Asociacion de Socios, Suscriptores y Usuarios del Acueducto Bonilla  palestina -Bonilla parte baja</t>
  </si>
  <si>
    <t>Vereda  La Cristalina</t>
  </si>
  <si>
    <t>Asociacion de Usuarios del Acueducto Vereda La Cristalina</t>
  </si>
  <si>
    <t>Vereda  Uvital</t>
  </si>
  <si>
    <t>Asociacion de Usuarios Acueducto Jesús Arcesio Botero- El Uvital</t>
  </si>
  <si>
    <t>Vereda  La Meseta</t>
  </si>
  <si>
    <t>Asociacion de Usuarios del Acueducto El Chilco -Chiquinquira y La Meseta-La Meseta</t>
  </si>
  <si>
    <t>Vereda  El Chilco</t>
  </si>
  <si>
    <t>Asociacion de Usuarios del Acueducto El Chilco -Chiquinquira y La Meseta-El Chilco</t>
  </si>
  <si>
    <t>Vereda  Chiquinquira</t>
  </si>
  <si>
    <t>Asociacion de Usuarios del Acueducto El Chilco -Chiquinquira y La Meseta-Chiquinquira</t>
  </si>
  <si>
    <t>Vereda  Guamito</t>
  </si>
  <si>
    <t xml:space="preserve"> Asociacion de Usuarios del Acueducto Guamito - Guamito</t>
  </si>
  <si>
    <t>Vereda  Puente Hondita</t>
  </si>
  <si>
    <t>Asociacion de Socios Suscriptores y Usuarios del Acueducto Puente Hondita</t>
  </si>
  <si>
    <t>Asociacion de Usuarios del Acueducto El Chilco (Arriba)</t>
  </si>
  <si>
    <t>Asociacion de Usuarios Acueducto Jesús Arcesio Botero-Chiquinquira</t>
  </si>
  <si>
    <t>Sector la Zulia</t>
  </si>
  <si>
    <t>Asociacion de Usuarios Acueducto Jesús Arcesio Botero-Zulia</t>
  </si>
  <si>
    <t xml:space="preserve"> Asociacion de Usuarios del Acueducto Guamito - El Morro</t>
  </si>
  <si>
    <t>Asociacion de Usuarios Acueducto Horizontes-El Salto (parte baja)</t>
  </si>
  <si>
    <t>Vereda Don Diego</t>
  </si>
  <si>
    <t>Corporación Civica de Socios del Acueducto Don Diego</t>
  </si>
  <si>
    <t>Vereda Villa Elena</t>
  </si>
  <si>
    <t>Vereda Pantalio</t>
  </si>
  <si>
    <t>Vereda Pantanillo</t>
  </si>
  <si>
    <t>Vereda Los Medios</t>
  </si>
  <si>
    <t>Vereda Los Salados</t>
  </si>
  <si>
    <t>Vereda El Portento</t>
  </si>
  <si>
    <t>Vereda Lejos del Nido</t>
  </si>
  <si>
    <t>Sector la Fé</t>
  </si>
  <si>
    <t>Aguas del Oriente Antioqueño S.A. E.S.P. El Retiro-Vereda Don Diego Sector La Fe.</t>
  </si>
  <si>
    <t>Corregimiento La Cruzada</t>
  </si>
  <si>
    <t xml:space="preserve">Asociacion de Usuarios de Acueducto y Alcantarillado Corregimiento La Cruzada </t>
  </si>
  <si>
    <t>Corregimiento Santa Isabel</t>
  </si>
  <si>
    <t>Asociacion de Usuarios del Acueducto del Corregimiento de Santa Isabel</t>
  </si>
  <si>
    <t>Vereda Santa Lucia</t>
  </si>
  <si>
    <t>Junta de Accion Comunal  Santa Lucia</t>
  </si>
  <si>
    <t>Vereda Ceiba</t>
  </si>
  <si>
    <t>Junta de Accion Comunal  Ceiba</t>
  </si>
  <si>
    <t>Vereda Martana</t>
  </si>
  <si>
    <t>Junta de Accion Comunal Martana</t>
  </si>
  <si>
    <t>Vereda Cañaveral</t>
  </si>
  <si>
    <t>Junta de Accion Comunal Cañaveral</t>
  </si>
  <si>
    <t>Vereda La Cruz</t>
  </si>
  <si>
    <t>Junta de Accion Comunal La Cruz</t>
  </si>
  <si>
    <t>Corregimiento Cristales</t>
  </si>
  <si>
    <t>Vereda Quiebra Honda</t>
  </si>
  <si>
    <t>Vereda Patio Bonito</t>
  </si>
  <si>
    <t>Vereda Marbella</t>
  </si>
  <si>
    <t>Vereda La Jota</t>
  </si>
  <si>
    <t>Vereda Frailes</t>
  </si>
  <si>
    <t>Acueducto Multiveredal Cristales-El Diamante</t>
  </si>
  <si>
    <t>Vereda Corocito</t>
  </si>
  <si>
    <t>Acueducto Multiveredal Cristales-Corocito</t>
  </si>
  <si>
    <t>Vereda Santa Barbara</t>
  </si>
  <si>
    <t>Asociacion de Usuarios del Acueducto Veredal Santa Barbara</t>
  </si>
  <si>
    <t>Vereda Cabildo</t>
  </si>
  <si>
    <t>Acueducto Multiveredal Cristales-Cabildo</t>
  </si>
  <si>
    <t>Vereda La Mora</t>
  </si>
  <si>
    <t>Asociación de Usuarios del Acueducto Veredal La Mora</t>
  </si>
  <si>
    <t>Vereda El Brasil</t>
  </si>
  <si>
    <t>Acueducto Multiveredal Cristales-Brasil</t>
  </si>
  <si>
    <t>Vereda Barcino</t>
  </si>
  <si>
    <t>Acueducto Multiveredal Cristales-Barcino</t>
  </si>
  <si>
    <t>Corregimiento San Jose Nus</t>
  </si>
  <si>
    <t>Empresa de Servicios Publicos San Jose del Nus</t>
  </si>
  <si>
    <t>Vereda Encarnaciones</t>
  </si>
  <si>
    <t>Junta de Acción Comunal La Encarnaciones</t>
  </si>
  <si>
    <t>Vereda La Guzmana</t>
  </si>
  <si>
    <t>Junta de Acción Comunal Acueducto La Guzmana</t>
  </si>
  <si>
    <t>Vereda San Juan</t>
  </si>
  <si>
    <t>Junta de Acción Comunal Acueducto San Juan</t>
  </si>
  <si>
    <t>Vereda Montemar</t>
  </si>
  <si>
    <t>Asociacion de Usuarios del Acueducto Veredal Montemar</t>
  </si>
  <si>
    <t>Vereda Mulatal</t>
  </si>
  <si>
    <t>Junta Administradora Acueducto Veredal Mulatal</t>
  </si>
  <si>
    <t>Vereda El Jardin</t>
  </si>
  <si>
    <t xml:space="preserve">Asociacion de Usuarios del Acueducto Veredal El Jardin </t>
  </si>
  <si>
    <t>Vereda La Candelaria</t>
  </si>
  <si>
    <t>Asociacion de Usuarios del Acueducto La Candelaria</t>
  </si>
  <si>
    <t>Vereda Vesubio</t>
  </si>
  <si>
    <t>Asociación de Usuarios del Acueducto Multiveredal San Matias - Vesubio</t>
  </si>
  <si>
    <t>Vereda San José del Nare</t>
  </si>
  <si>
    <t xml:space="preserve">Asociación de Usuarios del Acueducto Multiveredal San José Nare San Pablo -San José </t>
  </si>
  <si>
    <t xml:space="preserve">Asociación de Usuarios del Acueducto Multiveredal San José Nare SanPablo-San Pablo </t>
  </si>
  <si>
    <t>Vereda La Pureza</t>
  </si>
  <si>
    <t>Asociación de Usuarios del Acueducto Multiveredal San Matias - La Pureza</t>
  </si>
  <si>
    <t>Vereda San Matias</t>
  </si>
  <si>
    <t>Asociación de Usuarios del Acueducto Multiveredal San Matias-San Matias</t>
  </si>
  <si>
    <t>Corregimiento Providencia</t>
  </si>
  <si>
    <t>Asociacion de Usuarios del Agua La Cascada Providencia</t>
  </si>
  <si>
    <t>Asociacion Junta de Acueducto y Alcantarillado La Plata Corregimiento Providencia</t>
  </si>
  <si>
    <t>Vereda Playa Rica</t>
  </si>
  <si>
    <t>Junta de Acción Comunal Vereda Playa Rica</t>
  </si>
  <si>
    <t>Vereda El Piramo</t>
  </si>
  <si>
    <t>Junta de Acción Comunal El Píramo</t>
  </si>
  <si>
    <t>Vereda Santa Teresa Alta</t>
  </si>
  <si>
    <t>Asociación Acueducto Vereda Santa Teresa y Canalones La Union</t>
  </si>
  <si>
    <t>Junta de Accion Comunal - La Palma ( realizado por cisneros)</t>
  </si>
  <si>
    <t>Vereda Cantayus Bajo</t>
  </si>
  <si>
    <t>Junta Administradora - Cantayus Bajo</t>
  </si>
  <si>
    <t>Vereda Faldas Del Nus</t>
  </si>
  <si>
    <t>Usuarios del Sistema - Faldas Del Nus</t>
  </si>
  <si>
    <t>Vereda Sofia</t>
  </si>
  <si>
    <t>Junta Administradora - Sofia ( realizado por yolombo)</t>
  </si>
  <si>
    <t>Corregimiento Santiago</t>
  </si>
  <si>
    <t>Junta de Acción Comunal - Corregimiento Santiago</t>
  </si>
  <si>
    <t>Corregimiento El Limón</t>
  </si>
  <si>
    <t>Junta de Acción Comunal - Corregimiento El Limón</t>
  </si>
  <si>
    <t>Vereda El Rayo</t>
  </si>
  <si>
    <t>Junta de Acción Comunal - El Rayo</t>
  </si>
  <si>
    <t>Vereda Santa Gertrudis</t>
  </si>
  <si>
    <t>Junta Administradora Sistema Uno - Sta Gertrudis</t>
  </si>
  <si>
    <t>Vereda Guadualejo</t>
  </si>
  <si>
    <t>Junta de Acción Comunal - Guadualejo</t>
  </si>
  <si>
    <t>Corregimiento Versalles</t>
  </si>
  <si>
    <t>ESPD del Municipio De Cisneros S.A. E.S.P-Corregimiento de Versalles</t>
  </si>
  <si>
    <t>Vereda Vainillal</t>
  </si>
  <si>
    <t>Junta Administradora - Vainillal</t>
  </si>
  <si>
    <t>Junta de Acción Comunal - La Quiebra</t>
  </si>
  <si>
    <t>Vereda Piedras Blancas</t>
  </si>
  <si>
    <t>Junta de Acción Comunal - Piedras Blancas</t>
  </si>
  <si>
    <t>Vereda Las Animas</t>
  </si>
  <si>
    <t>Junta de Acción Comunal - Las Animas</t>
  </si>
  <si>
    <t>Vereda El Balzal</t>
  </si>
  <si>
    <t>Junta Administradora Acueducto- El Balzal</t>
  </si>
  <si>
    <t>Aguas de Porcesito</t>
  </si>
  <si>
    <t>Asociación de Usuarios del Acueducto Aguas de Porcesito</t>
  </si>
  <si>
    <t>Corregimiento Botero</t>
  </si>
  <si>
    <t>Asociación de Usuarios Pro Acueducto Corregimiento Botero</t>
  </si>
  <si>
    <t>Corregimiento de Fraguas La
 Esperanza</t>
  </si>
  <si>
    <t>Junta de Acción Comunal Corregimiento Fraguas-La Esperanza</t>
  </si>
  <si>
    <t>Vereda El Aporriado</t>
  </si>
  <si>
    <t>Junta de Acción Comunal El Aporriado</t>
  </si>
  <si>
    <t>Vereda Marmajon</t>
  </si>
  <si>
    <t>Junta Administradora Acueducto Marmajon</t>
  </si>
  <si>
    <t>Vereda Manzanillo</t>
  </si>
  <si>
    <t xml:space="preserve">Gran Colombia Gold </t>
  </si>
  <si>
    <t xml:space="preserve">Vereda Juan Tereso </t>
  </si>
  <si>
    <t>Junta de Acción Comunal Juan Tereso</t>
  </si>
  <si>
    <t>Vereda  Puerto Calavera</t>
  </si>
  <si>
    <t>Junta de Acción Comunal Puerto Calavera</t>
  </si>
  <si>
    <t>Vereda  El Chispero</t>
  </si>
  <si>
    <t>Junta de Acción Comunal  Vereda El Chispero</t>
  </si>
  <si>
    <t>Corregimiento de Fraguas-Machuca</t>
  </si>
  <si>
    <t>Junta de Acción Comunal Corregimiento Fraguas-Machuca</t>
  </si>
  <si>
    <t>Aguas del Pocuné S.A.S. E.S.P - Campo Alegre</t>
  </si>
  <si>
    <t>Vereda El Cristo</t>
  </si>
  <si>
    <t>Junata Administradora El Cristo ASUAVEC</t>
  </si>
  <si>
    <t>Vereda El Cenizo</t>
  </si>
  <si>
    <t>Junta de Acción Comunal El Cenizo</t>
  </si>
  <si>
    <t>Vereda La Gallinera</t>
  </si>
  <si>
    <t>ASUGASA E.S.P.-La Gallinera</t>
  </si>
  <si>
    <t>Vereda San Pacual</t>
  </si>
  <si>
    <t>ASUGASA E.S.P.-San Pascual</t>
  </si>
  <si>
    <t>Vereda La Sierra</t>
  </si>
  <si>
    <t>ASUGASA E.S.P.-La Sierra</t>
  </si>
  <si>
    <t>Corregimiento el Tigre</t>
  </si>
  <si>
    <t>ASOCOTI-El Tigre</t>
  </si>
  <si>
    <t>Vereda Villanita</t>
  </si>
  <si>
    <t>Asociación Junta Administradora de Acueducto Veredal Villanita</t>
  </si>
  <si>
    <t>Vereda Montañitas</t>
  </si>
  <si>
    <t>Asociación Junta Administradora de Acueducto Veredal Montañitas</t>
  </si>
  <si>
    <t>Vereda  Puerto Estafa</t>
  </si>
  <si>
    <t>Asociación Junta Administradora Acueducto Puerto Estafa</t>
  </si>
  <si>
    <t>Vereda San Jorge</t>
  </si>
  <si>
    <t>Junta Administradora de Acueducto San Jorge</t>
  </si>
  <si>
    <t>Vereda Montebello</t>
  </si>
  <si>
    <t>Junta Administradora de Acueducto Motebello</t>
  </si>
  <si>
    <t>Vereda Hatillo</t>
  </si>
  <si>
    <t>Asociación Junta Administradora de Acueducto Multiveredal Hatillo Montebello-Hatillo</t>
  </si>
  <si>
    <t>Asociación Junta Administradora de Acueducto Veredal Santa Barbara</t>
  </si>
  <si>
    <t>Vereda La Brillantina</t>
  </si>
  <si>
    <t>Asociación Junta Administradora de Acueducto Vereda Brillantina</t>
  </si>
  <si>
    <t>Vereda Casa Mora</t>
  </si>
  <si>
    <t>Asociación Junta Administradora de Acueducto Casa Mora</t>
  </si>
  <si>
    <t>Vereda Mascara</t>
  </si>
  <si>
    <t>Asociacion Junta Administradora Acueducto La Mascara</t>
  </si>
  <si>
    <t>Carmen de Viboral</t>
  </si>
  <si>
    <t>Vereda Tabacal parte baja</t>
  </si>
  <si>
    <t>Multiveredal Nazareth</t>
  </si>
  <si>
    <t>Vereda Tabacal parte alta</t>
  </si>
  <si>
    <t>Vereda La fe</t>
  </si>
  <si>
    <t>Multiveredal Vereda Pantanillo</t>
  </si>
  <si>
    <t>Multiveredal Vereda La Amapola</t>
  </si>
  <si>
    <t>Multiveredal Vereda Pantalio</t>
  </si>
  <si>
    <t>Vereda El Chuscal (seminario)</t>
  </si>
  <si>
    <t>Vereda El Chuscal (Luis Arenas)</t>
  </si>
  <si>
    <t>Vereda Carrizales parte alta</t>
  </si>
  <si>
    <t>Vereda Carrizales parte baja</t>
  </si>
  <si>
    <t>Vereda Villa Elena. (Altos del Cauce)</t>
  </si>
  <si>
    <t>Vereda Nazareth Bajo</t>
  </si>
  <si>
    <t>A. U. del Acueducto Multiveredal Nazareth y Tabacal. (Nazareth Alto)</t>
  </si>
  <si>
    <t>A. U.del Acueducto Multiveredal Nazareth y Tabacal. (Tabacal  Bajo).</t>
  </si>
  <si>
    <t>A.U. de Acueducto y Alcantarillado Villa Elena</t>
  </si>
  <si>
    <t>Corporación de Usuarios del Acueducto el Portento</t>
  </si>
  <si>
    <t>A. U.del Acueducto Tabacal Alto</t>
  </si>
  <si>
    <t>Asociación de Usuarios del Acueducto  Lejos del Nido</t>
  </si>
  <si>
    <t>Asociación de Usuarios del Acueducto Pantalio</t>
  </si>
  <si>
    <t>Asociación de Usuarios  del Acueducto  La fe</t>
  </si>
  <si>
    <t>Junta Administradora Sistema de Acueducto Los Medios</t>
  </si>
  <si>
    <t>Acueducto Multiveredal de las Veredas Pantanillo, Amapola y Pantalio. (Amapola)</t>
  </si>
  <si>
    <t>Acueducto Multiveredal de las Veredas Pantanillo, Amapola y Pantalio . (Pantanillo)</t>
  </si>
  <si>
    <t>Acueducto Multiveredal de las Veredas Pantanillo y Pantalio. (Pantalio)</t>
  </si>
  <si>
    <t>Asociación de Usuarios del Acueducto El Chuscal.  (Seminario)</t>
  </si>
  <si>
    <t>Asociacion de Usuarios del Acueducto El Chuscal. (Luis Arenas)</t>
  </si>
  <si>
    <t>Asociacion de Usuarios del Acueducto  Los Salados.</t>
  </si>
  <si>
    <t>Corporación de Usuarios del Acueducto Carrizales Parte alta.</t>
  </si>
  <si>
    <t>Asociacion de Usuarios del Acueducto Carrizales bajo</t>
  </si>
  <si>
    <t>Asociacion de Usuarios del Acueducto  Altos del Cauce</t>
  </si>
  <si>
    <t>Asociacion de Usuarios del Acueducto  Nazareth Parte baja.</t>
  </si>
  <si>
    <t>Corregimiento  El Ruby.</t>
  </si>
  <si>
    <t xml:space="preserve">Asociación Comunitaria Acueducto El Ruby. </t>
  </si>
  <si>
    <t>Corregimiento La Floresta (Versalles)</t>
  </si>
  <si>
    <t>Junta Administradora de Acueducto Corregimiento La Floresta-Versalles</t>
  </si>
  <si>
    <t>Corregimiento La Floresta (Ruby)</t>
  </si>
  <si>
    <t>Junta Administradora de Acueducto Corregimiento La Floresta-Rubi</t>
  </si>
  <si>
    <t>Corregimiento Villa Nueva</t>
  </si>
  <si>
    <t xml:space="preserve">Empresa de Servicios Públicos Corregimiento Villa Nueva </t>
  </si>
  <si>
    <t>Vereda Bareño</t>
  </si>
  <si>
    <t>Junta Administradora del Acueducto Bareño</t>
  </si>
  <si>
    <t>Comité Empresarial del Acueducto</t>
  </si>
  <si>
    <t>Vereda El Tapon</t>
  </si>
  <si>
    <t>Acueducto El Tapón</t>
  </si>
  <si>
    <t xml:space="preserve">Vereda La Melonada </t>
  </si>
  <si>
    <t>Junta de Acción Comunal Vereda La Melonada</t>
  </si>
  <si>
    <t>Vereda La Ceiba</t>
  </si>
  <si>
    <t>Junta Administradora Acueducto La Ceiba</t>
  </si>
  <si>
    <t>Vereda  Las Frías</t>
  </si>
  <si>
    <t>Asociación de Usuarios del Acueducto Veredal Las Frías</t>
  </si>
  <si>
    <t>Junta Acciión Comunal Vereda La María</t>
  </si>
  <si>
    <t>Vereda Estación Sofia</t>
  </si>
  <si>
    <t xml:space="preserve">Junta de Acción Comunal Estación Sofia. </t>
  </si>
  <si>
    <t>Junta Administradora de Acueducto La Soledad</t>
  </si>
  <si>
    <t>Vereda San Jacinto</t>
  </si>
  <si>
    <t>Acueducto Vereda San Jacinto</t>
  </si>
  <si>
    <t xml:space="preserve">Vereda Vargas </t>
  </si>
  <si>
    <t>Asociación de Usuarios Acueducto Multiveredal Vargas Pantanillo-Vargas</t>
  </si>
  <si>
    <t>Asociación de Usuarios Acueducto Multiveredal Vargas-Pantanillo</t>
  </si>
  <si>
    <t>Vereda Pavas</t>
  </si>
  <si>
    <t xml:space="preserve">Asociación de Usuarios Acueducto Vereda Pavas La Cuchilla E.P.S.D-Pavas </t>
  </si>
  <si>
    <t>Vereda Señor Caído</t>
  </si>
  <si>
    <t>Asociación de Usuarios Acueducto Vereda Pavas La Cuchilla E.P.S.D-Señor Caido E.P.S.D.</t>
  </si>
  <si>
    <t>Vereda El Carmelo</t>
  </si>
  <si>
    <t>Asociación de Usuarios del Acueducto Multiveredal El Carmelo Lourdes- El Carmelo</t>
  </si>
  <si>
    <t>Vereda Lourdes</t>
  </si>
  <si>
    <t>Asociación de Usuarios del Acueducto Multiveredal El Carmelo Lourdes- Lourdes</t>
  </si>
  <si>
    <t>Asociación de Usuarios del Acueducto Veredal Portachuelo de El Santuario Ant.</t>
  </si>
  <si>
    <t xml:space="preserve">Asociación de Usuarios Acueducto Pantanillo-La Milagrosa </t>
  </si>
  <si>
    <t>Vereda La Floresta</t>
  </si>
  <si>
    <t>Asociación de Copropietarios y Usuarios Acueducto Vereda La Floresta</t>
  </si>
  <si>
    <t>Vereda El Socorro</t>
  </si>
  <si>
    <t>Asociación de Usuarios Acueducto Vereda El Socorro</t>
  </si>
  <si>
    <t>Asociación de Usuarios Acueducto Vereda  San Matias</t>
  </si>
  <si>
    <t>Vereda  El Salaito</t>
  </si>
  <si>
    <t xml:space="preserve">Asociacion de Usuarios Acueducto El Salaito </t>
  </si>
  <si>
    <t>Vereda Valle María</t>
  </si>
  <si>
    <t>Asociación de Usuarios del Acueducto Multiveredal Valle de Maria La Chapa</t>
  </si>
  <si>
    <t xml:space="preserve">Vereda Potrerito  </t>
  </si>
  <si>
    <t>Asociación de Usuarios Acueducto Potrerito Aldana Municipio El Santuario-Potrerito</t>
  </si>
  <si>
    <t xml:space="preserve"> Vereda Aldana</t>
  </si>
  <si>
    <t>Asociación de Usuarios Acueducto Potrerito Aldana Municipio El Santuario-Aldana</t>
  </si>
  <si>
    <t>Asociación de Usuarios Acueducto Multiveredal San Eusebio El Roble Aldana Las Lajas El Carmelo Municipio El Santuario- El Roble</t>
  </si>
  <si>
    <t>Vereda Aldana</t>
  </si>
  <si>
    <t>Asociación de Usuarios Acueducto Multiveredal San Eusebio El Roble Aldana Las Lajas El Carmelo Municipio El Santuario- Aldana</t>
  </si>
  <si>
    <t>Asociación de Usuarios Acueducto Vereda El Morro</t>
  </si>
  <si>
    <t>Vereda Las Lajas</t>
  </si>
  <si>
    <t xml:space="preserve">Asociación de Usuarios Acueducto Vereda Las Lajas </t>
  </si>
  <si>
    <t>Vereda Las Palmas</t>
  </si>
  <si>
    <t>Asociación de Usuarios Acueducto Veredal Las Palmas</t>
  </si>
  <si>
    <t>Vereda Palmar  La Paz</t>
  </si>
  <si>
    <t xml:space="preserve">Asociación de Usuarios Acueducto Palmar La Paz </t>
  </si>
  <si>
    <t>Vereda Morritos</t>
  </si>
  <si>
    <t>Asociación de Usuarios Acueducto Morritos</t>
  </si>
  <si>
    <t>Vereda Las Colinas</t>
  </si>
  <si>
    <t>Asociación de Usuarios Acueducto Las Colinas</t>
  </si>
  <si>
    <t>Vereda El Salto</t>
  </si>
  <si>
    <t>Asociación de Usuarios Acueducto Palmarcito El Salto E.S.P.D-El Salto</t>
  </si>
  <si>
    <t>Vereda San Eusebio</t>
  </si>
  <si>
    <t>Asociación de Usuarios Acueducto Multiveredal San Eusebio El Roble Aldana Las Lajas El Carmelo Municipio El Santuario-San Eusebio</t>
  </si>
  <si>
    <t>Vereda  La  Aurora</t>
  </si>
  <si>
    <t>Asociación de Usuarios Acueducto Veredal La Aurora</t>
  </si>
  <si>
    <t>Vereda La Cuchilla</t>
  </si>
  <si>
    <t>Asociación de Usuarios Acueducto Vereda Pavas La Cuchilla E.P.S.D- La Cuchilla</t>
  </si>
  <si>
    <t>Asociación de Usuarios Acueducto Multiveredal San Eusebio El Roble Aldana Las Lajas El Carmelo Municipio El Santuario- Las Lajas</t>
  </si>
  <si>
    <t>Junta Administradora Acueducto Campo Alegre</t>
  </si>
  <si>
    <t>Vereda Aldana Arriba</t>
  </si>
  <si>
    <t>Asociacion de Usuarios Acueducto Vereda Aldana Arriba</t>
  </si>
  <si>
    <t>Vereda Bodeguitas</t>
  </si>
  <si>
    <t>Junta Administradora Acueducto Vereda Bodeguitas</t>
  </si>
  <si>
    <t>Vereda La Teneria</t>
  </si>
  <si>
    <t>Asociación de Usuarios y Suscriptores del Servicio Publico de Acueducto de La Vereda La Teneria E.P.S.D.</t>
  </si>
  <si>
    <t>Vereda La Serrania</t>
  </si>
  <si>
    <t>Asociacion de Usuarios del Acueducto La Serrania E.S.P.D</t>
  </si>
  <si>
    <t>Asociación de Usuarios Acueducto Vereda El Salto</t>
  </si>
  <si>
    <t xml:space="preserve">Junta Administradora Acueducto Vereda Buena Vista                    </t>
  </si>
  <si>
    <t>Barrio El Calvario Rural</t>
  </si>
  <si>
    <t>Asociación de Usuarios Acueducto Barrio Alto del Calvario- Zona Rural</t>
  </si>
  <si>
    <t>Vereda El Salaito</t>
  </si>
  <si>
    <t>Asociación de Usuarios del Acueducto Multiveredal Lourdes-Salaito</t>
  </si>
  <si>
    <t>Junta de Acción Comunal San Matías</t>
  </si>
  <si>
    <t>Junta de Acción Comunal El Vergel</t>
  </si>
  <si>
    <t>Vereda Vahitos</t>
  </si>
  <si>
    <t>Junta de Acción Comunal Vahitos</t>
  </si>
  <si>
    <t>Junta de Acción Comunal La Cascada</t>
  </si>
  <si>
    <t>Vereda Tafetanes</t>
  </si>
  <si>
    <t>Junta de Acción Comunal Tafetanes</t>
  </si>
  <si>
    <t>Asociación de Usuarios Suscriptores del Acueducto Rural Aguas Cristalinas- Los Medios</t>
  </si>
  <si>
    <t>Asociacion de Usuarios Suscriptores del Acueducto Rural- La Quiebra</t>
  </si>
  <si>
    <t>Vereda Reyes</t>
  </si>
  <si>
    <t>Junta de Acción Comunal Reyes</t>
  </si>
  <si>
    <t>Junta de Acción Comunal Quebradona Abajo</t>
  </si>
  <si>
    <t>Junta de Acción Comunal Malpaso</t>
  </si>
  <si>
    <t>Vereda Primavera</t>
  </si>
  <si>
    <t>Junta de Acción Comunal Primavera</t>
  </si>
  <si>
    <t>Vereda Los Planes</t>
  </si>
  <si>
    <t>Junta de Acción Comunal Los Planes</t>
  </si>
  <si>
    <t>Vereda Buenavista</t>
  </si>
  <si>
    <t>Junta de Acción Comunal Buena Vista</t>
  </si>
  <si>
    <t>NO</t>
  </si>
  <si>
    <t>Vereda El Tabor</t>
  </si>
  <si>
    <t>Junta de Acción Comunal El Tabor</t>
  </si>
  <si>
    <t>Vereda La Merced</t>
  </si>
  <si>
    <t>Junta de Acción Comunal La Merced</t>
  </si>
  <si>
    <t>Vereda El Eden</t>
  </si>
  <si>
    <t>Acueducto Multiveredal San Esteban, El Roble y El Eden-El Eden</t>
  </si>
  <si>
    <t>Acueducto Multiveredal San Esteban, El Roble y El Eden-El Roble</t>
  </si>
  <si>
    <t>Vereda Las Vegas</t>
  </si>
  <si>
    <t>Junta de Acción Comunal Las Vegas</t>
  </si>
  <si>
    <t>Acueducto Multiveredal San Esteban, El Roble y El Eden-San Esteban</t>
  </si>
  <si>
    <t>Vereda La Aguada</t>
  </si>
  <si>
    <t>Asociacion de Usuarios Suscriptores del Acueducto Rural Los Pomos de La Vereda- La Aguada</t>
  </si>
  <si>
    <t>Vereda Minitas</t>
  </si>
  <si>
    <t>Junta Administradora  de Acueducto Vereda Minitas</t>
  </si>
  <si>
    <t>Junta Administradora  de Acueducto Vereda Santa Ana</t>
  </si>
  <si>
    <t>Vereda Las Faldas</t>
  </si>
  <si>
    <t>Junta Administradora  de Acueducto Vereda Las Faldas</t>
  </si>
  <si>
    <t>Vereda Juan XXIII</t>
  </si>
  <si>
    <t>Asociacion de Suscriptores del Acueducto Multiveredal Juan XXIII-Chaparrall- Juan XXIII</t>
  </si>
  <si>
    <t>Junta de Acción Comunal Vereda Bellavista</t>
  </si>
  <si>
    <t>Vereda San Jose Canoas Sector Bajo</t>
  </si>
  <si>
    <t>Asociacion de Usuarios del Acueducto Veredal San Jose - Canoas Sector Bajo</t>
  </si>
  <si>
    <t>Asociacion de Usuarios del Acueducto Veredal San Jose -  San Jose</t>
  </si>
  <si>
    <t>Vereda San Jose Hondita SectorII</t>
  </si>
  <si>
    <t>Asociacion de Usuarios del Acueducto Veredal San Jose -  Hondita Sector II</t>
  </si>
  <si>
    <t>Vereda San Jose Honda Sector III</t>
  </si>
  <si>
    <t>Asociacion de Usuarios del Acueducto Veredal San Jose -Honda Sector III</t>
  </si>
  <si>
    <t>Vereda San Jose Hojas Anchas Sector alto</t>
  </si>
  <si>
    <t>Asociacion de Usuarios del Acueducto Veredal San Jose - Hojas Anchas Sector Alto</t>
  </si>
  <si>
    <t>Vereda Yolombal</t>
  </si>
  <si>
    <t>Asociación de Suscriptores del Acueducto Multiveredal El Roble - Yolombal</t>
  </si>
  <si>
    <t>Vereda La Enea</t>
  </si>
  <si>
    <t>Asociacion de Suscriptores del Acueducto Multiveredal El Roble - La Enea</t>
  </si>
  <si>
    <t>Vereda Palmar</t>
  </si>
  <si>
    <t>Asociación de Suscriptores del Acueducto Multiveredal El Roble - El Palmar</t>
  </si>
  <si>
    <t>Asociacion de Usuarios del Servicio de Acueducto de La Vereda Yolombal</t>
  </si>
  <si>
    <t>Vereda Hojas Anchas</t>
  </si>
  <si>
    <t>Asociacion de Suscriptores del Acueducto Hondita Hojas Anchas del Municipio de Guarne ASACUHAN – Hojas Anchas</t>
  </si>
  <si>
    <t>Asociacion de Suscriptores del Acueducto Hondita Hojas Anchas del Municipio de Guarne ASACUHAN – La Clara</t>
  </si>
  <si>
    <t>Asociacion de Suscriptores del Acueducto Hondita Hojas Anchas del Municipio de Guarne ASACUHAN– Bellavista</t>
  </si>
  <si>
    <t>Vereda Toldas</t>
  </si>
  <si>
    <t>Asociacion de Suscriptores del Acueducto Hondita Hojas Anchas del Municipio de Guarne ASACUHAN – Toldas</t>
  </si>
  <si>
    <t>Vereda Canoas</t>
  </si>
  <si>
    <t>Asociacion de Suscriptores del Acueducto Hondita Hojas Anchas del Municipio de Guarne ASACUHAN – Canoas</t>
  </si>
  <si>
    <t>Vereda La Mosquita</t>
  </si>
  <si>
    <t>Asociacion de Suscriptores del Acueducto Hondita Hojas Anchas del Municipio de Guarne ASACUHAN – La Mosquita</t>
  </si>
  <si>
    <t>Asociacion de Suscriptores del Acueducto Hondita Hojas Anchas del Municipio de Guarne ASACUHAN – San Jose</t>
  </si>
  <si>
    <t>Vereda La Hondita</t>
  </si>
  <si>
    <t>Aasociacion de Suscriptores del Acueducto Hondita Hojas Anchas del Municipio de Guarne ASACUHAN – Hondita</t>
  </si>
  <si>
    <t>Asociacion de Usuarios del Acueducto Ensenillo Asoense - El Salado</t>
  </si>
  <si>
    <t>Vereda La Brizuela</t>
  </si>
  <si>
    <t>Asociacion de Usuarios del Acueducto Ensenillo Asoense- La Brizuela</t>
  </si>
  <si>
    <t>Asociacion de Usuarios del Acueducto Ensenillo Asoense-San Isidro</t>
  </si>
  <si>
    <t>Vereda Sango parte baja</t>
  </si>
  <si>
    <t>Asociacion de Usuarios del Acueducto Ensenillo Asoense- Sango Parte Baja</t>
  </si>
  <si>
    <t>Asociacion de Usuarios del Acueducto El Rosario Piedras Blancas- Piedras Blancas</t>
  </si>
  <si>
    <t>Asociacion de Usuarios del Acueducto El Rosario Piedras Blanca- La Brizuela</t>
  </si>
  <si>
    <t>Vereda Pueblito</t>
  </si>
  <si>
    <t>Asociacion de Usuarios del Acueducto El Rosario Piedras Blanca- Pueblito</t>
  </si>
  <si>
    <t>Vereda Barro Blanco</t>
  </si>
  <si>
    <t>Asociacion de Usuarios del Acueducto El Rosario Piedras Blanca- Barro Blanco</t>
  </si>
  <si>
    <t>Asociacion de Usuarios del Acueducto El Rosario Piedras Blanca- San Isidro</t>
  </si>
  <si>
    <t>Vereda San Antonio Parte Baja</t>
  </si>
  <si>
    <t>Asociacion de Suscriptores del Acueducto Barrio San Antonio Aguasanan-San Antonio Parte Baja</t>
  </si>
  <si>
    <t>Vereda Guapante</t>
  </si>
  <si>
    <t>Asociacion Acueducto Guapante Asoagua</t>
  </si>
  <si>
    <t>Vereda Chaparral</t>
  </si>
  <si>
    <t>Asociacion de Suscriptores del Acueducto Multiveredal Juan XXIII Chaparral- Chaparral</t>
  </si>
  <si>
    <t>Asociacion de Suscriptores del Acueducto Multiveredal Juan XXIII Chaparral-Guamito</t>
  </si>
  <si>
    <t>Vereda Garrido</t>
  </si>
  <si>
    <t>Asociacion de Suscriptores del Acueducto Multiveredal Juan XXIII Chaparral-Garrido</t>
  </si>
  <si>
    <t>Vereda San Antonio Parte Alta</t>
  </si>
  <si>
    <t>Asociacion de Suscriptores del Acueducto Barrio San Antonio Aguasanan- San Antonio Parte Alta</t>
  </si>
  <si>
    <t>Vereda La Charanga</t>
  </si>
  <si>
    <t>Asociacion de Suscriptores del Acueducto Barrio San Antonio Aguasanan - La Charanga</t>
  </si>
  <si>
    <t>Asociacion de Usuarios del Acueducto Veredal La Clara</t>
  </si>
  <si>
    <t>Vereda El Colorado</t>
  </si>
  <si>
    <t>Asociacion de Suscriptores Acueducto Multiveredal El Colorado Asucol - Colorado</t>
  </si>
  <si>
    <t>Asociacion de Suscriptores Acueducto Multiveredal El Colorado Asucol - Bellavista</t>
  </si>
  <si>
    <t>Vereda  Garrido</t>
  </si>
  <si>
    <t>Asociacion de Suscriptores Acueducto Multiveredal El Colorado Asucol - Garrido</t>
  </si>
  <si>
    <t>Asociacion de Suscriptores Acueducto Multiveredal El Colorado Asucol - Toldas</t>
  </si>
  <si>
    <t>Vereda La Mosca</t>
  </si>
  <si>
    <t xml:space="preserve">Asociacion de Suscriptores Acueducto Multiveredal El Colorado Asucol - La Mosca </t>
  </si>
  <si>
    <t>Asociacion de Suscriptores Acueducto Multiveredal El Colorado Asucol - Chaparral</t>
  </si>
  <si>
    <t>Vereda Berracal</t>
  </si>
  <si>
    <t>Asociacion de Suscriptores Acueducto Multiveredal El Colorado Asucol - Berracal</t>
  </si>
  <si>
    <t>Vereda La Charanga Parte Alta</t>
  </si>
  <si>
    <t>Asociacion de Usuarios Acueducto La Charanga Parte Alta</t>
  </si>
  <si>
    <t>Asociacion de Usuarios del Acueducto de La Vereda La Brizuela</t>
  </si>
  <si>
    <t>Asociacion de Suscriptores Aguas La Chorrera  - La Mosquita</t>
  </si>
  <si>
    <t>Vereda San Ignacio</t>
  </si>
  <si>
    <t>Asociacion de Usuarios del Acueducto San Ignacio A.S.U.A.S.I. -San Ignacio</t>
  </si>
  <si>
    <t xml:space="preserve">Vereda El Porvenir </t>
  </si>
  <si>
    <t>Asociacion de Usuarios del Acueducto San Ignacio A.S.U.A.S.I. - El Porvenir</t>
  </si>
  <si>
    <t>Vereda Montañez</t>
  </si>
  <si>
    <t>Asociacion de Usuarios del Acueducto Montanes El Aguacate - Montañez</t>
  </si>
  <si>
    <t>Vereda El Sango</t>
  </si>
  <si>
    <t>Asociacion de Usuarios del Servicio de Acueducto de La Vereda El Sango -El Sango</t>
  </si>
  <si>
    <t>Vereda El Molino</t>
  </si>
  <si>
    <t>Asociacion de Usuarios del Servicio de Acueducto de La Vereda El Sango - El Molino</t>
  </si>
  <si>
    <t>Vereda  Montañez</t>
  </si>
  <si>
    <t>Asociacion de Usuarios del Servicio de Acueducto de La Vereda El Sango - Montañez</t>
  </si>
  <si>
    <t>Vereda  El Salado</t>
  </si>
  <si>
    <t>Asociacion de Usuarios del Servicio de Acueducto de La Vereda El Sango - El Salado</t>
  </si>
  <si>
    <t>Vereda  San Isidro</t>
  </si>
  <si>
    <t>Asociacion de Usuarios del Servicio de Acueducto de La Vereda El Sango - San Isidro</t>
  </si>
  <si>
    <t>Vereda  Romeral</t>
  </si>
  <si>
    <t>Asociacion de Usuarios del Servicio de Acueducto de La Vereda El Sango - Romeral</t>
  </si>
  <si>
    <t>Asociacion de Usuarios del Acueducto de La Vereda San Isidro- San Isidro</t>
  </si>
  <si>
    <t>Vereda El Sango parte alta</t>
  </si>
  <si>
    <t>Asociacion de Usuarios del Acueducto de La Vereda San Isidro- Sango Parte Alta</t>
  </si>
  <si>
    <t>Vereda Batea Seca</t>
  </si>
  <si>
    <t>Asociacion de Usuarios del Acueducto de La Vereda San Isidro- Batea Seca</t>
  </si>
  <si>
    <t>Asociacion de Usuarios del Acueducto de La Vereda San Isidro- Salado Parte Baja</t>
  </si>
  <si>
    <t>Vereda El Aguacate parte baja</t>
  </si>
  <si>
    <t>Asociacion de Usuarios del Acueducto Montanes El Aguacate - El Agucate Sector Bajo</t>
  </si>
  <si>
    <t>Vereda La Cabaña</t>
  </si>
  <si>
    <t>Asociacion de Usuarios del Acueducto Montanes El Aguacate - La Cabaña</t>
  </si>
  <si>
    <t>Vereda El Romeral</t>
  </si>
  <si>
    <t xml:space="preserve"> Asociacion de Usuarios del Acueducto de La Vereda Romeral</t>
  </si>
  <si>
    <t>Vereda La Pastorcita</t>
  </si>
  <si>
    <t>Asociacion de Usuarios del Acueducto La Pastorcita - La Pastorcita</t>
  </si>
  <si>
    <t>Vereda Batea Seca parte baja</t>
  </si>
  <si>
    <t>Asociacion de Usuarios del Acueducto La Pastorcita - Batea Seca Parte Baja</t>
  </si>
  <si>
    <t>Asociacion de Usuarios del Acueducto La Pastorcita - El Molino</t>
  </si>
  <si>
    <t>Asociacion de Usuarios del Acueducto Multiveredal El Molino -El Molino</t>
  </si>
  <si>
    <t>Vereda Sierra Linda</t>
  </si>
  <si>
    <t>Asociacion de Usuarios del Acueducto Multiveredal El Molino -Sierra Linda</t>
  </si>
  <si>
    <t>Asociacion de Usuarios del Acueducto Multiveredal El Molino -Romeral</t>
  </si>
  <si>
    <t>Asociacion de Usuarios del Acueducto Multiveredal El Molino -La Pastorcita</t>
  </si>
  <si>
    <t>Vereda Alto de la Virgen</t>
  </si>
  <si>
    <t>Asociacion de Usuarios del Acueducto Alto de La Virgen - Alto de La Virgen</t>
  </si>
  <si>
    <t>Vereda Alto de La Virgen Parte Alta</t>
  </si>
  <si>
    <t>Asociacion de Usuarios del Acueducto Alto de La Virgen - Parte Alta</t>
  </si>
  <si>
    <t>Vereda Romeral</t>
  </si>
  <si>
    <t>Asociacion de Usuarios del Acueducto Alto de La Virgen- Romeral</t>
  </si>
  <si>
    <t>Vereda La Mejia</t>
  </si>
  <si>
    <t>Asociacion Acueducto Vereda La Mejia - La Mejia</t>
  </si>
  <si>
    <t>Vereda Monteoscuro</t>
  </si>
  <si>
    <t>Asociacion Acueducto Vereda La Mejia -Monteoscuro</t>
  </si>
  <si>
    <t>Asociacion Acueducto Vereda La Mejia -Guapante</t>
  </si>
  <si>
    <t>Asociacion Acueducto Vereda La Mejia -Yolombal</t>
  </si>
  <si>
    <t>Asociacion Acueducto Vereda La Mejia -Alto de La Virgen</t>
  </si>
  <si>
    <t>Asociacion Acueducto Vereda La Mejia - Montañez</t>
  </si>
  <si>
    <t>Vereda La Charanga San Antonio Parte Alta</t>
  </si>
  <si>
    <t>Asociacion de Suscriptores del Acueducto Barrio San Antonio Aguasanan - La Charanga San Antonio Parte Alta</t>
  </si>
  <si>
    <t>Junta Administradora Acueducto Sonadora</t>
  </si>
  <si>
    <t>Vereda La Piedra</t>
  </si>
  <si>
    <t>Asociacion de Usuarios del Acueducto Multiveredal La Piedra La Pena y Los Naranjos-La Piedra</t>
  </si>
  <si>
    <t>Junta de Acción Comunal Vereda El Roble</t>
  </si>
  <si>
    <t>Junta Administradora Acueducto Quebrada Arriba</t>
  </si>
  <si>
    <t>Vereda San Miguel</t>
  </si>
  <si>
    <t>Vereda Guamito sector Capiro</t>
  </si>
  <si>
    <t>Vereda Los Saltos</t>
  </si>
  <si>
    <t>Vereda Piedras El Salvio</t>
  </si>
  <si>
    <t>Vereda  San Nicolas</t>
  </si>
  <si>
    <t>Corregimiento San Jose Cestillal</t>
  </si>
  <si>
    <t>Corregimiento San Jose La Palma</t>
  </si>
  <si>
    <t>Vereda La Miel</t>
  </si>
  <si>
    <t>Vereda El Higuerón Los Planes</t>
  </si>
  <si>
    <t>Vereda Colmenas (sin tratamiento)</t>
  </si>
  <si>
    <t xml:space="preserve">Vereda las lomitas </t>
  </si>
  <si>
    <t>Vereda El Tambo</t>
  </si>
  <si>
    <t>Sector La Palma -El Romeral</t>
  </si>
  <si>
    <t>Vereda San Gerardo</t>
  </si>
  <si>
    <t>Vereda La Loma</t>
  </si>
  <si>
    <t>Vereda Vallejuelitos Peñas</t>
  </si>
  <si>
    <t xml:space="preserve">Junta de Accion Comunal Vallejuelito Peñas </t>
  </si>
  <si>
    <t>Vereda La Concha</t>
  </si>
  <si>
    <t>Junta de Accion Comunal La Concha</t>
  </si>
  <si>
    <t>Corregimiento Mesopotamia</t>
  </si>
  <si>
    <t>Asociación de Usuarios del Acueducto y Alcantarillado del Corregimiento de Mesopotamia</t>
  </si>
  <si>
    <t>Junta de Accion Comunal  Pantalio</t>
  </si>
  <si>
    <t>Vereda La Almeria</t>
  </si>
  <si>
    <t>Asociacion de Usuarios del Acueducto de La Vereda La Almeria</t>
  </si>
  <si>
    <t xml:space="preserve">Junta de Accion Comunal Minitas </t>
  </si>
  <si>
    <t>Vereda La Palmera</t>
  </si>
  <si>
    <t>Junta de Accion Comunal La Palmera</t>
  </si>
  <si>
    <t>Vereda Chuscalito</t>
  </si>
  <si>
    <t>Asociación de Usuarios del Acueducto Chuscalito</t>
  </si>
  <si>
    <t>Asociación de Usuarios del Acueducto y Alcantarillado de La Vereda Buenavista</t>
  </si>
  <si>
    <t>Vereda El Cardal</t>
  </si>
  <si>
    <t>Asociación de Asociados del Acueducto de La Vereda El Cardal</t>
  </si>
  <si>
    <t>Vereda Las Teresas</t>
  </si>
  <si>
    <t>Asociación de Asociados del Acueducto de La Vereda Las Teresas</t>
  </si>
  <si>
    <t>Asociación de Usuarios del Acueducto de La Vereda Quebrada Negra Asuaquen Municipio de La Union departamento de Antioquia</t>
  </si>
  <si>
    <t>Vereda El Guarango</t>
  </si>
  <si>
    <t>Asociación de Usuarios del Acueducto de La Vereda El Guarango Asuagun Municipio de La Union departamento de Antioquia</t>
  </si>
  <si>
    <t>Vereda Fatima</t>
  </si>
  <si>
    <t>Asociacion de Asociados del Acueducto de La Vereda Fatima</t>
  </si>
  <si>
    <t>Asociación de Usuarios del Acueducto San Juan</t>
  </si>
  <si>
    <t>Vereda Colmenas García</t>
  </si>
  <si>
    <t>Asociación de Usuarios del Acueducto y/o Alcantarillado Colmenas García</t>
  </si>
  <si>
    <t>Vereda Las Brisas</t>
  </si>
  <si>
    <t xml:space="preserve">Junta de Accion Comunal Las Brisas </t>
  </si>
  <si>
    <t>Asociación de Socios del Acueducto de Las Acacias del Municipio del Carmen de Viboral - Las Acacias</t>
  </si>
  <si>
    <t>Sector El Hoyo</t>
  </si>
  <si>
    <t>Asociacion de Usuarios Propietarios de Acueducto Rural de Llanadas-Sector El Hoyo</t>
  </si>
  <si>
    <t>Sector Yolombos</t>
  </si>
  <si>
    <t>Asociacion de Usuarios Propietarios de Acueducto Rural de Llanadas-Sector Yolombos</t>
  </si>
  <si>
    <t>Vereda Cascajo Abajo</t>
  </si>
  <si>
    <t>Asociados del Acueducto de Cascajo- Cascajo Abajo</t>
  </si>
  <si>
    <t>Asociados del Acueducto de Cascajo - Campo Alegre</t>
  </si>
  <si>
    <t>Vereda Cimarronas</t>
  </si>
  <si>
    <t>Asociados del Acueducto de Cascajo- Cimarronas</t>
  </si>
  <si>
    <t>Vereda Cascajo Arriba</t>
  </si>
  <si>
    <t>Asociados del Acueducto de Cascajo- Cascajo Arriba</t>
  </si>
  <si>
    <t>Vereda Las Mercedes</t>
  </si>
  <si>
    <t>Acueducto Las Mercedes, La Esperanza, La Esmeralda y El Chagualo-Las Mercedes</t>
  </si>
  <si>
    <t>Vereda La Esmeralda</t>
  </si>
  <si>
    <t>Acueducto Las Mercedes, La Esperanza, La Esmeralda y El Chagualo-La Esmeraldo</t>
  </si>
  <si>
    <t>Acueducto Las Mercedes, La Esperanza, La Esmeralda y El Chagualo-La Esperanza</t>
  </si>
  <si>
    <t>Vereda El Chagualo</t>
  </si>
  <si>
    <t>Acueducto Las Mercedes, La Esperanza, La Esmeralda y El Chagualo-El Chagualo</t>
  </si>
  <si>
    <t>Vereda Chocho Mayo</t>
  </si>
  <si>
    <t>Asociación de Usuarios Propietarios del Acueducto Rural Alto del Mercado-Chocho Mayo</t>
  </si>
  <si>
    <t>Vereda Alto del Mercado</t>
  </si>
  <si>
    <t>Asociación de Usuarios Propietarios del Acueducto Rural Alto del Mercado-Alto del Mercado</t>
  </si>
  <si>
    <t>Vereda Santa Cruz</t>
  </si>
  <si>
    <t>Asociación de Usuarios Propietarios del Acueducto Rural Alto del Mercado-Santa Cruz</t>
  </si>
  <si>
    <t>Asociación de Usuarios Propietarios del Acueducto Rural Alto del Mercado-San Jose</t>
  </si>
  <si>
    <t>Vereda Pozo</t>
  </si>
  <si>
    <t>Asociacion de Usuarios Propietarios del Acueducto Multiveredal Pozo, La Inmaculada, Milagrosa-Pozo</t>
  </si>
  <si>
    <t>Asociacion de Usuarios Propietarios del Acueducto Multiveredal Pozo, La Inmaculada, Milagrosa-La Inmaculada</t>
  </si>
  <si>
    <t>Asociacion de Usuarios Propietarios del Acueducto Multiveredal Pozo, La Inmaculada, Milagrosa-El Rosario</t>
  </si>
  <si>
    <t>Asociacion de Usuarios Propietarios del Acueducto Multiveredal Pozo, La Inmaculada, Milagrosa-La Milagrosa</t>
  </si>
  <si>
    <t>Asociacion de Usuarios Propietarios del Acueducto Multiveredal Pozo, La Inmaculada, Milagrosa-El Porvenir</t>
  </si>
  <si>
    <t>Vereda Salto Arriba</t>
  </si>
  <si>
    <t>Asociacion Usuarios Propietarios del Acueducto Multiveredal Los Saltos-Salto Arriba</t>
  </si>
  <si>
    <t>Vereda Salto Abajo</t>
  </si>
  <si>
    <t>Asociacion Usuarios Propietarios del Acueducto Multiveredal Los Saltos-Salto Abajo</t>
  </si>
  <si>
    <t>Asociacion Usuarios Propietarios del Acueducto Multiveredal Los Saltos-Chocho Mayo</t>
  </si>
  <si>
    <t>Asociacion Usuarios Propietarios del Acueducto Multiveredal Los Saltos-El Rosario</t>
  </si>
  <si>
    <t>Vereda Montañita Arriba</t>
  </si>
  <si>
    <t>Asociacion de Usuarios Propietarios del Acueducto Montañita Arriba</t>
  </si>
  <si>
    <t>Vereda Montañita</t>
  </si>
  <si>
    <t>Asociacion Usuarios Propietarios del Acueducto Multiveredal Los Saltos-Montañita</t>
  </si>
  <si>
    <t>Vereda La Asuncion</t>
  </si>
  <si>
    <t>Asociacion Usuarios Propietarios del Acueducto Multiveredal Los Saltos-La Asunción</t>
  </si>
  <si>
    <t>Vereda Yarumos</t>
  </si>
  <si>
    <t>Asociacion Usuarios Propietarios del Acueducto Multiveredal Los Saltos-Yarumos</t>
  </si>
  <si>
    <t>Vereda  La Peña</t>
  </si>
  <si>
    <t>Asociacion Usuarios Propietarios del Acueducto Multiveredal Los Saltos-La Peña</t>
  </si>
  <si>
    <t>Asociacion Usuarios Propietarios del Acueducto Multiveredal Los Saltos-El Porvenir</t>
  </si>
  <si>
    <t xml:space="preserve"> Vereda Gaviria Sector La Escuela</t>
  </si>
  <si>
    <t>Asociación de Usuarios Propietarios del Acueducto Multiveredal Gaviria San Juan Bosco Aguas-Gaviria Sector La Escuela</t>
  </si>
  <si>
    <t>Verda Gaviria Sector Planta de Tratamiento</t>
  </si>
  <si>
    <t>Asociación de Usuarios Propietarios del Acueducto Multiveredal Gaviria San Juan Bosco Aguas-Gaviria Sector Planta de Tratamiento</t>
  </si>
  <si>
    <t>Asociación de Usuarios Propietarios del Acueducto Multiveredal Gaviria San Juan Bosco Aguas-Cristo Rey</t>
  </si>
  <si>
    <t>Vereda San Juan Bosco</t>
  </si>
  <si>
    <t>Asociación de Usuarios Propietarios del Acueducto Multiveredal Gaviria San Juan Bosco Aguas-San Juan Bosco</t>
  </si>
  <si>
    <t>Vereda El Recodo</t>
  </si>
  <si>
    <t>Asociación de Usuarios Propietarios del Acueducto Multiveredal Gaviria San Juan Bosco Aguas-El Recodo</t>
  </si>
  <si>
    <t>Asociación de Usuarios Propietarios del Acueducto Rural La Primavera El Socorro La Asunción y Parte del Alto del Mercado-El Socorro</t>
  </si>
  <si>
    <t>Vereda La Asunción</t>
  </si>
  <si>
    <t>Asociación de Usuarios Propietarios del Acueducto Rural La Primavera El Socorro La Asunción y Parte del Alto del Mercado-La Asunción</t>
  </si>
  <si>
    <t>Vereda Alto Del Mercado</t>
  </si>
  <si>
    <t>Asociación de Usuarios Propietarios del Acueducto Rural La Primavera El Socorro La Asunción y Parte del Alto del Mercado-Alto del Mercado</t>
  </si>
  <si>
    <t>Asociación de Usuarios Propietarios del Acueducto Rural La Primavera El Socorro La Asunción y Parte del Alto del Mercado-La Primavera</t>
  </si>
  <si>
    <t>Vereda La Aurora</t>
  </si>
  <si>
    <t>Vereda El Capiro</t>
  </si>
  <si>
    <t>Vereda Pontezuela</t>
  </si>
  <si>
    <t>Acueducto Río Abajo Los Pinos</t>
  </si>
  <si>
    <t>Vereda Santa Teresa</t>
  </si>
  <si>
    <t>Junta de Accion Comunal Vereda El Tabor</t>
  </si>
  <si>
    <t>Vereda Peñoles</t>
  </si>
  <si>
    <t>Junta de Accion Comunal Vereda Peñoles</t>
  </si>
  <si>
    <t>Vereda Arenosas</t>
  </si>
  <si>
    <t>Junta de Accion Comunal Arenosas</t>
  </si>
  <si>
    <t>Corregimiento El Jordan</t>
  </si>
  <si>
    <t>Asociacion de Usuarios Acueducto El Jordan AUAJOR</t>
  </si>
  <si>
    <t>Corregimiento Puerto Garza</t>
  </si>
  <si>
    <t>Junta de Accion Comunal Corregimiento Puerto Garza</t>
  </si>
  <si>
    <t>Vereda Dinamarca</t>
  </si>
  <si>
    <t>Junta de Accion Comunal Vereda Dinamarca</t>
  </si>
  <si>
    <t>Vereda Palmichal</t>
  </si>
  <si>
    <t>Asociacion de Usuarios Acueducto Palmichal</t>
  </si>
  <si>
    <t>Vereda La Rapida</t>
  </si>
  <si>
    <t>Asociacion de Usuarios del Acueducto La Rapida</t>
  </si>
  <si>
    <t>Vereda Santa Rita</t>
  </si>
  <si>
    <t>Junta de Accion Comunal Vereda Santa Rita</t>
  </si>
  <si>
    <t>Vereda Dos Quebradas</t>
  </si>
  <si>
    <t>Junta de Accion Comunal Vereda Dos Quebradas</t>
  </si>
  <si>
    <t>Junta de Accion Comunal Vereda El Choco</t>
  </si>
  <si>
    <t>Corregimiento Samana del Norte</t>
  </si>
  <si>
    <t>Junta de Accion Comunal Corregimiento Samana del Norte</t>
  </si>
  <si>
    <t>Vereda La Holanda</t>
  </si>
  <si>
    <t>Junta de Accion Comunal La Holanda</t>
  </si>
  <si>
    <t>Vereda El Paraguas</t>
  </si>
  <si>
    <t>Junta de Accion Comunal Vereda El Paraguas</t>
  </si>
  <si>
    <t>Vereda Agualinda</t>
  </si>
  <si>
    <t>Junta de Accion Comunal Agualinda</t>
  </si>
  <si>
    <t>Corregimiento Aquitania</t>
  </si>
  <si>
    <t>Junta de Accion Comunal Vereda Aquitania</t>
  </si>
  <si>
    <t>Vereda Pocitos</t>
  </si>
  <si>
    <t>Junta de Accion Comunal  Vereda Pocitos</t>
  </si>
  <si>
    <t>Vereda El Pajui</t>
  </si>
  <si>
    <t>Junta de Accion Comunal Vereda El Pajui</t>
  </si>
  <si>
    <t>Junta de Accion Comunal San Isidro</t>
  </si>
  <si>
    <t>Junta de Accion Comunal Vereda La Esperanza</t>
  </si>
  <si>
    <t>Vereda La Cristalina</t>
  </si>
  <si>
    <t>Junta de Accion Comunal Vereda La Cristalina</t>
  </si>
  <si>
    <t>Vereda Farallones</t>
  </si>
  <si>
    <t>Junta de Accion Comunal Vereda Farallones</t>
  </si>
  <si>
    <t xml:space="preserve">Corregimiento El Prodigio Central     </t>
  </si>
  <si>
    <t>Junta de Accion Comunal El Prodigio Central</t>
  </si>
  <si>
    <t xml:space="preserve">Corregimiento El Prodigio Barrio Valencia     </t>
  </si>
  <si>
    <t>Junta de Accion Comunal Barrio Valencia</t>
  </si>
  <si>
    <t>Junta de Accion Comunal Buenos Aires</t>
  </si>
  <si>
    <t>Vereda La Josefina</t>
  </si>
  <si>
    <t>Junta Administradora de Acueducto  La Josefina</t>
  </si>
  <si>
    <t>Junta de Accion Comunal Monteloro</t>
  </si>
  <si>
    <t>Vereda Cuba</t>
  </si>
  <si>
    <t>Junta de Accion Comunal Cuba</t>
  </si>
  <si>
    <t>Junta de Accion Comunal San Francisco</t>
  </si>
  <si>
    <t>Vereda Sopetran</t>
  </si>
  <si>
    <t>Junta de Accion Comunal Sopetran</t>
  </si>
  <si>
    <t>Vereda El Arenal</t>
  </si>
  <si>
    <t>Junta de Accion Comunal Barrio Totumito-Totumito</t>
  </si>
  <si>
    <t>Vereda la Rápida</t>
  </si>
  <si>
    <t>Junta de Accion Comunal La Rapida</t>
  </si>
  <si>
    <t>Vereda Bizcocho</t>
  </si>
  <si>
    <t>Junta de Accion Comunal El Bizcocho</t>
  </si>
  <si>
    <t>Vereda el Silencio</t>
  </si>
  <si>
    <t>Junta de Accion Comunal Vereda El Silencio</t>
  </si>
  <si>
    <t xml:space="preserve">Vereda Balsas </t>
  </si>
  <si>
    <t>Junta de Accion Comunal Balsas</t>
  </si>
  <si>
    <t>Junta de Accion Comunal El Brasil</t>
  </si>
  <si>
    <t>Vereda El Charco</t>
  </si>
  <si>
    <t>Junta de Accion Comunal El Charco</t>
  </si>
  <si>
    <t>Vereda El Topacio</t>
  </si>
  <si>
    <t>Junta de Accion Comunal El Topacio</t>
  </si>
  <si>
    <t>Vereda La Dorada</t>
  </si>
  <si>
    <t>Junta de Accion Comunal La Dorada</t>
  </si>
  <si>
    <t>Vereda Arenal</t>
  </si>
  <si>
    <t>Junta de Accion Comunal Barrio Totumito-El Arenal</t>
  </si>
  <si>
    <t>Vereda Piedras Arriba</t>
  </si>
  <si>
    <t>Junta Administradora Piedrasan-Piedras Arriba</t>
  </si>
  <si>
    <t>Vereda Danticas</t>
  </si>
  <si>
    <t>Junta Administradora Piedrasan-Danticas</t>
  </si>
  <si>
    <t>Vereda Tesorito</t>
  </si>
  <si>
    <t>Junta de Accion Comunal Tesorito</t>
  </si>
  <si>
    <t>Vereda La Cumbre</t>
  </si>
  <si>
    <t>Junta de Accion Comunal La Cumbre</t>
  </si>
  <si>
    <t>Vereda San Julian</t>
  </si>
  <si>
    <t>Junta de Accion Comunal San Julian</t>
  </si>
  <si>
    <t>Vereda El Brasil Parte Baja</t>
  </si>
  <si>
    <t>Junta de Accion Comunal Guayabal</t>
  </si>
  <si>
    <t>Acueducto Alto de La Compañía-Alto de La Compañía</t>
  </si>
  <si>
    <t>Asociacion de Suscriptores del Acueducto Veredal La Mina Vereda La Enea-La Enea</t>
  </si>
  <si>
    <t>Asociacion de Suscriptores del Acueducto Veredal La Mina Vereda La Enea-San Nicolás</t>
  </si>
  <si>
    <t>Acueducto Alto de La Compañía-El Potrero</t>
  </si>
  <si>
    <t>Asociacion de Usuarios del Acueducto de Chaparral</t>
  </si>
  <si>
    <t>Asociacion de Usuarios del Acueducto de La Vereda La Magdalena</t>
  </si>
  <si>
    <t>Asociacion de Usuarios del Acueducto de La Vereda El Porvenir-La Magdalena</t>
  </si>
  <si>
    <t>Asociacion de Usuarios del Acueducto de La Vereda El Porvenir-El Calvario</t>
  </si>
  <si>
    <t>Asociacion de Usuarios del Acueducto de La Vereda El Porvenir-Guaciru</t>
  </si>
  <si>
    <t>Asociacion de Usuarios del Acueducto de La Vereda El Porvenir-Travesias</t>
  </si>
  <si>
    <t>Asociacion de Usuarios del Acueducto de La Vereda El Porvenir-Santa Ana</t>
  </si>
  <si>
    <t>Asociacion de Usuarios del Acueducto de La Vereda El Porvenir-Porvenir</t>
  </si>
  <si>
    <t>Asociacion de Usuarios del Acueducto Multiveredal San Jose -San Jose</t>
  </si>
  <si>
    <t>Asociacion de Usuarios del Acueducto Multiveredal San Jose -Cantor</t>
  </si>
  <si>
    <t>Asociacion de Usuarios del Acueducto Multiveredal San Jose-San Ignacio</t>
  </si>
  <si>
    <t>Asociacion de Usuarios del Acueducto Multiveredal Carmelo Corrientes-El Carmelo</t>
  </si>
  <si>
    <t>Asociacion de Usuarios del Acueducto Multiveredal Carmelo Corrientes-El Canelo</t>
  </si>
  <si>
    <t>Asociacion de Usuarios del Acueducto Multiveredal Carmelo Corrientes-El Porvenir</t>
  </si>
  <si>
    <t>Asociacion de Usuarios del Acueducto Multiveredal Carmelo Corrientes-Piedragorda</t>
  </si>
  <si>
    <t>Asociacion de Usuarios del Acueducto Multiveredal Carmelo Corrientes-Corrientes</t>
  </si>
  <si>
    <t>Asociacion de Usuarios del Acueducto Multiveredal Piedragorda-Piedragorda</t>
  </si>
  <si>
    <t>Acueducto Multiveredal Piedragorda, La Cabaña, Peñolcito, Guamal, Potrerito-Potrerito</t>
  </si>
  <si>
    <t>Acueducto Multiveredal Piedragorda, La Cabaña, Peñolcito, Guamal, Potrerito-La Cabaña</t>
  </si>
  <si>
    <t>Acueducto Multiveredal Piedragorda, La Cabaña, Peñolcito, Guamal, Potrerito-Peñolcitos</t>
  </si>
  <si>
    <t>Acueducto Multiveredal Piedragorda, La Cabaña, Peñolcito, Guamal, Potrerito-Guamal</t>
  </si>
  <si>
    <t>Asociacion de Usuarios del Acueducto de La Vereda El Porvenir-San Cristobal</t>
  </si>
  <si>
    <t>Asociacion de Usuarios del Acueducto Guaciru-El Calvario</t>
  </si>
  <si>
    <t>Asociacion de Usuarios del Acueducto Guaciru-Travesias</t>
  </si>
  <si>
    <t>Asociacion de Usuarios del Acueducto Guaciru-San Cristobal</t>
  </si>
  <si>
    <t>Asociacion de Usuarios del Acueducto Guaciru-Magdalena</t>
  </si>
  <si>
    <t>Asociacion de Usuarios del Acueducto Honda, Floresta,  Santa Ana-La Peña</t>
  </si>
  <si>
    <t>Asociacion de Usuarios del Acueducto Guaciru-Guaciru</t>
  </si>
  <si>
    <t>Asociacion de Usuarios del Acueducto Santa Rita</t>
  </si>
  <si>
    <t>Asociacion de Usuarios del Acueducto Honda, Floresta,  Santa Ana-Santa Ana</t>
  </si>
  <si>
    <t>Vereda El Calvario</t>
  </si>
  <si>
    <t>Vereda Travesias</t>
  </si>
  <si>
    <t>Vereda San Cristobal</t>
  </si>
  <si>
    <t>Vereda La Magdalena</t>
  </si>
  <si>
    <t>Vereda Guaciru</t>
  </si>
  <si>
    <t>Vereda La Honda</t>
  </si>
  <si>
    <t>Vereda Alto de La Compañia</t>
  </si>
  <si>
    <t xml:space="preserve">Vereda La Enea </t>
  </si>
  <si>
    <t>Vereda San Nicolas</t>
  </si>
  <si>
    <t>Vereda El Potrero</t>
  </si>
  <si>
    <t>Vereda Cantor</t>
  </si>
  <si>
    <t>Vereda El Canelo</t>
  </si>
  <si>
    <t>Vereda  Piedragorda</t>
  </si>
  <si>
    <t>Vereda Piedragorda</t>
  </si>
  <si>
    <t>Vereda Peñolcitos</t>
  </si>
  <si>
    <t>Vereda Guamal</t>
  </si>
  <si>
    <t>Vereda La Porquera</t>
  </si>
  <si>
    <t>Vereda La Danta</t>
  </si>
  <si>
    <t>Aguas del Páramo de Sonsón S.A.S E.S.P. -La Danta</t>
  </si>
  <si>
    <t xml:space="preserve">Asociación de Usuarios del Acueducto Alcantarillado y Aseo de San Miguel </t>
  </si>
  <si>
    <t>Vereda Alto de Sabanas</t>
  </si>
  <si>
    <t>Junta Administradora de Acueducto Veredal Alto de Sabanas</t>
  </si>
  <si>
    <t>Vereda Los Potreros</t>
  </si>
  <si>
    <t>Junta Administradora de Acueducto Los Potreros</t>
  </si>
  <si>
    <t>Junta Administradora de Acueducto Veredal Arenillal Aguacates- Las Brisas</t>
  </si>
  <si>
    <t>Vereda La Habana La Loma</t>
  </si>
  <si>
    <t>Junta de Acueducto Veredal La Habana La Loma</t>
  </si>
  <si>
    <t>Proacueducto Piedras Blancas</t>
  </si>
  <si>
    <t>Junta Administradora de Acueducto Veredal Guamal</t>
  </si>
  <si>
    <t>Vereda Megallo Centro</t>
  </si>
  <si>
    <t>Junta Administradora de Acueducto Veredal Megallo Centro</t>
  </si>
  <si>
    <t>Vereda Roblalito B</t>
  </si>
  <si>
    <t>Junta Administradora de Acueductos Veredales  Roblalito B</t>
  </si>
  <si>
    <t>Vereda Yarumal Alta Vista</t>
  </si>
  <si>
    <t>Junta Administradora de Acueducto Veredal Yarumal Alta Vista</t>
  </si>
  <si>
    <t>Vereda Jerusalen</t>
  </si>
  <si>
    <t>Junta Administradora de Acueducto Veredal Jerusalén</t>
  </si>
  <si>
    <t>Junta de Acueducto Veredal Rio Arriba - San Francisco</t>
  </si>
  <si>
    <t>Vereda El Chirimoyo</t>
  </si>
  <si>
    <t xml:space="preserve">Junta de Acueducto Veredal El Chirymoyo </t>
  </si>
  <si>
    <t>Vereda Rio Arriba</t>
  </si>
  <si>
    <t>Junta de Acueducto Veredal  Rio Arriba</t>
  </si>
  <si>
    <t>Junta Administradora Acueducto los  Planes</t>
  </si>
  <si>
    <t>Vereda Arenillal</t>
  </si>
  <si>
    <t>Junta Administradora de Acueducto Veredal Arenillal Aguacates- Arenillal</t>
  </si>
  <si>
    <t>Vereda Cascaron</t>
  </si>
  <si>
    <t>Vereda El Pital</t>
  </si>
  <si>
    <t>Vereda Sardinas</t>
  </si>
  <si>
    <t>Vereda Quebradona</t>
  </si>
  <si>
    <t>Vereda Santa Isabel</t>
  </si>
  <si>
    <t>Vereda Canalones</t>
  </si>
  <si>
    <t>Vereda  El Bagre</t>
  </si>
  <si>
    <t>Vereda El 62</t>
  </si>
  <si>
    <t>Vereda  Canutillo</t>
  </si>
  <si>
    <t>Vereda Corrales</t>
  </si>
  <si>
    <t>Corregimiento La Susana</t>
  </si>
  <si>
    <t>Corregimiento La Floresta</t>
  </si>
  <si>
    <t>Vereda El Ingenio</t>
  </si>
  <si>
    <t>Vereda Alto Dolores</t>
  </si>
  <si>
    <t>Vereda Guardasol</t>
  </si>
  <si>
    <t>Corregimiento El Brasil</t>
  </si>
  <si>
    <t>Junta de Acción Comunal Corregimiento El Brasil</t>
  </si>
  <si>
    <t>Corregimiento Virginias</t>
  </si>
  <si>
    <t>Junta de Acción Comunal corregimiento Virginias</t>
  </si>
  <si>
    <t>Corregimiento Puerto Murillo</t>
  </si>
  <si>
    <t>Junta de Acción Comunal corregimiento  Puerto Murillo</t>
  </si>
  <si>
    <t>Junta de Acción Comunal Vereda La Cristalina</t>
  </si>
  <si>
    <t>Batallon Bombona</t>
  </si>
  <si>
    <t>Acueducto Batallón Bombona</t>
  </si>
  <si>
    <t>Vereda  Las Flores</t>
  </si>
  <si>
    <t>Junta de Acción Comunal Vereda Las Flores</t>
  </si>
  <si>
    <t>Vereda  La Carlota</t>
  </si>
  <si>
    <t>Junta de Acción Comunal Vereda La Carlota</t>
  </si>
  <si>
    <t>Vereda Dorado Calamar</t>
  </si>
  <si>
    <t>Junta de Acción Comunal Vereda el Dorado-Calamar</t>
  </si>
  <si>
    <t>Vereda  San Juan Debedout</t>
  </si>
  <si>
    <t>Junta de Acción Comunal Vereda San Juan de Bedouth</t>
  </si>
  <si>
    <t>Vereda  Minas de Vapor</t>
  </si>
  <si>
    <t>Junta de Acción Comunal Minas de Vapor</t>
  </si>
  <si>
    <t>Vereda Santa Martina</t>
  </si>
  <si>
    <t>Junta de Acción Comunal Vereda Santa Martina</t>
  </si>
  <si>
    <t>Vereda Bodegas</t>
  </si>
  <si>
    <t>Junta de Acción Comunal Vereda Bodegas</t>
  </si>
  <si>
    <t>Vereda Estación la Malena</t>
  </si>
  <si>
    <t>Junta de Acción Comunal Vereda Estación la Malena</t>
  </si>
  <si>
    <t>Vereda Estacion Calera</t>
  </si>
  <si>
    <t>Junta de Acción Comunal Vereda Calera</t>
  </si>
  <si>
    <t>Vereda Cabañas</t>
  </si>
  <si>
    <t>Junta de Acción Comunal Vereda Cabañas</t>
  </si>
  <si>
    <t>Corregimiento La Unión</t>
  </si>
  <si>
    <t>Empresas Públicas Municipales de Puerto Nare - Corregimiento La Unión</t>
  </si>
  <si>
    <t>Empresas Públicas Municipales de Puerto Nare - Corregimiento La Mina</t>
  </si>
  <si>
    <t>Corregimiento La Pesca</t>
  </si>
  <si>
    <t>Empresas Públicas Municipales de Puerto Nare - Corregimiento La Pesca</t>
  </si>
  <si>
    <t>Corregimiento La Sierra</t>
  </si>
  <si>
    <t>Empresas Públicas de Puerto Nare - Corregimiento La Sierra</t>
  </si>
  <si>
    <t>Vereda Los Delirios</t>
  </si>
  <si>
    <t>Empresas Públicas Municipales de Puerto Nare - Vereda La Clara</t>
  </si>
  <si>
    <t>Vereda Las Angelitas</t>
  </si>
  <si>
    <t>Vereda Alto del Pollo</t>
  </si>
  <si>
    <t>Asociación de Usuarios del Acueducto de La Vereda Alto del Pollo E.S.P</t>
  </si>
  <si>
    <t>Corregimiento Estación Cocorná</t>
  </si>
  <si>
    <t>Junta Administradora del Acueducto de Estación Cocorná</t>
  </si>
  <si>
    <t>Corremiento Las Mercedes</t>
  </si>
  <si>
    <t>Asociación de Ususarios del Acueducto y Alcantarillado de Las Mercedes Puerto Triunfo</t>
  </si>
  <si>
    <t>Corregimiento Doradal</t>
  </si>
  <si>
    <t>Asociación Junta Administradora del Acueducto y Alcantarillado de Doradal</t>
  </si>
  <si>
    <t>Asociación Junta Administradora del Acueducto La Florida</t>
  </si>
  <si>
    <t>Corregimiento Puerto Perales</t>
  </si>
  <si>
    <t>Asociación de Usuarios del Acueducto y Alcantarillado de Puerto Perales E.S.P</t>
  </si>
  <si>
    <t>Hacienda Napoles (Doradal)</t>
  </si>
  <si>
    <t>INPEC-El Pesebre</t>
  </si>
  <si>
    <t>Vereda Estación Pita</t>
  </si>
  <si>
    <t>Acueducto Estacion Pita</t>
  </si>
  <si>
    <t>Vereda Tres Ranchos</t>
  </si>
  <si>
    <t>Asociación de Usuarios del Acueducto y Alcantarillado  Tres Ranchos (E.S.P.)</t>
  </si>
  <si>
    <t>Corregimiento Santiago Berrio</t>
  </si>
  <si>
    <t>Asociación de Usuarios del Acueducto Corregimiento Santiago Berrio</t>
  </si>
  <si>
    <t>Vereda Napoles</t>
  </si>
  <si>
    <t>Acueducto Parcelas Napoles</t>
  </si>
  <si>
    <t>Vereda San Luis Beltrán</t>
  </si>
  <si>
    <t>Junta de Acción Comunal San Luis Beltran</t>
  </si>
  <si>
    <t xml:space="preserve">Corregimiento San Miguel  El Tigre </t>
  </si>
  <si>
    <t>Junta de Acción Comunal Corregimiento San Miguel "El Tigre"</t>
  </si>
  <si>
    <t>Vereda San Francisco Alto Cimitarra</t>
  </si>
  <si>
    <t>Junta de Acción Comunal San Francisco Alto Cimitarra</t>
  </si>
  <si>
    <t>Vereda Puerto Nuevo</t>
  </si>
  <si>
    <t>Junta de Acción Comunal Puerto Nuevo</t>
  </si>
  <si>
    <t xml:space="preserve">Vereda Boca de Don Juan </t>
  </si>
  <si>
    <t>Junta de Acción Comunal Bocas de Don Juan</t>
  </si>
  <si>
    <t>Junta de Acción Comunal El Porvenir</t>
  </si>
  <si>
    <t>Vereda Kilómetro Cinco</t>
  </si>
  <si>
    <t>Junta de Acción Comunal Kilometro Cinco</t>
  </si>
  <si>
    <t>Vereda Puerto Matilde</t>
  </si>
  <si>
    <t>Junta de Acción Comunal Puerto Matilde</t>
  </si>
  <si>
    <t>Vereda Vietnam</t>
  </si>
  <si>
    <t>Junta de Acción Comunal El Vietnam</t>
  </si>
  <si>
    <t>Vereda San Juan Ite</t>
  </si>
  <si>
    <t>Junta de Acción Comunal San Juan Hacienda Ite</t>
  </si>
  <si>
    <t>Vereda Cienaga de Barbacoas</t>
  </si>
  <si>
    <t>Junta de Accion Comunal Cienaga de Barbacoas</t>
  </si>
  <si>
    <t>Vereda La Congoja</t>
  </si>
  <si>
    <t>Junta de Acción Comunal Vereda La Congoja</t>
  </si>
  <si>
    <t>Vereda No Te Pases</t>
  </si>
  <si>
    <t>Junta de Acción Comunal No Te Pases</t>
  </si>
  <si>
    <t>Vereda Jabonal</t>
  </si>
  <si>
    <t>Junta de Acción Comunal Jabonal</t>
  </si>
  <si>
    <t>Vereda Caño Bodegas</t>
  </si>
  <si>
    <t>Junta de Acción Comunal Caño Bodegas Asociacion de Afrodescendientes</t>
  </si>
  <si>
    <t>Junta de Acción Comunal La Raya</t>
  </si>
  <si>
    <t>Vereda El Bagre</t>
  </si>
  <si>
    <t>Junta de Acción Comunal "El Bagre"</t>
  </si>
  <si>
    <t>Vereda Caño Blanco</t>
  </si>
  <si>
    <t>Junta de Acción Comunal Caño Blanco</t>
  </si>
  <si>
    <t>Vereda La Represa</t>
  </si>
  <si>
    <t xml:space="preserve">Junta de Acción Comunal Vereda La Represa </t>
  </si>
  <si>
    <t xml:space="preserve">Vereda Caño Negro  </t>
  </si>
  <si>
    <t>Junta de Acción Comunal "Caño Negro"</t>
  </si>
  <si>
    <t>Zona Rural Plana</t>
  </si>
  <si>
    <t>Aguas y Aseo de Yondó S.A. E.S.P. -  Zona Rural Plana</t>
  </si>
  <si>
    <t>Vereda La Esmeralda Barranquillita</t>
  </si>
  <si>
    <t>Junta de Accion Comunal La Esmeralda</t>
  </si>
  <si>
    <t>Corregimiento Margento</t>
  </si>
  <si>
    <t>ACUAMAR-Acueducto Margento</t>
  </si>
  <si>
    <t>Junta de Accion Comunal Risaralda</t>
  </si>
  <si>
    <t>Vereda La Union</t>
  </si>
  <si>
    <t>Junta de Accion Comunal La Union</t>
  </si>
  <si>
    <t>Vereda Las Peñitas</t>
  </si>
  <si>
    <t>Vereda Puerto Triana</t>
  </si>
  <si>
    <t>Junta de Accion Comunal Puerto Triana-Puerto Triana</t>
  </si>
  <si>
    <t>Corregimiento Cacerí</t>
  </si>
  <si>
    <t>Junta de Accion Comunal Caceri</t>
  </si>
  <si>
    <t>Vereda Santa Rosita</t>
  </si>
  <si>
    <t>Junta de Acion Comunal Santa Rosita</t>
  </si>
  <si>
    <t xml:space="preserve"> </t>
  </si>
  <si>
    <t>Junta de Accion Comunal Campo Alegre</t>
  </si>
  <si>
    <t>Corregimiento Cuturu</t>
  </si>
  <si>
    <t>Acueducto San Jose- Acueducto Cuturu</t>
  </si>
  <si>
    <t>Vereda Puerto Colombia</t>
  </si>
  <si>
    <t>Junta de Accion Comunal Puerto Colombia</t>
  </si>
  <si>
    <t>Junta de Acción Administradora Asovirgen-Acueducto La Virgen</t>
  </si>
  <si>
    <t>Corregimiento Palanca</t>
  </si>
  <si>
    <t>Junta de Acción Comunal Corregimiento Palanca</t>
  </si>
  <si>
    <t>Corregimiento La ilusión</t>
  </si>
  <si>
    <t>Junta de Acción Comunal Corregimiento La Ilusión</t>
  </si>
  <si>
    <t>Junta de Accion Comunal Santo Domingo</t>
  </si>
  <si>
    <t>Vereda Villa del Socorro</t>
  </si>
  <si>
    <t>Junta de Accion Comunal Villa del Socorro</t>
  </si>
  <si>
    <t>Corregimiento El Pando</t>
  </si>
  <si>
    <t>Junta de Accion Comunal  Corregimiento El Pando</t>
  </si>
  <si>
    <t>Cabildo Indigena Zenu</t>
  </si>
  <si>
    <t>Corregimiento Palomar</t>
  </si>
  <si>
    <t>Junta de Accion Comunal Palomar</t>
  </si>
  <si>
    <t>Barrio Chino</t>
  </si>
  <si>
    <t>Junta de Accion Comunal Vereda Barrio Chino</t>
  </si>
  <si>
    <t>Cooperativa Yarumal de Aguas</t>
  </si>
  <si>
    <t>Vereda El Morro</t>
  </si>
  <si>
    <t>Asociación de Usuarios de Acueducto del Acueducto  Vereda El Morro</t>
  </si>
  <si>
    <t>Vereda Pueblito de los Sánchez</t>
  </si>
  <si>
    <t>Asociación de Usuarios de Acueducto del Acueducto y Alcantarillado de la Vereda Pueblito de los Sanchez</t>
  </si>
  <si>
    <t>Vereda La Ferreria</t>
  </si>
  <si>
    <t>Vereda Maní Parte Baja</t>
  </si>
  <si>
    <t>AUAMCAM-E.S.P-Vereda La Mani Parte Baja</t>
  </si>
  <si>
    <t>Vereda Deposito La Virgen</t>
  </si>
  <si>
    <t>AUAMCAM-E.S.P-Deposito La Virgen</t>
  </si>
  <si>
    <t>AUAMCAM-E.S.P- Vereda El Morro</t>
  </si>
  <si>
    <t>Centro Poblado Camilo C</t>
  </si>
  <si>
    <t>Asociación de Suscriptores Acueducto de Camilo C - ASOCAMILO</t>
  </si>
  <si>
    <t>Vereda Sector El Mangal</t>
  </si>
  <si>
    <t>Asociación de Usuarios del Acueducto de Travesias Sector Carretera El Mangal</t>
  </si>
  <si>
    <t>Vereda Caseta Comunal</t>
  </si>
  <si>
    <t>Asociación de Usuarios del Acueducto de Vereda Travesías Caseta Comunal</t>
  </si>
  <si>
    <t>Vereda Parte Baja</t>
  </si>
  <si>
    <t>Vereda Malabrigo Parte Alta Fuente Malabriga</t>
  </si>
  <si>
    <t>Asociación de Usuarios del Acueducto  de la vereda Malabrigo parte Alta - Fuente La Malabriga</t>
  </si>
  <si>
    <t>VeredaMalabrigo Parte Alta Fuente La Chinca</t>
  </si>
  <si>
    <t xml:space="preserve">Asociación de Usuarios del Acueducto  de la vereda Malabrigo parte Alta - Fuente La Chinca </t>
  </si>
  <si>
    <t>Vereda Malabrigo Parte Baja</t>
  </si>
  <si>
    <t>Asociación de Usuarios del Acueducto  de la vereda Malabrigo parte Baja</t>
  </si>
  <si>
    <t>Vereda Yarumal</t>
  </si>
  <si>
    <t>Vereda Pueblito San Jose Sector Taborda</t>
  </si>
  <si>
    <t>Vereda Pueblito San Jose Sector La Escuela</t>
  </si>
  <si>
    <t>Vereda Mani de las Casas</t>
  </si>
  <si>
    <t>Vereda Piedecuesta</t>
  </si>
  <si>
    <t>Asociación de Usuarios del Acueducto Calle Nueva-Piedecuesta</t>
  </si>
  <si>
    <t>Vereda Maní Parte Alta</t>
  </si>
  <si>
    <t>AUAMCAM-E.S.P- Vereda La Mani Parte Alta</t>
  </si>
  <si>
    <t>Vereda Nicanor La Paja</t>
  </si>
  <si>
    <t>Vereda Nicanor Sabaletica</t>
  </si>
  <si>
    <t>Vereda Los Aljibes</t>
  </si>
  <si>
    <t>Vereda Paso Nivel</t>
  </si>
  <si>
    <t>Centro Poblado Minas</t>
  </si>
  <si>
    <t>Corregimiento La Clarita</t>
  </si>
  <si>
    <t>Centro Poblado El Cedro</t>
  </si>
  <si>
    <t>Sector Naranjitos</t>
  </si>
  <si>
    <t>Asociación de Usuarios del Acueducto Naranjitos</t>
  </si>
  <si>
    <t>Barrio Los Alvarez</t>
  </si>
  <si>
    <t>Corregimiento  El Cedro Sector Las Faldas</t>
  </si>
  <si>
    <t>Centro Poblado Camilo C Sector El Trincho</t>
  </si>
  <si>
    <t>Asociación de Usuarios Acueducto La Comunidad</t>
  </si>
  <si>
    <t xml:space="preserve">Junta Administradora de Acueducto Corregimiento Buenos Aires </t>
  </si>
  <si>
    <t>Corregimiento Santa Rita</t>
  </si>
  <si>
    <t>Junta de Acción Comunal Santa Rita-Corregimiento Santa Rita</t>
  </si>
  <si>
    <t>Corregimiento Santa Inés</t>
  </si>
  <si>
    <t>Acueducto Santa Ines -Corregimiento Santa Inés</t>
  </si>
  <si>
    <t>Corregimiento San Jose</t>
  </si>
  <si>
    <t>Asociación de Usuarios del Acueducto Veredal Corregimiento San Jose Andes E.S.P.</t>
  </si>
  <si>
    <t>Vereda La Lejía</t>
  </si>
  <si>
    <t>Asociación de Usuarios del Acueducto Veredal La Lejia Taparto Andes E.S.P</t>
  </si>
  <si>
    <t>Vereda La Cedrona</t>
  </si>
  <si>
    <t>Junta de Acción Comunal La Cedrona</t>
  </si>
  <si>
    <t>Vereda  Los Almendros</t>
  </si>
  <si>
    <t>Asociación de Usuarios del Acueducto Multiveredal del Municipio de Andes - Urbanización Los Almendros</t>
  </si>
  <si>
    <t>Vereda La Aguada Sector La Pava</t>
  </si>
  <si>
    <t>Vereda Las Flores</t>
  </si>
  <si>
    <t>Vereda La Solita</t>
  </si>
  <si>
    <t>Junta de Acción Comunal La Solita</t>
  </si>
  <si>
    <t>Corregimiento San Bartolo</t>
  </si>
  <si>
    <t>Asociación de Usuarios del Acueducto Multiveredal del Municipio de Andes - Corregimiento San Bartolo</t>
  </si>
  <si>
    <t>Empresa de Servicios Públicos de Andes S.A E.S.P - Sistema Maria Auxiliadora</t>
  </si>
  <si>
    <t>Vereda San Hernando</t>
  </si>
  <si>
    <t>Asociación de Usuarios del Acueducto Multiveredal del Municipio de Andes - Vereda San Hernando</t>
  </si>
  <si>
    <t>Vereda La Yolanda</t>
  </si>
  <si>
    <t>Asociación de Usuarios del Acueducto Veredal La Yolanda-La Yolanda</t>
  </si>
  <si>
    <t>Vereda El Crucero</t>
  </si>
  <si>
    <t>Acueducto El Cedrón y El Crucero-El Crucero</t>
  </si>
  <si>
    <t>Vereda El Cedrón</t>
  </si>
  <si>
    <t>Acueducto El Cedrón y El Crucero-El Cedrón</t>
  </si>
  <si>
    <t>Acueducto El Empedrado Vereda Risaralda</t>
  </si>
  <si>
    <t>Acueducto La Primavera Sector El Barrio Corregimiento de Buenos Aires</t>
  </si>
  <si>
    <t>Vereda La Carmelita</t>
  </si>
  <si>
    <t>Asociación de Usuarios del Acueducto Multiveredal del Municipio de Andes - La Carmelita</t>
  </si>
  <si>
    <t>Vereda  San Carlos</t>
  </si>
  <si>
    <t>Asociación de Usuarios del Acueducto Multiveredal del Municipio de Andes - Vereda San Carlos</t>
  </si>
  <si>
    <t>Junta Administradora de Acueducto del Municipio de Andes - Vereda alto del Rayo La Solita</t>
  </si>
  <si>
    <t>Vereda El Tapao</t>
  </si>
  <si>
    <t>Asociación de Usuarios del Acueducto Multiveredal del Municipio de Andes - Vereda El Tapao</t>
  </si>
  <si>
    <t>Sector El Empedrado</t>
  </si>
  <si>
    <t>Asociación de Usuarios del Acueducto Multiveredal del Municipio de Andes - Sector El Empedrado</t>
  </si>
  <si>
    <t>Sector Santa Elena</t>
  </si>
  <si>
    <t>Junta de Acción Comunal Santa Rita-El Pencal Sector Santa Elena</t>
  </si>
  <si>
    <t>Vereda La Quinta</t>
  </si>
  <si>
    <t>Junta de Acción Comunal Santa Rita-La Quinta</t>
  </si>
  <si>
    <t>Vereda Contrafuerte</t>
  </si>
  <si>
    <t>Fundación Berta Martínez-La Aguada</t>
  </si>
  <si>
    <t>Vereda Alto del Rayo</t>
  </si>
  <si>
    <t>Asociación de Usuarios del Acueducto Multiveredal del Municipio de Andes - Vereda Alto del Rayo</t>
  </si>
  <si>
    <t>Vereda El Cabrero</t>
  </si>
  <si>
    <t xml:space="preserve">Asociación de Usuarios del Acueducto Multiveredal del Municipio de Andes - Vereda El Cabrero </t>
  </si>
  <si>
    <t>Sector La Ciudad</t>
  </si>
  <si>
    <t>Acueducto La Ciudad, El Morro y El Palmar- Sector La Ciudad</t>
  </si>
  <si>
    <t>Sector Villa Luz</t>
  </si>
  <si>
    <t>Acueducto La Ciudad, El Morro y El Palmar- Sector Villa Luz</t>
  </si>
  <si>
    <t>Vereda Piamonte</t>
  </si>
  <si>
    <t>Asociación de Usuarios del Acueducto Multiveredal del Municipio de Andes - Vereda Piamonte</t>
  </si>
  <si>
    <t>Asociación de Usuarios del Acueducto Multiveredal del Municipio de Andes - Vereda Risaralda</t>
  </si>
  <si>
    <t>Sector la Manchurria</t>
  </si>
  <si>
    <t xml:space="preserve">Asociación de Usuarios del Acueducto Multiveredal del Municipio de Andes - Sector La Manchurria </t>
  </si>
  <si>
    <t>Vereda la Comuna</t>
  </si>
  <si>
    <t>Asociación de Usuarios del Acueducto Multiveredal del Municipio de Andes - Vereda La Comuna</t>
  </si>
  <si>
    <t>Vereda La Camelia</t>
  </si>
  <si>
    <t>Asociación de Usuarios del Acueducto Multiveredal del Municipio de Andes - Vereda La Camelia</t>
  </si>
  <si>
    <t>Vereda  la Alsacia</t>
  </si>
  <si>
    <t xml:space="preserve">Asociación de Usuarios del Acueducto  La Alsacia </t>
  </si>
  <si>
    <t>Asociación de Usuarios del Acueducto Multiveredal del Municipio de Andes -Palestina</t>
  </si>
  <si>
    <t>Vereda Alto Cañaveral Chorros Parte Alta</t>
  </si>
  <si>
    <t>Asociación de Usuarios del Acueducto Multiveredal del Municipio de Andes -Vereda Alto Cañaveral Chorros Parte Alto</t>
  </si>
  <si>
    <t>Vereda Alto Cañaveral La Negra</t>
  </si>
  <si>
    <t>Asociación de Usuarios del Acueducto Multiveredal del Municipio de Andes - Vereda Alto Cañaveral La Negra</t>
  </si>
  <si>
    <t>Asociación de Usuarios del Acueducto Multiveredal del Municipio de Andes -Vereda Alto Cañaveral Chorros Parte Bajo</t>
  </si>
  <si>
    <t>Vereda  El Rojo</t>
  </si>
  <si>
    <t>Asociación de Usuarios del Acueducto Multiveredal del Municipio de Andes - Vereda El Rojo</t>
  </si>
  <si>
    <t>Vereda  Bajo Cañaveral</t>
  </si>
  <si>
    <t xml:space="preserve">Asociación de Usuarios del Acueducto Multiveredal del Municipio de Andes - Vereda Bajo Cañaveral </t>
  </si>
  <si>
    <t>Vereda Monte Blanco</t>
  </si>
  <si>
    <t xml:space="preserve">Asociación de Usuarios del Acueducto Multiveredal del Municipio de Andes - Vereda Monte Blanc </t>
  </si>
  <si>
    <t>Corregimiento de Taparto</t>
  </si>
  <si>
    <t>Asociación de Usuarios del Acueducto del Corregimiento de Taparto (ADUACOT)</t>
  </si>
  <si>
    <t>Vereda el Golgota</t>
  </si>
  <si>
    <t>Asociación de Usuarios del Acueducto Multiveredal del Municipio de Andes - Vereda el Golgota</t>
  </si>
  <si>
    <t>Empresa de Aseo Caceres S.A ESP-Corregimiento El Jardin</t>
  </si>
  <si>
    <t>Empresa de Aseo Caceres S.A ESP-Corregimiento Puerto Belgica</t>
  </si>
  <si>
    <t>Corregimiento Manizalez</t>
  </si>
  <si>
    <t>Junta de Acción Comunal Manizalez</t>
  </si>
  <si>
    <t>Vereda Rio Man</t>
  </si>
  <si>
    <t xml:space="preserve">Junta de Acción Comunal Rio Man </t>
  </si>
  <si>
    <t>Vereda Nicaragua</t>
  </si>
  <si>
    <t xml:space="preserve">Junta de Acción Comunal Nicaragua </t>
  </si>
  <si>
    <t>Corregimiento La Estacion</t>
  </si>
  <si>
    <t>Dirección de Servicios Públicos Angelópolis - Corregimiento La Estacion</t>
  </si>
  <si>
    <t xml:space="preserve">Vereda Cienaguita  </t>
  </si>
  <si>
    <t>Junta de Accion Comunal Vereda Cieneguita</t>
  </si>
  <si>
    <t>Vereda El  Barro</t>
  </si>
  <si>
    <t>Asociación de Usuarios del Acueducto Multiveredal Angelopolis, Amaga y Titiribi - El Barro</t>
  </si>
  <si>
    <t>Vereda El Nudillo</t>
  </si>
  <si>
    <t>Asociación de Usuarios del Acueducto Multiveredal Angelopolis, Amaga y Titiribi - El Nudillo</t>
  </si>
  <si>
    <t xml:space="preserve">Junta de Usuarios Acueducto  Santa Bárbara </t>
  </si>
  <si>
    <t>Vereda Barrio Nuevo</t>
  </si>
  <si>
    <t>Asociación de Usuarios del Acueducto Multiveredal Angelopolis, Amaga y Titiribi - Barrio Nuevo</t>
  </si>
  <si>
    <t>Vereda La Miranda</t>
  </si>
  <si>
    <t>Asociación de Usuarios del Acueducto Multiveredal Angelopolis, Amaga y Titiribi - La Miranda</t>
  </si>
  <si>
    <t>Asociación de Usuarios del Acueducto Multiveredal Angelopolis, Amaga y Titiribi - Cienaguita</t>
  </si>
  <si>
    <t>Asociación de Usuarios del Acueducto Multiveredal Angelopolis, Amaga y Titiribi - San Isidro</t>
  </si>
  <si>
    <t>Junta Administradora de Acueducto El Nudillo</t>
  </si>
  <si>
    <t>Asociación de Suscriptores o Usuarios del Acueducto  El Barro</t>
  </si>
  <si>
    <t xml:space="preserve">Vereda Bellavista </t>
  </si>
  <si>
    <t>Asociación de Usuarios del Acueducto Bellavista, Los Aguacates y Santa Ana-Bellavista</t>
  </si>
  <si>
    <t>Asociación de Usuarios del Acueducto Bellavista, Los Aguacates y Santa Ana-Santa Ana</t>
  </si>
  <si>
    <t>Vereda Los Aguacates</t>
  </si>
  <si>
    <t>Asociación de Usuarios del Acueducto Bellavista, Los Aguacates y Santa Ana-Los Aguacates</t>
  </si>
  <si>
    <t>Vereda Pedral Abajo</t>
  </si>
  <si>
    <t>Asociación de Usuarios del Acueducto Multiveredal Betania - Hispania E.S.P-Pedral Abajo</t>
  </si>
  <si>
    <t>Vereda Las Travesias</t>
  </si>
  <si>
    <t>Asociación de Usuarios del Acueducto Multiveredal Betania - Hispania E.S.P-Las Travesias</t>
  </si>
  <si>
    <t>Asociación de Usuarios del Acueducto Multiveredal Betania - Hispania E.S.P-Las Mercedes</t>
  </si>
  <si>
    <t>Asociación de Usuarios del Acueducto Multiveredal Betania - Hispania E.S.P-Las Animas</t>
  </si>
  <si>
    <t>Asociación de Usuarios del Acueducto Multiveredal Betania - Hispania E.S.P-La Julia</t>
  </si>
  <si>
    <t>Vereda Palenque</t>
  </si>
  <si>
    <t>Vereda Media Luna</t>
  </si>
  <si>
    <t>Asociación de Usuarios del Acueducto Multiveredal Betania - Hispania E.S.P-Media Luna</t>
  </si>
  <si>
    <t>Vereda La Hermosa</t>
  </si>
  <si>
    <t>Asociación de Usuarios del Acueducto Multiveredal Betania - Hispania E.S.P-La Hermosa</t>
  </si>
  <si>
    <t>Vereda Alto del Oso</t>
  </si>
  <si>
    <t>Asociación de Usuarios del Acueducto Multiveredal Betania - Hispania E.S.P-Alto del Oso</t>
  </si>
  <si>
    <t>Asociación de Usuarios del Acueducto de Altamira Municipio de Betulia - El Tostado</t>
  </si>
  <si>
    <t>Vereda  El Cuchillon</t>
  </si>
  <si>
    <t>Junta de Acción Comunal El Cuchillon</t>
  </si>
  <si>
    <t>Corregimiento Cangrejo</t>
  </si>
  <si>
    <t>Junta de Accion Comunal Corregimiento de Cangrejo</t>
  </si>
  <si>
    <t>Vereda El Piñonal</t>
  </si>
  <si>
    <t>Junta de Acción Comunal Piñonal</t>
  </si>
  <si>
    <t>Vereda Las Ánimas</t>
  </si>
  <si>
    <t>Junta de Acción Comunal Las Animas</t>
  </si>
  <si>
    <t>Asociacion de Usuarios del Acueducto Multiveredal Las Iglesias Betulia E.S.P-Santa Rita</t>
  </si>
  <si>
    <t>Vereda El Cuchuco</t>
  </si>
  <si>
    <t>Junta de Accion Comunal El Cuchuco</t>
  </si>
  <si>
    <t>Vereda La Manguita</t>
  </si>
  <si>
    <t>Asociación de Usuarios El yerbal - Paraje La Manguita</t>
  </si>
  <si>
    <t>Junta de Accion Comunal San Antonio</t>
  </si>
  <si>
    <t>Vereda Los Animes</t>
  </si>
  <si>
    <t>Asociación de Usuarios Los Animes</t>
  </si>
  <si>
    <t>Junta de Accion Comunal El Guadual</t>
  </si>
  <si>
    <t>Vereda Pueblo Duro</t>
  </si>
  <si>
    <t>Asociación de Usuarios El Yerbal -Pueblo Duro</t>
  </si>
  <si>
    <t>Vereda  El León</t>
  </si>
  <si>
    <t>Junta de Acción Comunal El Leon</t>
  </si>
  <si>
    <t>Vereda El Indio</t>
  </si>
  <si>
    <t>Asociación de Usuarios del Acueducto Multiveredal "Luciano Restrepo" -  El Indio y Pinguro</t>
  </si>
  <si>
    <t>Vereda La Guaimalita</t>
  </si>
  <si>
    <t>Asociación de Usuarios del Acueducto Multiveredal "Luciano Restrepo"-  La Guamalita</t>
  </si>
  <si>
    <t>Corregimiento Luciano Restrepo</t>
  </si>
  <si>
    <t>Asociación de Usuarios del Acueducto Multiveredal "Luciano Restrepo"-Corregimiento Luciano Restrepo</t>
  </si>
  <si>
    <t>Vereda La Vargas</t>
  </si>
  <si>
    <t>Junta de Accion Comunal La Vargas</t>
  </si>
  <si>
    <t xml:space="preserve">Vereda La Asomadera </t>
  </si>
  <si>
    <t xml:space="preserve">Junta de Acción Comunal La Asomadera </t>
  </si>
  <si>
    <t>Vereda Altamira</t>
  </si>
  <si>
    <t>Asociación de Usuarios del Acueducto de Altamira Municipio de Betulia-Altamira</t>
  </si>
  <si>
    <t>Vereda  La Ceibala</t>
  </si>
  <si>
    <t>Asociación de Usuarios El Yerbal - La Ceibala</t>
  </si>
  <si>
    <t>Vereda  La Iracala</t>
  </si>
  <si>
    <t>Asociación de Usuarios El Yerbal -La Iracala</t>
  </si>
  <si>
    <t>Vereda  Quebrada Arriba</t>
  </si>
  <si>
    <t>Junta de Acción Comunal Quebrada Arriba</t>
  </si>
  <si>
    <t>Vereda La Cibeles</t>
  </si>
  <si>
    <t>Asociacion de Usuarios del Acueducto Multiveredal Las Iglesias Betulia E.S.P.-La Cibeles</t>
  </si>
  <si>
    <t>Vereda La Urraeña</t>
  </si>
  <si>
    <t>Junta de Accion Comunal La Urraeña</t>
  </si>
  <si>
    <t>Vereda Purco</t>
  </si>
  <si>
    <t>Asociación de Usuarios del Acueducto de Altamira-Purco</t>
  </si>
  <si>
    <t>Vereda El Yerbal</t>
  </si>
  <si>
    <t>Junta Administradora Acueducto Multiveredal Guayabal-El Yerbal</t>
  </si>
  <si>
    <t>Vereda La Ciénaga</t>
  </si>
  <si>
    <t>Asociación de Usuarios del Acueducto de Altamira Municipio de Betulia - La Cienaga</t>
  </si>
  <si>
    <t>Junta de Accion Comunal La Quiebra</t>
  </si>
  <si>
    <t>Corregimeinto Puerto Lopez</t>
  </si>
  <si>
    <t>Junta de Accion Comunal Corregimiento Puerto López</t>
  </si>
  <si>
    <t>Corregiemiento Puerto Claver</t>
  </si>
  <si>
    <t>ASUAPUCLA-Corregimiento Puerto Claver</t>
  </si>
  <si>
    <t>Junta de Accion Comunal Corregimento Las Flores</t>
  </si>
  <si>
    <t>Corregimento de Colorado</t>
  </si>
  <si>
    <t>Junta de Accion Comunal Corregimento de Colorado</t>
  </si>
  <si>
    <t>Corregimento Las Conchas</t>
  </si>
  <si>
    <t>Junta de Accion Comunal Corregimento Las Conchas</t>
  </si>
  <si>
    <t>Corregimento Puerto de los Indios</t>
  </si>
  <si>
    <t>Junta de Accion Comunal Corregimento Puerto de los Indios</t>
  </si>
  <si>
    <t>Corregimento Puerto Gaitan</t>
  </si>
  <si>
    <t>Junta de Accion Comunal Corregimento Puerto Gaitan</t>
  </si>
  <si>
    <t>Corregimiento  La Caucana Rural</t>
  </si>
  <si>
    <t>Administracion Municipal Taraza-La Caucana</t>
  </si>
  <si>
    <t>Junta Accion Comunal el Oasis Buenos Aires</t>
  </si>
  <si>
    <t>Vereda El Tres</t>
  </si>
  <si>
    <t>Junta de Accion Comunal El Tres</t>
  </si>
  <si>
    <t>Corregimiento Barro Blanco</t>
  </si>
  <si>
    <t>Junta Accion Comunal Montenegro-Barro Blanco</t>
  </si>
  <si>
    <t>Corregimiento El Guimaro</t>
  </si>
  <si>
    <t>Junta de Accion Comunal El Guaimaro</t>
  </si>
  <si>
    <t>Corregimiento El Doce</t>
  </si>
  <si>
    <t>Junta de Accion Comunal   El Doce</t>
  </si>
  <si>
    <t>Corregimiento Puerto Antioquia</t>
  </si>
  <si>
    <t>Junta de Accion Comunal Puerto Antioquia</t>
  </si>
  <si>
    <t>Vereda La Pipiola</t>
  </si>
  <si>
    <t>Junta Accion Comunal La Pipola</t>
  </si>
  <si>
    <t>Vereda Pueblo Nuevo</t>
  </si>
  <si>
    <t>Junta de Acueducto Pueblo Nuevo</t>
  </si>
  <si>
    <t>Vereda El Paramo</t>
  </si>
  <si>
    <t>Junta de Acción Comunal El Paramo</t>
  </si>
  <si>
    <t>Vereda Pablo Muera</t>
  </si>
  <si>
    <t>Resguardo Indigena</t>
  </si>
  <si>
    <t>Junta de Acción Comunal La Arenosa</t>
  </si>
  <si>
    <t>Vereda La Clarita</t>
  </si>
  <si>
    <t>Junta de Acción Comunal La Clarita</t>
  </si>
  <si>
    <t>Corregimiento El Pato</t>
  </si>
  <si>
    <t>ASOAGUA La Fortuna</t>
  </si>
  <si>
    <t>Vereda La Pajuila</t>
  </si>
  <si>
    <t>Junta de Acción Comunal La Pajuila</t>
  </si>
  <si>
    <t>Verdea Chilona Abajo</t>
  </si>
  <si>
    <t>Junta de Accion Comunal Chichona Abajo</t>
  </si>
  <si>
    <t>Vereda La Quebradona</t>
  </si>
  <si>
    <t>Junta Administradora de Acueducto Quebradona Número Uno</t>
  </si>
  <si>
    <t>Vereda Vegas de Segovia</t>
  </si>
  <si>
    <t>ACUAVEGA-Vegas de Segovia</t>
  </si>
  <si>
    <t>Junta de Acción Comunal La Porquera</t>
  </si>
  <si>
    <t>Vereda El Saltillo</t>
  </si>
  <si>
    <t>ASOA-Vereda El Saltillo</t>
  </si>
  <si>
    <t>Junta de Acción Comunal El Retiro</t>
  </si>
  <si>
    <t>Junta de Acción Comunal La Estrella</t>
  </si>
  <si>
    <t>Vereda La Muñoz</t>
  </si>
  <si>
    <t>Asociación de Usuarios de Acueducto  La Muñoz</t>
  </si>
  <si>
    <t>Vereda La Culebra</t>
  </si>
  <si>
    <t>Asociación de Usuarios de Acueducto Pajarito-La Culebra</t>
  </si>
  <si>
    <t>Asociación de Usuarios de Acueducto Santa Rita</t>
  </si>
  <si>
    <t>Vereda La Trinidad</t>
  </si>
  <si>
    <t>Asociación de Usuarios de Acueducto La Trinidad</t>
  </si>
  <si>
    <t>VeredaLa Chiquita</t>
  </si>
  <si>
    <t>Asociación de Usuarios de Acueducto Manzanillo-La Chuiquita</t>
  </si>
  <si>
    <t>Asociación de Usuarios de Acueducto Los Pantanos</t>
  </si>
  <si>
    <t>Asociación de Usuarios de Acueducto Batea Seca</t>
  </si>
  <si>
    <t>VeredaMatablanco</t>
  </si>
  <si>
    <t>Asociación de Usuarios de Acueducto Altorhin Matablanco</t>
  </si>
  <si>
    <t>Vereda Santa Anita</t>
  </si>
  <si>
    <t>Asociación de Usuarios de Acueducto Quiebra Arriba-Santa Anita</t>
  </si>
  <si>
    <t>Vereda Los Pinos</t>
  </si>
  <si>
    <t>Asociación de Usuarios de Acueducto  Los Pinos</t>
  </si>
  <si>
    <t>Vereda Santa Ana Los Chochos</t>
  </si>
  <si>
    <t>Acueducto Multiveredal Santa Ana Los Chochos</t>
  </si>
  <si>
    <t>Vereda Altorhin</t>
  </si>
  <si>
    <t xml:space="preserve">Asociación de Usuarios de Acueducto Altorhin </t>
  </si>
  <si>
    <t>Vereda El Olivo</t>
  </si>
  <si>
    <t>Asociación de Usuarios de Acueducto Canoas-Maldonado-El Olivo-Montañita</t>
  </si>
  <si>
    <t>Vereda Quiebra Arriba</t>
  </si>
  <si>
    <t xml:space="preserve">Asociación de Usuarios de Acueducto Quiebra Arriba </t>
  </si>
  <si>
    <t>Vereda San Alejandro</t>
  </si>
  <si>
    <t>Asociación de Usuarios de Acueducto San Alejandro</t>
  </si>
  <si>
    <t>Vereda Los Cañaveral es</t>
  </si>
  <si>
    <t>Asociación de Usuarios de Acueducto Los Cañaverales</t>
  </si>
  <si>
    <t>Asociación de Usuarios de Acueducto El Socorro</t>
  </si>
  <si>
    <t>Vereda El Oriente</t>
  </si>
  <si>
    <t>Asociación de Usuarios de Acueducto El Oriente</t>
  </si>
  <si>
    <t>Vereda Llanos de Cuiva</t>
  </si>
  <si>
    <t>Asociación de Usuarios de Acueducto Llanos de Cuiva</t>
  </si>
  <si>
    <t>Vereda Guajira Abajo</t>
  </si>
  <si>
    <t>Asociación de Usuarios de Acueducto Guajira Abajo</t>
  </si>
  <si>
    <t>Vereda Guajira Arriba</t>
  </si>
  <si>
    <t>Asociación de Usuarios de Acueducto Guajira Arriba</t>
  </si>
  <si>
    <t>Asociación de Usuarios de Acueducto La Milagrosa</t>
  </si>
  <si>
    <t>Vereda La Quiebrita</t>
  </si>
  <si>
    <t>Asociación de Usuarios de Acueducto La Quiebrita</t>
  </si>
  <si>
    <t>Vereda Pajarito Arriba</t>
  </si>
  <si>
    <t xml:space="preserve">Asociación de Usuarios de Acueducto Veredal de La Quinta </t>
  </si>
  <si>
    <t>Corregimiento  Barro Blanco</t>
  </si>
  <si>
    <t>Junta Administradora de Acueducto Corregimiento de Barro Blanco</t>
  </si>
  <si>
    <t>Corregimiento  Alegrías</t>
  </si>
  <si>
    <t>Asociación de Usuarios del Acueducto Multiveredal del Corregimiento de Alegrías (AMCA)</t>
  </si>
  <si>
    <t>Vereda La Frisolera</t>
  </si>
  <si>
    <t>Junta de Acción Comunal Vereda La Frisolera</t>
  </si>
  <si>
    <t>Corregimiento  Sucre</t>
  </si>
  <si>
    <t>Junta Administradora de Acueducto Corregimiento de Sucre</t>
  </si>
  <si>
    <t>Vereda Aguadita Grande</t>
  </si>
  <si>
    <t>Junta de Acción Comunal Vereda La Aguadita Grande</t>
  </si>
  <si>
    <t>Vereda Aguadita Chiquita</t>
  </si>
  <si>
    <t>Junta de Acción Comunal Vereda La Aguadita Chiquita</t>
  </si>
  <si>
    <t>Junta de Acccion Comunal  Vereda San Antonio</t>
  </si>
  <si>
    <t>Vereda Chirapoto</t>
  </si>
  <si>
    <t>Junta de Acccion Comunal Vereda Chirapoto</t>
  </si>
  <si>
    <t>Junta de Acción Comunal Vereda La Cascada</t>
  </si>
  <si>
    <t>Vereda La Sirena</t>
  </si>
  <si>
    <t>Junta de Acción Comunal Vereda La Sirena</t>
  </si>
  <si>
    <t>Vereda Yarumalito</t>
  </si>
  <si>
    <t>Junta de Acción Comunal Vereda Yarumalito</t>
  </si>
  <si>
    <t>Junta de Acción Comunal Vereda San Pablo</t>
  </si>
  <si>
    <t>Sector Corozal</t>
  </si>
  <si>
    <t>Junta Administradora de Acueducto Vereda Cañas Sector Corozal</t>
  </si>
  <si>
    <t>Junta Administradora de Acueducto Vereda Palmichal</t>
  </si>
  <si>
    <t>Vereda El Balso</t>
  </si>
  <si>
    <t>Junta Administradora de Acueducto Vereda El Balso</t>
  </si>
  <si>
    <t>Vereda Peladeros</t>
  </si>
  <si>
    <t>Junta Administradora de Acueducto Vereda Peladeros</t>
  </si>
  <si>
    <t>Vereda El Tostado</t>
  </si>
  <si>
    <t>SI</t>
  </si>
  <si>
    <t>Planta de tratamiento</t>
  </si>
  <si>
    <t>Asociación de Usuarios del Acueducto Multiveredal Betania - Hispania E.S.P-Planta de tratamiento</t>
  </si>
  <si>
    <t>Asociacion de Usuarios de Acueducto Vereda Santa Rita (ASOSANI)</t>
  </si>
  <si>
    <t>Asociacion del Acueducto Vereda La Aguada-Sector La Pava</t>
  </si>
  <si>
    <t>Asociacion del Acueducto de Santa Ines Vereda Las Flores</t>
  </si>
  <si>
    <t>Asociacion del Acueducto de Santa Ines Vereda San Antonio</t>
  </si>
  <si>
    <t>Asociacion del Acueducto Vereda La Aguada-El Molino</t>
  </si>
  <si>
    <t>Asociacion de Usuarios del Acueducto Multiveredal del Municipio de Andes - Sector El Empedrado</t>
  </si>
  <si>
    <t>Asociacion de Usuarios del Acueducto Multiveredal de Jardin-Contrafuerte</t>
  </si>
  <si>
    <t>Vereda Alto Cañaveral Chorros Parte Baja</t>
  </si>
  <si>
    <t>Vereda Peñas Azules</t>
  </si>
  <si>
    <t xml:space="preserve">Acueducto Veredal Peñas Azules </t>
  </si>
  <si>
    <t xml:space="preserve">Vereda Santa Elena </t>
  </si>
  <si>
    <t>Acueducto Vereda Santa Elena</t>
  </si>
  <si>
    <t>Vereda La Melliza</t>
  </si>
  <si>
    <t>Asociación de Usuarios del Acueducto Veredal La Melliza</t>
  </si>
  <si>
    <t>Vereda  Monte Verde</t>
  </si>
  <si>
    <t>Asociación de Usuarios del Acueducto Veredal  Monte Verde</t>
  </si>
  <si>
    <t>Asociacion de Usuarios del Acueducto de La Ferreria</t>
  </si>
  <si>
    <t>Asociacion de Usuarios del Acueducto y Alcantarillado de La Vereda El Cedro-Parte Baja</t>
  </si>
  <si>
    <t>Asociacion de Usuarios del Acueducto Vereda Yarumal</t>
  </si>
  <si>
    <t>Asociacion de Usuarios del Acueducto Vereda Pueblito de San Jose- Sector Taborda</t>
  </si>
  <si>
    <t xml:space="preserve">Asociacion de Usuarios del Acueducto Vereda Pueblito de San Jose- Sector La Escuela </t>
  </si>
  <si>
    <t>Asociacion de Usuarios del Acueducto de La Vereda Mani de Las Casas</t>
  </si>
  <si>
    <t>Asociacion de Usuarios del Acueducto Vereda Guaimaral</t>
  </si>
  <si>
    <t>Asociacion de Usuarios del Acueducto de Piedecuesta</t>
  </si>
  <si>
    <t>Asociacion de Usuarios del Acueducto de Alto de Nicanor-Vereda Nicanor La Paja</t>
  </si>
  <si>
    <t>Asociacion de Usuarios del Acueducto de Alto de Nicanor-Vereda Nicanor La Sabaletica</t>
  </si>
  <si>
    <t>Asociacion de Usuarios del Acueducto de Los Aljibes-Pueblito Sánchez</t>
  </si>
  <si>
    <t>Asociacion de Usuarios del Acueducto de Pasonivel</t>
  </si>
  <si>
    <t>Asociacion de Usuarios del Acueducto del Corregimiento Minas</t>
  </si>
  <si>
    <t>Asociación de Usuarios de Acueducto del Centro Poblado La Clarita</t>
  </si>
  <si>
    <t>Junta Administradora del Acueducto la Paniagua</t>
  </si>
  <si>
    <t>Junta Administradora del Acueducto la Florida</t>
  </si>
  <si>
    <t>Asociacion de Usuarios del Acueducto Multiveredal de los Municipios Angelopolis Amaga y Tititibi-Centro Poblado El Cedro</t>
  </si>
  <si>
    <t>Asociacion de Usuarios del Acueducto la Esperanza</t>
  </si>
  <si>
    <t>Vereda Buena Vista - Sector la Caseta</t>
  </si>
  <si>
    <t>Asociacion de Usuarios del Acueducto AVBTA - Caseta</t>
  </si>
  <si>
    <t>Asociacion de Usuarios del Acueducto AVBTA - Escuela</t>
  </si>
  <si>
    <t>Vereda Alto De Los Jaramillos</t>
  </si>
  <si>
    <t>Acueducto Altos de Los Jaramillos</t>
  </si>
  <si>
    <t>Asociación de Usuarios del Acueducto Veredal Samaria</t>
  </si>
  <si>
    <t>Corregimiento Alfonso Lopez</t>
  </si>
  <si>
    <t>Asociación de Usuarios del Acueducto y Alcantarillado Corregimiento Alfonso Lopez "ASUAAL E.S.P" - Planta de Tratamiento Parte Alta</t>
  </si>
  <si>
    <t>Asociación de Usuarios del Acueducto y Alcantarillado Corregimiento Alfonso Lopez "ASUAAL E.S.P" - Planta de Tratamiento Parte Baja</t>
  </si>
  <si>
    <t>Vereda  Bolívar Arriba</t>
  </si>
  <si>
    <t>Asociacion Usuarios Acueducto Multiveredal Bolivar Arriba (AMBA)</t>
  </si>
  <si>
    <t>Vereda Punta Brava</t>
  </si>
  <si>
    <t>Acueducto Multiveredal La Marina</t>
  </si>
  <si>
    <t>Acueducto Veredal Punta Brava</t>
  </si>
  <si>
    <t>Vereda  Lindaja</t>
  </si>
  <si>
    <t>Acueducto Junta de Acción Comunal La Lindaja Aguas Frías-La Lindaja</t>
  </si>
  <si>
    <t>Vereda la Lindaja - Planta de tratamiento</t>
  </si>
  <si>
    <t>Asociacion de Usuarios del Acueducto La Lindaja-Planta de Tratamiento</t>
  </si>
  <si>
    <t>Vereda  La Arboleda</t>
  </si>
  <si>
    <t>Asociacion de Suscriptores o Usuarios del Acueducto La Arboleda</t>
  </si>
  <si>
    <t>Vereda Puerto Limón</t>
  </si>
  <si>
    <t>Asociacion de Usuarios del Acueducto Veredal Puerto Limon</t>
  </si>
  <si>
    <t>Vereda  Manzanillo</t>
  </si>
  <si>
    <t>Asociación de Usuarios del Acueducto Veredal El Manzanillo</t>
  </si>
  <si>
    <t>Corregimiento  Farallones</t>
  </si>
  <si>
    <t>Asociación de Suscriptores o Usuarios del Acueducto San Bernardo de Los Farallones</t>
  </si>
  <si>
    <t>Vereda  Ventorrillo</t>
  </si>
  <si>
    <t>Asociación de Usuarios del Acueducto Multiveredal Ventorrillo, Abejero - Ventorillo</t>
  </si>
  <si>
    <t>Vereda  Abejero</t>
  </si>
  <si>
    <t>Asociación de Usuarios del Acueducto Multiveredal Ventorrillo, Abejero - Abejero</t>
  </si>
  <si>
    <t>Vereda La María</t>
  </si>
  <si>
    <t>Asociación de Usuarios Acueducto La María</t>
  </si>
  <si>
    <t>Sector  La Raya</t>
  </si>
  <si>
    <t>Junta de Acción Comunal La Raya.</t>
  </si>
  <si>
    <t>Sector Corrales</t>
  </si>
  <si>
    <t>Asociación de Usuarios Acueducto Corrales.</t>
  </si>
  <si>
    <t>Vereda San Jose del Golpe</t>
  </si>
  <si>
    <t>Asociación de Usuarios Acueducto El Golpe</t>
  </si>
  <si>
    <t>Vereda La Aurora Llanadas</t>
  </si>
  <si>
    <t>Asociación de Usuarios Acueducto Vereda La Aurora Llanadas</t>
  </si>
  <si>
    <t>Asociación de Usuarios Acueducto La Esperanza-La Esperanza</t>
  </si>
  <si>
    <t>Vereda Llanaditas</t>
  </si>
  <si>
    <t>Asociación de Usuarios Acueducto Llanaditas-Llanaditas</t>
  </si>
  <si>
    <t>Vereda  Morrón</t>
  </si>
  <si>
    <t>Asociación de Usuarios del Acueducto Vereda Morron</t>
  </si>
  <si>
    <t>Asociación de Usuarios del Acueducto Virgen La Milagrosa Vereda La Cristalina</t>
  </si>
  <si>
    <t>Corregimiento El Socorro</t>
  </si>
  <si>
    <t>Junta de Acción Comunal Corregimiento El Socorro</t>
  </si>
  <si>
    <t>Vereda Morelia San Pacho</t>
  </si>
  <si>
    <t>Junta Administradora de Los Servicios de Acueducto y Alcantarillado de Morelia San Pacho</t>
  </si>
  <si>
    <t>Sector Partidas de Morelia</t>
  </si>
  <si>
    <t>Junta Administradora del Acueducto Partidas de Morelia</t>
  </si>
  <si>
    <t>Vereda Palosanto</t>
  </si>
  <si>
    <t>Asociación de Usuarios del Acueducto Palo Santo Municipio de Concordia</t>
  </si>
  <si>
    <t>Vereda Rumbadero</t>
  </si>
  <si>
    <t>Asociación de Usuarios Acueducto Rumbadero</t>
  </si>
  <si>
    <t>Barrio Salazar</t>
  </si>
  <si>
    <t>Junta Administradora de Acueducto Barrio Salazar</t>
  </si>
  <si>
    <t>Asociación de Usuarios del Acueducto del Corregimiento La Loma del Municipio de Yarumal</t>
  </si>
  <si>
    <t>Vereda Pueblorrico Sector Casagrande</t>
  </si>
  <si>
    <t>Asociación de Usuarios Acueducto Sector Casagrande</t>
  </si>
  <si>
    <t>Vereda El Higuerón</t>
  </si>
  <si>
    <t>Asociación de Usuarios Acueducto El Higuerón</t>
  </si>
  <si>
    <t>Vereda Pueblo Riico</t>
  </si>
  <si>
    <t>Asociación de Usuarios Acueducto Pueblo Rico</t>
  </si>
  <si>
    <t>Vereda  Campanas</t>
  </si>
  <si>
    <t>Asociación de Usuarios Acueducto Campanas-Campanas</t>
  </si>
  <si>
    <t>Asociación de Usuarios del Acueducto Vereda Santa Rita Abajo-Santa Rita</t>
  </si>
  <si>
    <t>Vereda Hoyo Frio</t>
  </si>
  <si>
    <t>Asociación de Usuarios del Acueducto de Hoyo Frio</t>
  </si>
  <si>
    <t>Asociación de Usuarios del Acueducto de La Vereda "El Calvario"</t>
  </si>
  <si>
    <t>Vereda  El Zancudo</t>
  </si>
  <si>
    <t xml:space="preserve">Asociación de Usuarios del Acueducto y Alcantarillado de La Vereda El Zancudo </t>
  </si>
  <si>
    <t>Vereda El Cinco</t>
  </si>
  <si>
    <t>Asociación de Usuarios del Acueducto de La Vereda El Cinco</t>
  </si>
  <si>
    <t>Vereda Murrapal</t>
  </si>
  <si>
    <t>Asociación de Usuarios del Acueducto de La Vereda Murrapal  - ASOMURRA</t>
  </si>
  <si>
    <t>Vereda Combia Grande</t>
  </si>
  <si>
    <t>Asociación de Usuarios del Acueducto La Milagrosa de La Vereda Combia Grande</t>
  </si>
  <si>
    <t>Vereda Combia Chiquita</t>
  </si>
  <si>
    <t>Asociación de Usuarios Acueducto Vereda Combia Chiquita</t>
  </si>
  <si>
    <t>Corregimiento Marsella</t>
  </si>
  <si>
    <t>Asociación de Usuarios del Acueducto del Corregimiento de Marsella</t>
  </si>
  <si>
    <t>Corregimiento Palomos</t>
  </si>
  <si>
    <t>Asociación de Usuarios del Acueducto del Corregimiento Los Palomos</t>
  </si>
  <si>
    <t xml:space="preserve"> Corregimiento Puente Iglesias</t>
  </si>
  <si>
    <t xml:space="preserve">Asociación de Usuarios del Acueducto Puente Iglesias </t>
  </si>
  <si>
    <t>Vereda Jonas</t>
  </si>
  <si>
    <t>Asociación de Usuarios del Acueducto de Jonas</t>
  </si>
  <si>
    <t>Vereda Asaqui</t>
  </si>
  <si>
    <t>Asociación Aguas de La Quiebra - Asaqui</t>
  </si>
  <si>
    <t>Vereda El Plan</t>
  </si>
  <si>
    <t>ASUAMFRAB- El Plan</t>
  </si>
  <si>
    <t>Vereda El Mango</t>
  </si>
  <si>
    <t>Asociacion de Usuarios del Acueducto Vereda El Mango</t>
  </si>
  <si>
    <t>Vereda  La Toscana</t>
  </si>
  <si>
    <t>ASUAMFRAB- La Toscana</t>
  </si>
  <si>
    <t>Vereda  El Carretero</t>
  </si>
  <si>
    <t>ASUAMFRAB- El Carretero</t>
  </si>
  <si>
    <t>ASUAMFRAB-  La Loma</t>
  </si>
  <si>
    <t>Vereda  El Uvital</t>
  </si>
  <si>
    <t>ASUAMFRAB- El Uvital</t>
  </si>
  <si>
    <t>Vereda El Filo del Uvital</t>
  </si>
  <si>
    <t>ASUAMFRAB-El Filo del Uvital</t>
  </si>
  <si>
    <t>Vereda Sabaletas</t>
  </si>
  <si>
    <t>Asociación de Usuarios del Acueducto de La Vereda Sabaletas E.S.P.-Sabaletas</t>
  </si>
  <si>
    <t>Vereda Alto de Los Fernandez</t>
  </si>
  <si>
    <t xml:space="preserve">Asociacioón de Usuarios de La Vereda Alto de Los Fernandez </t>
  </si>
  <si>
    <t>Asociacion de Usuarios del Acueducto del Sector Tacamocho, de Ña Vereda El Zancudo</t>
  </si>
  <si>
    <t>Vereda La Cordillera</t>
  </si>
  <si>
    <t xml:space="preserve">Asociación de Usuarios del Acueducto La Cordillera </t>
  </si>
  <si>
    <t>Vereda  El Porvenir</t>
  </si>
  <si>
    <t>Asociación de Usuarios del Acueducto El Porvenir</t>
  </si>
  <si>
    <t>Vereda  Buenos Aires</t>
  </si>
  <si>
    <t>Asociacion de Usuarios del Acueducto de Buenos Aires</t>
  </si>
  <si>
    <t>Vereda  El Vainillo</t>
  </si>
  <si>
    <t>Asociacion de Usuarios Acueducto Vereda El Vainillo</t>
  </si>
  <si>
    <t>Vereda  Aguacatal</t>
  </si>
  <si>
    <t>Asociacion de Usuarios del Acueducto de Aguacatal</t>
  </si>
  <si>
    <t>Vereda  Naranjal Poblanco</t>
  </si>
  <si>
    <t>Vereda Cadenas</t>
  </si>
  <si>
    <t>Junta de Accion Comunal Vereda Cadenas</t>
  </si>
  <si>
    <t>Corregimiento Piedra Verde</t>
  </si>
  <si>
    <t>Junta de Accion Comunal Corregimiento Piedra Verde</t>
  </si>
  <si>
    <t>Vereda Chamuscados</t>
  </si>
  <si>
    <t>Asociacion de Usuarios Acueducto de La Vereda Chamuscados</t>
  </si>
  <si>
    <t>Vereda La Garrucha</t>
  </si>
  <si>
    <t>Asociación de Usuarios del Acueducto de La Vereda La Garrucha- ASOGAR</t>
  </si>
  <si>
    <t>Asociacion de Usuarios Acueducto Vereda El  Molino</t>
  </si>
  <si>
    <t>ASUAMFRAB- Travesias</t>
  </si>
  <si>
    <t>Asociación de Usuarios del Acueducto Veredal Agua Pura La Maria</t>
  </si>
  <si>
    <t>Vereda la Florida</t>
  </si>
  <si>
    <t>Asociación de Usuarios del Acueducto Multiveredal Mulato-La Florida</t>
  </si>
  <si>
    <t>Vereda El Llanete</t>
  </si>
  <si>
    <t>Asociación de Usuarios del Acueducto Multiveredal Mulato-El Llanete</t>
  </si>
  <si>
    <t>Vereda La cuelga</t>
  </si>
  <si>
    <t>Asociación de Usuarios del Acueducto Multiveredal Mulato-La Cuelga</t>
  </si>
  <si>
    <t>Vereda El Silencio</t>
  </si>
  <si>
    <t>Asociación de Usuarios del Acueducto Multiveredal Mulato-El Silencio</t>
  </si>
  <si>
    <t>Vereda El Tablazo</t>
  </si>
  <si>
    <t>Asociación de Usuarios del Acueducto Multiveredal Betania-Hispania E.S.P-El Tablazo</t>
  </si>
  <si>
    <t>Vereda Armenia Alta</t>
  </si>
  <si>
    <t>Asociación de Usuarios del Acueducto Multiveredal Betania-Hispania E.S.P-Armenia Alta</t>
  </si>
  <si>
    <t>Vereda La Palmira</t>
  </si>
  <si>
    <t>Asociación de Usuarios del Acueducto Multiveredal Betania-Hispania E.S.P-La Palmira</t>
  </si>
  <si>
    <t>Vereda Armenia baja</t>
  </si>
  <si>
    <t>Asociación de Usuarios del Acueducto Multiveredal Betania-Hispania E.S.P-Armenia Baja</t>
  </si>
  <si>
    <t>Vereda La Seca</t>
  </si>
  <si>
    <t>Asociación de Usuarios del Acueducto Multiveredal Betania-Hispania E.S.P-La Seca</t>
  </si>
  <si>
    <t>Vereda La Salada</t>
  </si>
  <si>
    <t>Asociacion de Usuarios del Acueducto Aguas Unidas-La Salada</t>
  </si>
  <si>
    <t>VeredaQuebrada Bonita</t>
  </si>
  <si>
    <t>Asociacion de Usuarios del Acueducto Aguas Unidas-Quebrada Bonita</t>
  </si>
  <si>
    <t>Vereda Los Pomos</t>
  </si>
  <si>
    <t>Acueducto Veredal Serranias-Los Pomos</t>
  </si>
  <si>
    <t>Vereda La Herrerita</t>
  </si>
  <si>
    <t>Acueducto Veredal Serranias-La Herrerita</t>
  </si>
  <si>
    <t>Acueducto Veredal Serranias-Las Peñas</t>
  </si>
  <si>
    <t>Vereda La Curia</t>
  </si>
  <si>
    <t>Acueducto Veredal Serranias-La Curia</t>
  </si>
  <si>
    <t>Vereda Serranias Parte Baja</t>
  </si>
  <si>
    <t>Acueducto La Valencia-Serranias Parte Baja</t>
  </si>
  <si>
    <t>VeredaSerranias</t>
  </si>
  <si>
    <t>Acueducto Veredal Serranias-Serranias</t>
  </si>
  <si>
    <t>VeredaLa Herrera</t>
  </si>
  <si>
    <t>Acueducto Veredal Serranias-La Herrera</t>
  </si>
  <si>
    <t>Vereda La Casiana</t>
  </si>
  <si>
    <t>Asociacion de Usuarios del Acueducto Multiveredal de Jardin-La Casiana</t>
  </si>
  <si>
    <t>Vereda Morro Amarillo</t>
  </si>
  <si>
    <t>Asociacion de Usuarios del Acueducto Multiveredal de Jardin-Morro Amarillo</t>
  </si>
  <si>
    <t>Vereda San Bartolo Jardin</t>
  </si>
  <si>
    <t>Asociacion de Usuarios del Acueducto Multiveredal de Jardin-San Bartolo Jardín</t>
  </si>
  <si>
    <t>Vereda Cristianía</t>
  </si>
  <si>
    <t>Asociacion de Usuarios del Acueducto Multiveredal de Jardin-Cristiania</t>
  </si>
  <si>
    <t>Vereda El Tapado</t>
  </si>
  <si>
    <t>Asociacion de Usuarios del Acueducto Multiveredal de Jardin-El Tapado</t>
  </si>
  <si>
    <t>Vereda Caramanta</t>
  </si>
  <si>
    <t>Asociacion de Usuarios del Acueducto Multiveredal de Jardin-Caramanta</t>
  </si>
  <si>
    <t>Vereda La Linda</t>
  </si>
  <si>
    <t>Asociacion de Usuarios del Acueducto Multiveredal de Jardin-La Linda</t>
  </si>
  <si>
    <t>Vereda La Arboleda</t>
  </si>
  <si>
    <t>Asociación de Usuarios del Acueducto La Arboleda Rio Claro del Municipio de Jardin-La Arboleda</t>
  </si>
  <si>
    <t>Vereda Rio Claro</t>
  </si>
  <si>
    <t>Asociación de Usuarios del Acueducto La Arboleda Rio Claro del Municipio de Jardin-Rio Claro</t>
  </si>
  <si>
    <t>Vereda Alto Del Indio</t>
  </si>
  <si>
    <t>Asociación de Usuarios del Acueducto La Arboleda Rio Claro del Municipio de Jardin-Alto del Indio</t>
  </si>
  <si>
    <t>Asociación de Usuarios del Acueducto La Arboleda Rio Claro del Municipio de Jardin-La Montañita</t>
  </si>
  <si>
    <t>Vereda Gibraltar</t>
  </si>
  <si>
    <t>Junta de Usuarios del Acueducto de Avermar-Gibraltar</t>
  </si>
  <si>
    <t>Vereda Las Margaritas</t>
  </si>
  <si>
    <t>Junta de Usuarios del Acueducto de Avermar-Las Margaritas</t>
  </si>
  <si>
    <t>Vereda Verdun</t>
  </si>
  <si>
    <t>Acueducto Verdun Gibraltar-Verdun</t>
  </si>
  <si>
    <t>Vereda Guacamayal</t>
  </si>
  <si>
    <t>Junta de Acción Comunal Vereda Guacamayal</t>
  </si>
  <si>
    <t>Vereda  La Leona</t>
  </si>
  <si>
    <t>Junta de Acción Comunal Vereda La Leona</t>
  </si>
  <si>
    <t>Vereda San Ramón</t>
  </si>
  <si>
    <t>Junta de Acción Comunal San Ramón - Los Arrayanes</t>
  </si>
  <si>
    <t>Asociación de Usuarios del Acueducto La Hermosa</t>
  </si>
  <si>
    <t>Corregimiento Palo Cabildo</t>
  </si>
  <si>
    <t>Asociación Comunitaria del Acueducto del Corregimiento de Palocabildo Municipio de Jerico - Aguas del Roble.</t>
  </si>
  <si>
    <t>Vereda La Pradera</t>
  </si>
  <si>
    <t>Junta de Acción Comunal Vereda La Pradera</t>
  </si>
  <si>
    <t>Vereda Estrella Nueva</t>
  </si>
  <si>
    <t>Asociacion de Usuarios del Acueducto de Las Veredas Estrella Nueva y Estrella Vieja</t>
  </si>
  <si>
    <t>Vereda La Pista</t>
  </si>
  <si>
    <t>Asociación de Usuarios del Acueducto Multiveredal El Chuscal - Multichuscal - La Pista</t>
  </si>
  <si>
    <t>Asociación de Usuarios del acueducto aguas de La Soledad</t>
  </si>
  <si>
    <t>Vereda Los Patios</t>
  </si>
  <si>
    <t>Asociacion de Usuarios del Acueducto Multiveredal Los Patios  - Ciudadela - Acupatios</t>
  </si>
  <si>
    <t>Vereda El Zacatin</t>
  </si>
  <si>
    <t>Junta de Acción Comunal Vereda El Zacatín</t>
  </si>
  <si>
    <t>Asociación de Usuarios del Acueducto Multiveredal Guacamayal -La Leona (Multiedesa) - La Leona</t>
  </si>
  <si>
    <t>Junta Administradora del Acueducto Vereda La Aguada</t>
  </si>
  <si>
    <t xml:space="preserve">Asociación de Usuarios del Acueducto Palenque - La Virgen </t>
  </si>
  <si>
    <t>Multiveredal Buga - Palenque  - Buga (Acuebuga)</t>
  </si>
  <si>
    <t>Vereda  Palenquito</t>
  </si>
  <si>
    <t>Junta de Acción Comunal Vereda Palenquito</t>
  </si>
  <si>
    <t>Vereda Castalia</t>
  </si>
  <si>
    <t xml:space="preserve">Asociación de Usuarios del Acueducto de La Vereda Castalia - Asuveca </t>
  </si>
  <si>
    <t>Vereda Cauca Viejo</t>
  </si>
  <si>
    <t>Operadores de Servicios S.A. E.S.P-Cauca Viejo</t>
  </si>
  <si>
    <t>Junta de Acción Comunal de Altamira</t>
  </si>
  <si>
    <t>Vereda Vallecitos</t>
  </si>
  <si>
    <t>Asociación Comunitaria Acueducto Vereda Vallecitos</t>
  </si>
  <si>
    <t>Vereda Quebradona Arriba</t>
  </si>
  <si>
    <t>Junta de Acción Comunal Quebradona Arriba</t>
  </si>
  <si>
    <t>Vereda La Fé</t>
  </si>
  <si>
    <t>Junta de Acción Comunal Vereda La Fé</t>
  </si>
  <si>
    <t>Vereda La Cestillala</t>
  </si>
  <si>
    <t>Junta de Acción Comunal Vereda Cestillala</t>
  </si>
  <si>
    <t>Corregimiento Sabaletas</t>
  </si>
  <si>
    <t>Junta de Acción Comunal Corregimiento Sabaletas</t>
  </si>
  <si>
    <t>Vereda El Churimo</t>
  </si>
  <si>
    <t>Junta de Acción Comunal Vereda El Churimo</t>
  </si>
  <si>
    <t>Junta de Acción Comunal Vereda El Tablazo</t>
  </si>
  <si>
    <t>Junta de Acción Comunal Vereda Campo Alegre</t>
  </si>
  <si>
    <t>Vereda El Olival Parte Alta</t>
  </si>
  <si>
    <t>Asociación de Usuarios del Acueducto Veredal Agua Viva El Olival  Parte Alta</t>
  </si>
  <si>
    <t>Vereda Encenillo</t>
  </si>
  <si>
    <t>Junta de Acción Comunal Vereda Encenillo</t>
  </si>
  <si>
    <t>Junta de Acción Comunal Vereda La Quiebra</t>
  </si>
  <si>
    <t>Junta de Acción Comunal VeredaSan Antonio</t>
  </si>
  <si>
    <t>VeredaEl Olival Parte Baja</t>
  </si>
  <si>
    <t>Asociación de Usuarios del Acueducto Veredal Agua Viva El Olival Parte Baja</t>
  </si>
  <si>
    <t>VeredaLa Peña Parte Alta</t>
  </si>
  <si>
    <t>Junta de Acción Comunal Vereda La Peña Parte Alta</t>
  </si>
  <si>
    <t>Vereda La Peña Parte Baja</t>
  </si>
  <si>
    <t>Junta de Acción Comunal Vereda La Peña Parte Baja</t>
  </si>
  <si>
    <t>Vereda Getsemani</t>
  </si>
  <si>
    <t>Junta de Acción Comunal Vereda Getsemani</t>
  </si>
  <si>
    <t>Vereda El Gavilan</t>
  </si>
  <si>
    <t>Junta de Acción Comunal Vereda El Gavilan</t>
  </si>
  <si>
    <t>Vereda La Granja</t>
  </si>
  <si>
    <t>Junta de Acción Comunal Vereda La Granja</t>
  </si>
  <si>
    <t>Vereda Zarcitos Parte Alta</t>
  </si>
  <si>
    <t>Junta de Acción Comunal Vereda Zarcitos Parte Alta</t>
  </si>
  <si>
    <t>Vereda Sabanitas Parte Alta</t>
  </si>
  <si>
    <t>Asociación de Usuarios Acueducto Fuentes Unidas Sabanitas Parte Alta</t>
  </si>
  <si>
    <t>Vereda Sabanitas Parte Baja</t>
  </si>
  <si>
    <t>Asociación de Usuarios Acueducto Fuentes Unidas Sabanitas Parte Baja</t>
  </si>
  <si>
    <t>Vereda Zarcitos Parte Baja</t>
  </si>
  <si>
    <t>Junta de Acción Comunal Vereda Zarcitos Parte Baja</t>
  </si>
  <si>
    <t>Vereda Piedra Galana</t>
  </si>
  <si>
    <t>Junta de Acción Comunal Vereda Piedra Galana</t>
  </si>
  <si>
    <t>Vereda  La Pica</t>
  </si>
  <si>
    <t>Asociacion de Usuarios del  Acueducto de la  Vereda La Pica del municipio de Pueblorrico</t>
  </si>
  <si>
    <t>Vereda  Santa  Bárbara</t>
  </si>
  <si>
    <t>Junta Administradora del Acueducto Santa Bárbara</t>
  </si>
  <si>
    <t xml:space="preserve">Vereda California </t>
  </si>
  <si>
    <t>Asociacion de Usuarios del Acueducto de La Vereda California  del municipio de Pueblorrico</t>
  </si>
  <si>
    <t>Vereda Mulatico</t>
  </si>
  <si>
    <t>Asociacion de Usuarios del Acueducto de La Vereda Mulatico del municipio de Pueblorrico</t>
  </si>
  <si>
    <t>Vereda  La Gómez</t>
  </si>
  <si>
    <t>Asociacion de Usuarios  del  Acueducto de la Vereda La Gómez del municipio de Pueblorrico</t>
  </si>
  <si>
    <t>Vereda El Barcino</t>
  </si>
  <si>
    <t>Asociacion de Usuarios del Acueducto de La Vereda El Barcino  de Pueblorrcio Antioquia</t>
  </si>
  <si>
    <t>Vereda La Humareda</t>
  </si>
  <si>
    <t>Asociación de Usuarios La Humareda</t>
  </si>
  <si>
    <t xml:space="preserve">Asociación de Usuarios del Acueducto de La Vereda El Carmelo </t>
  </si>
  <si>
    <t>Vereda Chaquiro Arriba</t>
  </si>
  <si>
    <t>Asociación de Usuarios del Acueducto de La Vereda La Chaquiro Arriba</t>
  </si>
  <si>
    <t xml:space="preserve">Vereda El Carmelo Paraje Dos </t>
  </si>
  <si>
    <t xml:space="preserve">Asociación de Usuarios del Acueducto de La Vereda El Carmelo Paraje Dos </t>
  </si>
  <si>
    <t>Vereda  Bella Vista</t>
  </si>
  <si>
    <t xml:space="preserve">Asociación de Usuarios del Acueducto de La Vereda Bella Vista </t>
  </si>
  <si>
    <t>Vereda Gulunga Parte Alta</t>
  </si>
  <si>
    <t>Asociación de Usuarios del Acueducto de La Vereda La Gulunga Parte Alta</t>
  </si>
  <si>
    <t>Vereda Corregimiento La Margarita</t>
  </si>
  <si>
    <t>Asociación de Usuarios del Acueducto del Corregimiento La Margarita</t>
  </si>
  <si>
    <t>Vereda El Leon</t>
  </si>
  <si>
    <t xml:space="preserve">Asociación de Usuarios del Acueducto de La Vereda El Leon </t>
  </si>
  <si>
    <t>Asociación de Usuarios del Acueducto La Montañita</t>
  </si>
  <si>
    <t>ASO-La Taborda</t>
  </si>
  <si>
    <t>Asociación de Usuarios La Taborda</t>
  </si>
  <si>
    <t>Vereda Llanadas</t>
  </si>
  <si>
    <t xml:space="preserve">Asociación de Usuarios del Acueducto de La Vereda Llanadas </t>
  </si>
  <si>
    <t>Vereda Corregimiento Concilio</t>
  </si>
  <si>
    <t xml:space="preserve">Asociación de Usuarios del Acueducto del Corregimiento El Concilio </t>
  </si>
  <si>
    <t>Vereda Corregimiento Peñalisa</t>
  </si>
  <si>
    <t>Asociación de Usuarios Peñalisa</t>
  </si>
  <si>
    <t>Corregimiento La Margarita</t>
  </si>
  <si>
    <t>Empresas Publicas de Salgar S.A. E.S.P.-Corregimiento La Margarita</t>
  </si>
  <si>
    <t>Vereda Corregimiento La Camara</t>
  </si>
  <si>
    <t>Asociación de Usuarios del Acueducto del Corregimiento La Cámara</t>
  </si>
  <si>
    <t>Vereda La Chaquiro Abajo</t>
  </si>
  <si>
    <t xml:space="preserve">Asociación de Usuarios del Acueducto de La Vereda La Chaquiro Abajo </t>
  </si>
  <si>
    <t>Vereda Clara Arriba</t>
  </si>
  <si>
    <t>Asociación de Usuarios del Acueducto de La Vereda Clara Arriba</t>
  </si>
  <si>
    <t>Vereda La Chuchita</t>
  </si>
  <si>
    <t>Asociación de Usuarios La Chuchita</t>
  </si>
  <si>
    <t xml:space="preserve">Asociación de Usuarios del Acueducto de La Vereda Morritos </t>
  </si>
  <si>
    <t>Vereda Santa Luisa Parte Alta</t>
  </si>
  <si>
    <t xml:space="preserve">Asociación de Usuarios del Acueducto de La Vereda Santa Luisa Parte Alta </t>
  </si>
  <si>
    <t>No esta en uso</t>
  </si>
  <si>
    <t>AUA La Montañita- Miraflores</t>
  </si>
  <si>
    <t>Asociación  de Usuarios del Acueducto La Montañita-Miraflores</t>
  </si>
  <si>
    <t>Vereda Paraje Uno</t>
  </si>
  <si>
    <t>Asociación De Usuarios Acueducto El Carmelo Paraje Uno</t>
  </si>
  <si>
    <t>Vereda Chaquiro Dos</t>
  </si>
  <si>
    <t>Asociación De Usuarios Acueducto Vereda Chaquiro Dos</t>
  </si>
  <si>
    <t>Paraje El Clavel</t>
  </si>
  <si>
    <t xml:space="preserve">Asociación de Usuarios del Acueducto El Paraje El Clavel </t>
  </si>
  <si>
    <t>Vereda Ovejita</t>
  </si>
  <si>
    <t xml:space="preserve">Asociación de Usuarios del Acueducto de La Vereda La Ovejita </t>
  </si>
  <si>
    <t>Vereda Siberia</t>
  </si>
  <si>
    <t>Asociación de Usuarios del Acueducto de La Vereda La Siberia</t>
  </si>
  <si>
    <t>Vereda Alto de Marines</t>
  </si>
  <si>
    <t xml:space="preserve">Asociación de Usuarios del Acueducto de La Vereda Los Marines </t>
  </si>
  <si>
    <t>Corregimiento de Damasco</t>
  </si>
  <si>
    <t>Asociación de Usuarios del Acueducto Multiveredal del Corregimiento de Damasco-Corregimiento de Damasco</t>
  </si>
  <si>
    <t xml:space="preserve">Asociación Usuarios Acueducto Palmichal </t>
  </si>
  <si>
    <t>Asociación de Usuarios Acueducto Yarumalito</t>
  </si>
  <si>
    <t xml:space="preserve"> Corregimiento Versalles</t>
  </si>
  <si>
    <t>Asociación de Usuarios del Acueducto del Corregimiento de Versalles</t>
  </si>
  <si>
    <t>Buenavista</t>
  </si>
  <si>
    <t>Acueducto Junta de Acción Comunal- Buenavista</t>
  </si>
  <si>
    <t>Sector La ondina</t>
  </si>
  <si>
    <t>Acueducto Junta de Acción Comunal -Sector La Ondina</t>
  </si>
  <si>
    <t>Vereda Cordoncillo</t>
  </si>
  <si>
    <t>Asociación Acueducto Vereda Cordoncillo</t>
  </si>
  <si>
    <t xml:space="preserve">Junta de Acción Comunal Vereda Cristo Rey </t>
  </si>
  <si>
    <t>Quiebra del Barro</t>
  </si>
  <si>
    <t>Acueducto Quiebra del Barro</t>
  </si>
  <si>
    <t>Vereda Quiebra de Guamito</t>
  </si>
  <si>
    <t>Asociación de Acueducto Vereda Quiebra de Guamito</t>
  </si>
  <si>
    <t>Asociación de Usuarios del Acueducto Multiveredal Las Mercedes Los Naranjos Pitayo-Las Mercedes</t>
  </si>
  <si>
    <t xml:space="preserve">Asociación  Acueducto Vereda Guamal </t>
  </si>
  <si>
    <t>Vereda El Guacimo Parte Baja</t>
  </si>
  <si>
    <t>Asociación de Usuarios del Acueducto Multiveredal del Corregimiento de Damasco-Vereda El Guacimo Parte Baja</t>
  </si>
  <si>
    <t>Vereda La Umbría</t>
  </si>
  <si>
    <t>Asociación de Usuarios del Acueducto Multiveredal del Corregimiento de Damasco-Vereda La Umbría</t>
  </si>
  <si>
    <t>Vereda Pavas Parte Alta</t>
  </si>
  <si>
    <t>Operadores de Servicios S.A E.S.P - Vereda Pavas Parte Alta</t>
  </si>
  <si>
    <t>VeredaLa Liboriana</t>
  </si>
  <si>
    <t>Asociacion de Suscriptores del Acueducto y Alcantarillado de La Vereda La Liboriana, Corregimiento de Versalles - ACAVELI</t>
  </si>
  <si>
    <t>Vereda San Isidro Parte Baja</t>
  </si>
  <si>
    <t>Junta Administradora Acueducto Vereda San Isidro Parte Baja</t>
  </si>
  <si>
    <t>Vereda Aguacatal</t>
  </si>
  <si>
    <t>Junta de Acción Comunal Vereda Aguacatal</t>
  </si>
  <si>
    <t>Vereda Corozal</t>
  </si>
  <si>
    <t>Junta de Acción Comunal Vereda Corozal</t>
  </si>
  <si>
    <t xml:space="preserve">Junta de Acción Comunal Vereda La Primavera </t>
  </si>
  <si>
    <t>Morroplancho Parte Baja- Campamento</t>
  </si>
  <si>
    <t>Coorporación Acueducto Morroplancho Parte Baja Sector Campamento</t>
  </si>
  <si>
    <t>Morroplancho Parte Alta- Campamento</t>
  </si>
  <si>
    <t>Coorporación Acueducto Morroplancho Parte Alta Sector Campamento</t>
  </si>
  <si>
    <t>Vereda Pitayó</t>
  </si>
  <si>
    <t>Asociación Usuarios Acueducto Pitayo</t>
  </si>
  <si>
    <t>Vereda Poblanco</t>
  </si>
  <si>
    <t xml:space="preserve">Asociación de Usuarios del Acueducto Poblanco </t>
  </si>
  <si>
    <t>Vereda El Helechal</t>
  </si>
  <si>
    <t>Asociación de Usuarios del Acueducto de La Vereda El Helechal</t>
  </si>
  <si>
    <t>JAC-La Esperanza</t>
  </si>
  <si>
    <t>Acueducto Junta de Acción Comunal La Esperanza</t>
  </si>
  <si>
    <t>Vereda Alto de los Gomez</t>
  </si>
  <si>
    <t>Operadores de Servicios S.A E.S.P - Vereda Alto de Los Gomez</t>
  </si>
  <si>
    <t>Vereda Atanasio</t>
  </si>
  <si>
    <t>Operadores de Servicios S.A E.S.P - Vereda  Atanasio</t>
  </si>
  <si>
    <t>Vereda  La Ursula</t>
  </si>
  <si>
    <t>Operadores de Servicios S.A E.S.P - Vereda La Ursula</t>
  </si>
  <si>
    <t>Operadores de Servicios S.A E.S.P - Vereda El Guayabo</t>
  </si>
  <si>
    <t>Vereda Corozal Parte Alta</t>
  </si>
  <si>
    <t xml:space="preserve">Operadores de Servicios S.A E.S.P - Vereda  Corozal Parte Alta </t>
  </si>
  <si>
    <t>Operadores de Servicios S.A E.S.P - Vereda El Vergel</t>
  </si>
  <si>
    <t>Vereda Los Charcos</t>
  </si>
  <si>
    <t>Operadores de Servicios S.A E.S.P - Vereda Los Charcos</t>
  </si>
  <si>
    <t>Vereda Quiebra del Barro</t>
  </si>
  <si>
    <t>Operadores de Servicios S.A E.S.P - Vereda Quiebra del Barro</t>
  </si>
  <si>
    <t>Vereda Loma Larga Parte Alta</t>
  </si>
  <si>
    <t>Operadores de Servicios S.A E.S.P - Vereda Loma Larga Parte Alta</t>
  </si>
  <si>
    <t xml:space="preserve">Vereda Loma Larga </t>
  </si>
  <si>
    <t>Asociación Junta Administradora Acueducto Loma Larga</t>
  </si>
  <si>
    <t>Vereda San Isidro Parte Alta</t>
  </si>
  <si>
    <t>Operadores de Servicios S.A E.S.P - San Isidro Parte Alto</t>
  </si>
  <si>
    <t>Vereda Palocoposo</t>
  </si>
  <si>
    <t>Operadores de Servicios S.A E.S.P - Vereda Palocoposo</t>
  </si>
  <si>
    <t>Vereda La Arcadia</t>
  </si>
  <si>
    <t>Asociación Acueducto Vereda La Arcadia</t>
  </si>
  <si>
    <t>Vereda Loma de Don Santos</t>
  </si>
  <si>
    <t xml:space="preserve">Junta Administradora de Acueducto Vereda Loma de Don Santos </t>
  </si>
  <si>
    <t>Junta Administradora de Acueducto Vereda San Luis  Lora</t>
  </si>
  <si>
    <t>Corregimiento de Palermo</t>
  </si>
  <si>
    <t>Junta Administradora de Acueducto Corregimiento de Palermo</t>
  </si>
  <si>
    <t>Junta Administradora de Acueducto Vereda  Corozal</t>
  </si>
  <si>
    <t>Corregimiento San Pablo</t>
  </si>
  <si>
    <t>Junta Administradora de Acueducto Corregimiento de San Pablo</t>
  </si>
  <si>
    <t>Veredas Rio Claro-Otrabanda</t>
  </si>
  <si>
    <t>Junta Administradora de Acueducto Rio Claro -Otrabanda</t>
  </si>
  <si>
    <t>Junta Administradora del Acueducto Vereda Travesias</t>
  </si>
  <si>
    <t xml:space="preserve">Vereda Cedeño Bajo( viejo) </t>
  </si>
  <si>
    <t>Junta Administradora del Acueducto Vereda Cedeño Bajo</t>
  </si>
  <si>
    <t>Vereda Manzanares</t>
  </si>
  <si>
    <t>Junta Administradora de Acueducto Manzanares</t>
  </si>
  <si>
    <t>Vereda Cedeño Alto</t>
  </si>
  <si>
    <t>Junta Administradora de Acueducto Multiveredal Acuacartama-Cedeño Alto</t>
  </si>
  <si>
    <t>Vereda Cedeño Bajo</t>
  </si>
  <si>
    <t>Junta Administradora de Acueducto Multiveredal Acuacartama-Cedeño Bajo</t>
  </si>
  <si>
    <t xml:space="preserve">Vereda La Alacena </t>
  </si>
  <si>
    <t>Asociacion de Usuarios de Acueducto Multiveredal La Alacena, El Hacha y El Tabor-La Alacena</t>
  </si>
  <si>
    <t>Vereda El Hacha</t>
  </si>
  <si>
    <t>Asociacion de Usuarios de Acueducto Multiveredal La Alacena, El Hacha y El Tabor-El Hacha</t>
  </si>
  <si>
    <t>Asociacion de Usuarios de Acueducto Multiveredal La Alacena, El Hacha y El Tabor-El Tabor</t>
  </si>
  <si>
    <t>Vereda El Encanto</t>
  </si>
  <si>
    <t>ASOAGUAS -El Encanto</t>
  </si>
  <si>
    <t>ASOAGUAS -El Pescadero</t>
  </si>
  <si>
    <t>Vereda El Libano</t>
  </si>
  <si>
    <t>Junta Administradora de Acueducto El Libano</t>
  </si>
  <si>
    <t>Asociación de Usuarios Acueducto San Isidro, El Rayo-San Isidro</t>
  </si>
  <si>
    <t>ASOAGUAS -El Rayo</t>
  </si>
  <si>
    <t>Asociacion de Usuarios de Acueducto Veredal Santa Teresa-Santa Teresa</t>
  </si>
  <si>
    <t>Vereda San Pedro</t>
  </si>
  <si>
    <t>Multiveredal Campo Alegre- La Matilde- San Pedro</t>
  </si>
  <si>
    <t>Vereda La Matilde</t>
  </si>
  <si>
    <t>Multiveredal Campo Alegre- La Matilde- La Matilde</t>
  </si>
  <si>
    <t>Multiveredal Campo Alegre- Campo Alegre</t>
  </si>
  <si>
    <t>vereda  La Mirla</t>
  </si>
  <si>
    <t>Junta Administradora de Acueducto Multiveredal Acuacartama-La Mirla</t>
  </si>
  <si>
    <t>Junta Administradora de Acueducto Multiveredal Acuacartama- La Florida</t>
  </si>
  <si>
    <t>Junta Administradora de Acueducto Multiveredal Acuacartama-Guayabal</t>
  </si>
  <si>
    <t>Junta Administradora de Acueducto Multiveredal Acuacartama-Resguardo Indigena</t>
  </si>
  <si>
    <t>Vereda La Pastora</t>
  </si>
  <si>
    <t>Junta Administradora de Acueducto Multiveredal Acuacartama-La Pastora</t>
  </si>
  <si>
    <t>Vereda Nudillales</t>
  </si>
  <si>
    <t>Junta Administradora de Acueducto Multiveredal Acuacartama-Nudillales</t>
  </si>
  <si>
    <t>Vereda La Argentina</t>
  </si>
  <si>
    <t>Junta Administradora  Acueducto Piedra de Moler-La Argentina</t>
  </si>
  <si>
    <t>Vereda La Mesa</t>
  </si>
  <si>
    <t>Asociacion de Usuarios de Acueducto Vereda  La Mesa</t>
  </si>
  <si>
    <t>Veredas Rio Claro-Rio Claro</t>
  </si>
  <si>
    <t>Junta Administradora de Acueducto Rio Claro-Rio Claro</t>
  </si>
  <si>
    <t>Vereda Piedra de Moler</t>
  </si>
  <si>
    <t>Junta Administradora  Acueducto Piedra de Moler-Piedra de Moler</t>
  </si>
  <si>
    <t>Vereda Canaan</t>
  </si>
  <si>
    <t>Parcelacion Cauca Viejo-Tarso</t>
  </si>
  <si>
    <t>Vereda  La Linda</t>
  </si>
  <si>
    <t>Junta de Acción Comunal Vereda La Linda</t>
  </si>
  <si>
    <t>Vereda  El Cedron</t>
  </si>
  <si>
    <t>Junta de Acción Comunal Vereda El Cedron</t>
  </si>
  <si>
    <t>Junta de Acción Comunal Vereda La Arboleda</t>
  </si>
  <si>
    <t>Vereda  San Afortunato</t>
  </si>
  <si>
    <t>Junta de Acción Comunal Vereda La Dolores-San Afortunato</t>
  </si>
  <si>
    <t>Vereda  San Francisco</t>
  </si>
  <si>
    <t>Condominio Campestre Palma Real Vereda San Francisco</t>
  </si>
  <si>
    <t>Vereda  Chaguany</t>
  </si>
  <si>
    <t>Junta de Acción Comunal Vereda Chaguany</t>
  </si>
  <si>
    <t>Empresa de Servicios Publicos de Tarso S.A E.S.P. Vereda Patio Bonito</t>
  </si>
  <si>
    <t>Corregimiento La Meseta Sector El Hoyo</t>
  </si>
  <si>
    <t>Asociacion de Suscriptores o Usuarios del Acueducto y Alcantarillado La Meseta - Sector El Hoyo</t>
  </si>
  <si>
    <t>Corregimiento La Meseta</t>
  </si>
  <si>
    <t>Asociacion de Suscriptores o Usuarios del Acueducto y Alcantarillado La Meseta-Meseta</t>
  </si>
  <si>
    <t xml:space="preserve"> Corregimiento Sitio Viejo</t>
  </si>
  <si>
    <t>Asociacion de Usuarios del Acueducto y Alcantarillado Corregimiento Sitio Viejo</t>
  </si>
  <si>
    <t>Corregimiento La Otra Mina</t>
  </si>
  <si>
    <t>Junta Administradora del Acueducto de Otramina</t>
  </si>
  <si>
    <t>Vereda Falda Del Cauca</t>
  </si>
  <si>
    <t>Asociacion de Suscriptores o Usuarios del Acueducto y Alcantarillado Falda del Cauca</t>
  </si>
  <si>
    <t>Asociacion de Suscriptores o Usuarios Acueducto y Alcantarillado Vereda El Morro</t>
  </si>
  <si>
    <t>Junta Administradora Acueducto y Alcantarillado El Zancudo</t>
  </si>
  <si>
    <t>Asociacion de Suscriptores o Usuarios del Acueducto y Alcantarillado Campo Alegre</t>
  </si>
  <si>
    <t>Vereda Alto de Corcovado</t>
  </si>
  <si>
    <t>Acueducto Alto de Corcovado</t>
  </si>
  <si>
    <t>Sector Falda de los Upegui</t>
  </si>
  <si>
    <t>Asociacion de Suscriptores o Usuarios del Acueducto Falda de Los Upegui</t>
  </si>
  <si>
    <t>Vereda Los Micos</t>
  </si>
  <si>
    <t>Asociacion de Suscriptores o Usuarios del Acueducto y Alcantarillado Los Micos - ASUAALOSMI</t>
  </si>
  <si>
    <t>Corregimiento La Albania</t>
  </si>
  <si>
    <t>Asociacion Junta Acueducto Sector Hoyo del Barro, Corregimiento del Libano, La Albania</t>
  </si>
  <si>
    <t>Asociación de Suscriptores o Usuarios Acueducto y Alcantarillado El Porvenir</t>
  </si>
  <si>
    <t>Vereda Puerto Escondido</t>
  </si>
  <si>
    <t>Asociación de Suscriptores o Usuarios del Acueducto y Alcantarillado Puerto Escondido</t>
  </si>
  <si>
    <t>Vereda El Caracol</t>
  </si>
  <si>
    <t>Asociación de Usuarios del Acueducto Multiveredal Angelopolis, Amaga y Titiribi-El Caracol</t>
  </si>
  <si>
    <t>Vereda El Volcàn</t>
  </si>
  <si>
    <t>Asociacion de Suscriptores o Usuarios Acueducto y Alcantarillado El Volcan</t>
  </si>
  <si>
    <t>Corregimiento La Albania-Sector El Filo</t>
  </si>
  <si>
    <t>Asociación Acueducto El Trapiche, La Polla Sector El Filo</t>
  </si>
  <si>
    <t>Asociacion de Usuarios del Acueducto "Amigos del Agua" de La Vereda La Peña - ASUAVEPE</t>
  </si>
  <si>
    <t>Vereda Corcovado</t>
  </si>
  <si>
    <t>Asociacion de Suscriptores o Usuarios del Acueducto El Nacedero-Corcovado</t>
  </si>
  <si>
    <t>Corcovado Parte Baja</t>
  </si>
  <si>
    <t>Asociacion de Usuarios del Acueducto La Nueva ola - Vereda Corcovado - Parte Baja</t>
  </si>
  <si>
    <t>Vereda Los Pantanos No2</t>
  </si>
  <si>
    <t xml:space="preserve"> Asociación de Usuarios del Acueducto La Tora-Los Pantanos N° 2</t>
  </si>
  <si>
    <t>Vereda Loma Del Guamo</t>
  </si>
  <si>
    <t>Asociación de Suscriptores o Usuarios  Acueducto y Alcantarillado Loma del Guamo</t>
  </si>
  <si>
    <t>Asociacion de Usuarios del Acueducto del Rebose de La Vereda La Peña -Corregimiento La Albania</t>
  </si>
  <si>
    <t>Venta - Saladitos</t>
  </si>
  <si>
    <t>Junta de Acción Comunal Vereda Saladitos</t>
  </si>
  <si>
    <t>Orobugo Medio</t>
  </si>
  <si>
    <t>Asociación de Usuarios Acueducto Vereda Orobugo Medio</t>
  </si>
  <si>
    <t>Barrancos (muy alejado del casco urbano)</t>
  </si>
  <si>
    <t>Junta de Acción Comunal Barrancos</t>
  </si>
  <si>
    <t>Junta de Acción Comunal Vereda San Luis</t>
  </si>
  <si>
    <t>Vereda El Tunal</t>
  </si>
  <si>
    <t xml:space="preserve">Asociación de Usuarios Vereda  El Tunal </t>
  </si>
  <si>
    <t>Los Animes - El sireno</t>
  </si>
  <si>
    <t>Junta de Acción Comunal Vereda Los Animes</t>
  </si>
  <si>
    <t>San Fernando La Lucia</t>
  </si>
  <si>
    <t>Asociación Administradora del Acueducto San Fenando - La Lucia "Asaferlu"</t>
  </si>
  <si>
    <t>El Llano</t>
  </si>
  <si>
    <t>Junta de Acción Comunal El Llano</t>
  </si>
  <si>
    <t>Junta de Acción Comunal San Rafael</t>
  </si>
  <si>
    <t>Corregimiento La Encarnacion</t>
  </si>
  <si>
    <t>Junta de Acción Comunal Corregimiento La Encarnacion</t>
  </si>
  <si>
    <t>Los Quemados</t>
  </si>
  <si>
    <t>Junta de Acción Comunal Vereda Los Quemados</t>
  </si>
  <si>
    <t>Vasquez (a mas de 1 día de camino)</t>
  </si>
  <si>
    <t>Junta de Acción Comunal Vasquez</t>
  </si>
  <si>
    <t>La Loma</t>
  </si>
  <si>
    <t>Junta de Acción Comunal Vereda La Loma</t>
  </si>
  <si>
    <t>Puntas De Ocaido( a mas de 2 días de camino )</t>
  </si>
  <si>
    <t>Junta de Acción Comunal Puntas de Ocaido</t>
  </si>
  <si>
    <t>San Vidal</t>
  </si>
  <si>
    <t>Junta de Acción Comunal Vereda San Vidal</t>
  </si>
  <si>
    <t>San Matias</t>
  </si>
  <si>
    <t>Junta de Acción Comunal Vereda San Matias</t>
  </si>
  <si>
    <t>Vereda El Chuscal</t>
  </si>
  <si>
    <t>Junta de Acción Comunal Vereda El Chuscal</t>
  </si>
  <si>
    <t>Sabanas</t>
  </si>
  <si>
    <t>Junta de Acción Comunal Vereda Sabanas</t>
  </si>
  <si>
    <t>El Topacio</t>
  </si>
  <si>
    <t xml:space="preserve">Asociación de Usuarios Vereda El Topacio </t>
  </si>
  <si>
    <t>Asociación de Usuarios Vereda La Honda</t>
  </si>
  <si>
    <t>Vereda Guapantal</t>
  </si>
  <si>
    <t xml:space="preserve">Asociación de Usuarios  Vereda Guapantal </t>
  </si>
  <si>
    <t>Vereda La San Jose</t>
  </si>
  <si>
    <t>Junta Administradora Acueducto  San Jose</t>
  </si>
  <si>
    <t>Vereda Aguacates</t>
  </si>
  <si>
    <t>Asociación de Usuarios Acueducto Aguacates</t>
  </si>
  <si>
    <t>Pavon La Concentracion</t>
  </si>
  <si>
    <t xml:space="preserve">Junta  Acción Comunal Comité de Acueducto Pavon </t>
  </si>
  <si>
    <t>Vereda Pringamozal</t>
  </si>
  <si>
    <t xml:space="preserve">Junta Administradora  Acueducto Vereda Pringamosal </t>
  </si>
  <si>
    <t>Vereda La Cartagena</t>
  </si>
  <si>
    <t>Asociación de Usuarios Acueducto La Cartagena</t>
  </si>
  <si>
    <t>Vereda Arenales</t>
  </si>
  <si>
    <t>Junta Administradora  de Acueducto Vereda Arenales</t>
  </si>
  <si>
    <t>El Porvenir - Pavon</t>
  </si>
  <si>
    <t>Junta de Acción Comunal El Porvenir - Pavon</t>
  </si>
  <si>
    <t>Junta  Acción Comunal Pavon Santa Catalina</t>
  </si>
  <si>
    <t>Pavon Hoyo Rico</t>
  </si>
  <si>
    <t>Junta Administradora  Acueducto Vereda Pavon Hoyo Rico</t>
  </si>
  <si>
    <t>Vereda El Salvador</t>
  </si>
  <si>
    <t>Asociación de Usarios El Salvador</t>
  </si>
  <si>
    <t>Vereda Comuna  La Virgen</t>
  </si>
  <si>
    <t>Junta Administradora Acueducto Comuna La Virgen</t>
  </si>
  <si>
    <t>Vereda Comuna San Jose</t>
  </si>
  <si>
    <t>Asociacion Usuarios Acueducto Comuna San Jose</t>
  </si>
  <si>
    <t>Vereda El Bosque</t>
  </si>
  <si>
    <t>Asociacion Usuarios Acueducto El Bosque</t>
  </si>
  <si>
    <t>Asociacion de Usuarios Acueducto "El Guayabo"</t>
  </si>
  <si>
    <t>Vereda La Fabiana</t>
  </si>
  <si>
    <t>Junta Administradora Acueducto Itima -La Fabiana</t>
  </si>
  <si>
    <t>Vereda La Cumbre-La Graciela</t>
  </si>
  <si>
    <t>Junta Administradora Acueducto La Cumbre-La Graciela</t>
  </si>
  <si>
    <t>Vereda Mallarino</t>
  </si>
  <si>
    <t>Asociacion Usuarios Acueducto Mallarino</t>
  </si>
  <si>
    <t>Vereda Naranjal</t>
  </si>
  <si>
    <t>Junta Administradora Acueducto Naranjal</t>
  </si>
  <si>
    <t>Asociacion Usuarios Acueducto Playa Rica</t>
  </si>
  <si>
    <t>Asociacion Usuarios Acueducto El Libano</t>
  </si>
  <si>
    <t>Junta Administradora Acueducto Sabaletas</t>
  </si>
  <si>
    <t>Vereda La Herradura</t>
  </si>
  <si>
    <t>Junta Administradora Acueducto La Herradura</t>
  </si>
  <si>
    <t>Resguardo Indigena Marcelino Tascon</t>
  </si>
  <si>
    <t xml:space="preserve">Acueducto Resguardo Indigena Marcelino Tascon </t>
  </si>
  <si>
    <t>Corregimiento de Bolombolo</t>
  </si>
  <si>
    <t>Acueductos y Alcantarillados Sostenibles A.A.S S.A.   E.S.P.-Bolombolo</t>
  </si>
  <si>
    <t>Corregimiento La Mina</t>
  </si>
  <si>
    <t>Asociación de Usuarios del Acueducto del Corregimiento de Minas</t>
  </si>
  <si>
    <t>Acueducto Multiveredal Cerro Bravo-Palenque</t>
  </si>
  <si>
    <t>Acueducto Multiveredal Cerro Bravo-Palmichal</t>
  </si>
  <si>
    <t>Vereda La Amalia</t>
  </si>
  <si>
    <t>Acueducto Multiveredal Cerro Bravo-La Amalia</t>
  </si>
  <si>
    <t>Asociación de Suscriptores o Usuarios Acueducto El Cerro</t>
  </si>
  <si>
    <t>Vereda Ventiadero</t>
  </si>
  <si>
    <t>Asociación de Usuarios del Acueducto Vereda Carrizales Parte Baja El Ventiadero</t>
  </si>
  <si>
    <t>Vereda El Narciso</t>
  </si>
  <si>
    <t>Asociación de Usuarios del Acueducto de La Vereda El Narciso</t>
  </si>
  <si>
    <t>Vereda La Arabia</t>
  </si>
  <si>
    <t>Asociación de Usuarios del Acueducto de La Vereda La Arabia</t>
  </si>
  <si>
    <t>Acueducto Multiveredal El Vergel El Hoyo</t>
  </si>
  <si>
    <t>Vereda El Rincon</t>
  </si>
  <si>
    <t>Junta Administradora Vereda El Rincon</t>
  </si>
  <si>
    <t>Vereda El Llano La Antigua</t>
  </si>
  <si>
    <t>Junta Administradora Acueducto El Llano - Vereda El Llano La Antigua</t>
  </si>
  <si>
    <t>Vereda La Timotea</t>
  </si>
  <si>
    <t>Junta de Acción Comunal La Timotea - Vereda La Timotea</t>
  </si>
  <si>
    <t xml:space="preserve">Junta Administradora del Acueducto Santa Teresa - Vereda Santa Teresa </t>
  </si>
  <si>
    <t>Vereda La Nancui</t>
  </si>
  <si>
    <t xml:space="preserve">Junta Administradora del Acueducto La Nancui - Vereda La Nancuí </t>
  </si>
  <si>
    <t>Vereda Potreros 1</t>
  </si>
  <si>
    <t>Junta de Accion Comunal Potreros - Vereda Potreros 1</t>
  </si>
  <si>
    <t>Vereda Quimulá</t>
  </si>
  <si>
    <t>Junta Administra de Acueducto Quimulá - Vereda Quimulá</t>
  </si>
  <si>
    <t>Junta Administra de Acueducto El Eden - Vereda El Eden</t>
  </si>
  <si>
    <t>Vereda El Pedrero</t>
  </si>
  <si>
    <t>Asociación de Usuarios Acueducto Veredal El Pedrero</t>
  </si>
  <si>
    <t>Asociación de Usuarios Acueducto Veredal La Cejita</t>
  </si>
  <si>
    <t>Vereda Monterredondo</t>
  </si>
  <si>
    <t>Asociación de Usuarios del Acueducto Aguas Unidas de Anzá-Monterredondo</t>
  </si>
  <si>
    <t>Corregimiento de Guintar</t>
  </si>
  <si>
    <t>Asociación de Usuarios del Acueducto Corregimiento de Guintar</t>
  </si>
  <si>
    <t>Vereda La Mata</t>
  </si>
  <si>
    <t>Asociación de Usuarios del Acueducto Vereda La Mata</t>
  </si>
  <si>
    <t>Vereda La Quiuna</t>
  </si>
  <si>
    <t>Asociación de Usuarios del Acueducto Aguas Unidas de Anzá - La Quiuna</t>
  </si>
  <si>
    <t>Vereda Los Llanos</t>
  </si>
  <si>
    <t>Junta Administradora Acueducto Vereda Los Llanos</t>
  </si>
  <si>
    <t>Vereda Higuina</t>
  </si>
  <si>
    <t xml:space="preserve">Asociación de Usuarios del Acueducto Vereda Higuina </t>
  </si>
  <si>
    <t>Asociación de Usuarios Acueducto El Nudillo</t>
  </si>
  <si>
    <t>Vereda Vendiagujal</t>
  </si>
  <si>
    <t>Asociación de Usuarios del Acueducto Aguas Unidas de Anzá -Vendiagujal</t>
  </si>
  <si>
    <t>Asociación de Usuarios del Acueducto Aguas Unidas de Anzá -Lomitas</t>
  </si>
  <si>
    <t>Asociación de Usuarios Acueducto Veredal La Quiebra</t>
  </si>
  <si>
    <t>Asociación de Usuarios Acueducto Veredal El Encanto</t>
  </si>
  <si>
    <t>Asociación de Usuarios Acueducto Veredal La Cordillera</t>
  </si>
  <si>
    <t>Vereda La Chuscalita</t>
  </si>
  <si>
    <t>Asociación de Usuarios Acueducto Veredal La Chuscalita</t>
  </si>
  <si>
    <t>Junta Administradora Acueducto Vereda Las Travesias</t>
  </si>
  <si>
    <t>Vereda La Choclína</t>
  </si>
  <si>
    <t>Asociación de Usuarios del Acueducto Aguas Unidas de Anzá-La Choclína</t>
  </si>
  <si>
    <t>Vereda El Gredal</t>
  </si>
  <si>
    <t>Asociación de Usuarios Acueducto Veredal El Gredal</t>
  </si>
  <si>
    <t>Vereda  La Herradura</t>
  </si>
  <si>
    <t>Buriticá</t>
  </si>
  <si>
    <t>Corregimeinto de  Guarco</t>
  </si>
  <si>
    <t>Junta de Acción Comunal Corregimiento Guarco</t>
  </si>
  <si>
    <t>Corregimeinto de El Naranjo</t>
  </si>
  <si>
    <t>Junta de Acción Comunal Corregimiento El Naranjo</t>
  </si>
  <si>
    <t>Corregimeinto de la Angelina</t>
  </si>
  <si>
    <t>Junta de Acción Comunal Corregimiento de la Angelina</t>
  </si>
  <si>
    <t>Corregimeinto de Urarco</t>
  </si>
  <si>
    <t>Junta de Acción Comunal Corregimiento Urarco</t>
  </si>
  <si>
    <t>Vereda Llano Chiquito</t>
  </si>
  <si>
    <t>Junta de Acción Comunal Vereda Llano Chiquito</t>
  </si>
  <si>
    <t>Vereda Los Arados</t>
  </si>
  <si>
    <t>Junta de Acción Comunal Vereda de  los Arados</t>
  </si>
  <si>
    <t>Junta de Acción Comunal  Vereda Buenavista</t>
  </si>
  <si>
    <t>Vereda Sincierco</t>
  </si>
  <si>
    <t>Junta de Acción Comunal Vereda Sincierco</t>
  </si>
  <si>
    <t>Vereda Sopetrancito</t>
  </si>
  <si>
    <t>Junta de Acción Comunal Vereda de  Sopetrancito</t>
  </si>
  <si>
    <t>Vereda Untí</t>
  </si>
  <si>
    <t>Junta de Acción Comunal Vereda Untí</t>
  </si>
  <si>
    <t>Vereda Bubará</t>
  </si>
  <si>
    <t>Empresa de Servicios Publicos Domiciliarios de Buritica S.A.  E.S.P.-Bubara</t>
  </si>
  <si>
    <t>Vereda Asomadera</t>
  </si>
  <si>
    <t>Empresa de Servicios Publicos Domiciliarios de Buritica S.A.  E.S.P.-Asomadera</t>
  </si>
  <si>
    <t>Empresa de Servicios Publicos Domiciliarios de Buritica S.A.  E.S.P.-Piedragorda</t>
  </si>
  <si>
    <t>Vereda Carauquia</t>
  </si>
  <si>
    <t>Junta de Acción Comunal Vereda Carauquia</t>
  </si>
  <si>
    <t>Vereda Chunchunco</t>
  </si>
  <si>
    <t>Junta de Acción Comunal Vereda Chunchunco</t>
  </si>
  <si>
    <t>Vereda Conejos</t>
  </si>
  <si>
    <t>Junta de Acción Comunal Vereda Conejos</t>
  </si>
  <si>
    <t>Vereda Costas</t>
  </si>
  <si>
    <t>Junta de Acción Comunal Vereda de Costas</t>
  </si>
  <si>
    <t>Vereda Alto del Obispo</t>
  </si>
  <si>
    <t>Junta de Acción Comunal Vereda Alto del Obispo</t>
  </si>
  <si>
    <t>Vereda Tabacal</t>
  </si>
  <si>
    <t>Junta de Acción Comunal Vereda Tabacal</t>
  </si>
  <si>
    <t>Vereda El León</t>
  </si>
  <si>
    <t>Junta de Acción Comunal Vereda El Leon</t>
  </si>
  <si>
    <t>Junta de Acción Comunal Vereda Guadual</t>
  </si>
  <si>
    <t>Vereda Higabra</t>
  </si>
  <si>
    <t>Junta de Acción Comunal Vereda Higabra</t>
  </si>
  <si>
    <t>Junta de Acción Comunal Vereda Las Brisas</t>
  </si>
  <si>
    <t>Junta de Acción Comunal Vereda La Cordillera</t>
  </si>
  <si>
    <t>Vereda La Fragua</t>
  </si>
  <si>
    <t>Junta de Acción Comunal Vereda de la Fragua</t>
  </si>
  <si>
    <t>Junta de Acción Comunal Vereda La Palma</t>
  </si>
  <si>
    <t>Junta de Acción Comunal Vereda de la Playa</t>
  </si>
  <si>
    <t>Vereda La Vega</t>
  </si>
  <si>
    <t>Junta de Acción Comunal Vereda La Vega</t>
  </si>
  <si>
    <t>Vereda Las Cuatro</t>
  </si>
  <si>
    <t>Junta de Acción Comunal Vereda Las Cuatro</t>
  </si>
  <si>
    <t>Vereda Mogotes</t>
  </si>
  <si>
    <t>Junta de Acción Comunal Vereda Mogotes</t>
  </si>
  <si>
    <t>Vereda Pajarito</t>
  </si>
  <si>
    <t>Junta de Acción Comunal Vereda Pajarito</t>
  </si>
  <si>
    <t>Junta de Acción Comunal Vereda Palenque</t>
  </si>
  <si>
    <t>Junta de Acción Comunal Vereda Llano Grande</t>
  </si>
  <si>
    <t>Vereda El Siento</t>
  </si>
  <si>
    <t>Junta de Acción Comunal Vereda El Siento</t>
  </si>
  <si>
    <t>Vereda El Guaimaro</t>
  </si>
  <si>
    <t>Junta de Acción Comunal Vereda El Guaimaro</t>
  </si>
  <si>
    <t>Junta de Acción Comunal Vereda Murrapal</t>
  </si>
  <si>
    <t>Junta de Acción Comunal Vereda Santa Teresa</t>
  </si>
  <si>
    <t>Vereda Los Asientos</t>
  </si>
  <si>
    <t>Junta de Acción Comunal Vereda Los Asientos</t>
  </si>
  <si>
    <t>Vereda Altavista</t>
  </si>
  <si>
    <t>Junta Administradora Acueducto Altavista</t>
  </si>
  <si>
    <t>Vereda Casanova</t>
  </si>
  <si>
    <t>Asociación de Usuarios del Acueducto Multiveredal Hato-Casanova Vereda Casanova</t>
  </si>
  <si>
    <t>Vereda Chochal</t>
  </si>
  <si>
    <t>Asociación de Usuarios del Acueducto San Juan-Chochal Vereda Chochal</t>
  </si>
  <si>
    <t>Vereda El Playon</t>
  </si>
  <si>
    <t>Asociación de Usuarios del Acueducto Multiveredal Playon-Chochal Vereda El Playón</t>
  </si>
  <si>
    <t>Vereda Los Sauces</t>
  </si>
  <si>
    <t>Asociación de Usuarios del Acueducto Multiveredal Pinos-Cortada Vereda Los Sauces</t>
  </si>
  <si>
    <t>Vereda La Garcia</t>
  </si>
  <si>
    <t>Asociación de Usuarios del Acueducto Multiveredal Pinos-Cortada Vereda La Garcia</t>
  </si>
  <si>
    <t>Vereda Asesi</t>
  </si>
  <si>
    <t>Junta Administradora Acueducto Asesi</t>
  </si>
  <si>
    <t>Vereda La Cortada</t>
  </si>
  <si>
    <t>Asociación de Usuarios del Acueducto Multiveredal Pinos-Cortada Vereda Cortada</t>
  </si>
  <si>
    <t>Vereda La Cascajala</t>
  </si>
  <si>
    <t xml:space="preserve"> Junta Administradora de Acueducto Multiveredal La Salazar- Cascajala </t>
  </si>
  <si>
    <t>Vereda La Manga</t>
  </si>
  <si>
    <t>Asociación de Usuarios del Acueducto La Manga</t>
  </si>
  <si>
    <t>Asociación de Usuarios del Acueducto El Encanto</t>
  </si>
  <si>
    <t>Asociación de Usuarios del Acueducto La Soledad</t>
  </si>
  <si>
    <t>Vereda La Salazar</t>
  </si>
  <si>
    <t>Asociación de Usuarios del Acueducto La Salazar</t>
  </si>
  <si>
    <t>Vereda El Hato</t>
  </si>
  <si>
    <t>Asociación de Usuarios del Acueducto Multiveredal Hato-Casanova Vereda El Hato</t>
  </si>
  <si>
    <t>Asociación de Usuarios del Acueducto San Juan-Chochal Vereda San Juan</t>
  </si>
  <si>
    <t>Vereda Playón Parte Baja</t>
  </si>
  <si>
    <t>Asociación de Usuarios del Acueducto San Juan-Chochal Vereda Playón Parte Baja</t>
  </si>
  <si>
    <t>Vereda La Balsita</t>
  </si>
  <si>
    <t>Junta Administradora  Acueducto de La Balsita</t>
  </si>
  <si>
    <t>Junta Administradora Acueducto El Socorro</t>
  </si>
  <si>
    <t>Vereda La Aldea</t>
  </si>
  <si>
    <t>Junta de Acciòn Comunal La Aldea</t>
  </si>
  <si>
    <t>Vereda La Loma de San Pascual</t>
  </si>
  <si>
    <t>Junta Administradora Acueducto de La Loma San Pascual</t>
  </si>
  <si>
    <t>Corregimiento Cestillal</t>
  </si>
  <si>
    <t>Junta Administradora Acueducto El Silguero-Corregimiento Cestillal</t>
  </si>
  <si>
    <t>Corregimiento Juntas de Uramita</t>
  </si>
  <si>
    <t>Junta de Acción Comunal Acueducto de Juntas de Uramita-Corregimiento Juntas de Uramita</t>
  </si>
  <si>
    <t>Vereda Alto del Roble</t>
  </si>
  <si>
    <t>Junta Administradora Acueducto Alto del Roble</t>
  </si>
  <si>
    <t>Junta Administradora Acueducto de Guadual</t>
  </si>
  <si>
    <t>Vereda San Luís del Café</t>
  </si>
  <si>
    <t>Junta de Acción Comunal Acueducto San Luis del Café</t>
  </si>
  <si>
    <t>Vereda Insor Quebrada de Minas</t>
  </si>
  <si>
    <t>Junta Administradora Vereda Buenos Aires-Parte Alta</t>
  </si>
  <si>
    <t>Vereda Alto de Buenavista Juntas</t>
  </si>
  <si>
    <t>Junta Administradora Acueducto Alto de Buena Vista Juntas</t>
  </si>
  <si>
    <t>Vereda Los Antioqueños</t>
  </si>
  <si>
    <t>Junta Administradora Acueducto Los Antioqueños</t>
  </si>
  <si>
    <t>Vereda Los Naranjos</t>
  </si>
  <si>
    <t>Junta Administradora Acueducto Los Naranjos</t>
  </si>
  <si>
    <t>Junta Administradora Acueducto de La Manga</t>
  </si>
  <si>
    <t>Junta Administradora Acueducto El Retiro</t>
  </si>
  <si>
    <t>Vereda Cumbarrá</t>
  </si>
  <si>
    <t>Junta Administradora Acueducto de Cumbarrà</t>
  </si>
  <si>
    <t>Vereda La Curva</t>
  </si>
  <si>
    <t>Junta Administradora Acueducto de San Pascual-La Curva</t>
  </si>
  <si>
    <t>Vereda Morotó</t>
  </si>
  <si>
    <t>Junta Administradora Acueducto de Morotó</t>
  </si>
  <si>
    <t>Vereda Ciriguan</t>
  </si>
  <si>
    <t>Junta Administradora Acueducto de Ciriguan</t>
  </si>
  <si>
    <t>Corregimietno San Pascual</t>
  </si>
  <si>
    <t>Junta Administradora Acueducto de San Pascual-San Pascual</t>
  </si>
  <si>
    <t>Vereda Loma de la Alegría</t>
  </si>
  <si>
    <t>Junta Administradora Acueducto Loma de La Alegria</t>
  </si>
  <si>
    <t>Vereda Buenos aires-Parte Baja</t>
  </si>
  <si>
    <t>Junta Administradora Acueducto Buenos Aires-Parte Baja</t>
  </si>
  <si>
    <t>Vereda Caracolal</t>
  </si>
  <si>
    <t>Junta Administradora Acueducto Caracolal</t>
  </si>
  <si>
    <t>Vereda Buenos Aires-Parte Alta</t>
  </si>
  <si>
    <t>Junta Administradora Acueducto Buenos Aires-Parte Alta</t>
  </si>
  <si>
    <t>Vereda Juan Gomez</t>
  </si>
  <si>
    <t>Junta Administradora Acueducto Juan Gomez</t>
  </si>
  <si>
    <t>Vereda El Madero</t>
  </si>
  <si>
    <t>Junta Administradora Acueducto El Madero</t>
  </si>
  <si>
    <t>Vereda Alto de la Aldea</t>
  </si>
  <si>
    <t xml:space="preserve">Asociación de Usuarios Acueducto Multiveredal La Berrionda Cestillal-Alto de La Aldea </t>
  </si>
  <si>
    <t>Vereda La Unión</t>
  </si>
  <si>
    <t>Junta Administradora Acueducto Vereda La Unión</t>
  </si>
  <si>
    <t>Vereda Menbrillal</t>
  </si>
  <si>
    <t>Junta Administradora Acueducto de Membrillal</t>
  </si>
  <si>
    <t>Asociación de Usuarios Acueducto Multiveredal La Berrionda Cestillal-Guayabal</t>
  </si>
  <si>
    <t>Junta Administradora Acueducto de Guayabal</t>
  </si>
  <si>
    <t>Junta Administradora Acueducto Llano Grande</t>
  </si>
  <si>
    <t>Asociación de Usuarios Acueducto Multiveredal La Berrionda Cestillal San Miguel</t>
  </si>
  <si>
    <t>Junta Administradora Acueducto San Miguel Cestillal</t>
  </si>
  <si>
    <t>Vereda La Balsa</t>
  </si>
  <si>
    <t>Junta Administradora Acueducto Vereda La Balsa</t>
  </si>
  <si>
    <t>Barrio Los Balsos</t>
  </si>
  <si>
    <t>Junta Administradora Acueducto Barrio Los Balsos</t>
  </si>
  <si>
    <t>Vereda Imantago</t>
  </si>
  <si>
    <t>Junta Administradora Acueducto Imantago</t>
  </si>
  <si>
    <t>Vereda Rubicón</t>
  </si>
  <si>
    <t>Asociación de UsuariosAcueducto Multiveredal La Berrionda Cestillal-Rubicòn</t>
  </si>
  <si>
    <t>Junta Administradora Acueducto de Rubicòn</t>
  </si>
  <si>
    <t>Junta Administradora Acueducto Vereda El Canelo</t>
  </si>
  <si>
    <t>Vereda El Canelito</t>
  </si>
  <si>
    <t>Junta Administradora Acueducto Vereda El Canelito</t>
  </si>
  <si>
    <t>Vereda Media Cuesta</t>
  </si>
  <si>
    <t>Asociación de UsuariosAcueducto Vereda Mediacuesta Cañasgordas</t>
  </si>
  <si>
    <t>Vereda Paso Arriba</t>
  </si>
  <si>
    <t>Junta Administradora Acueducto de Paso Arriba</t>
  </si>
  <si>
    <t>Vereda El Paso</t>
  </si>
  <si>
    <t>Junta Administradora Vereda El Paso</t>
  </si>
  <si>
    <t>Vereda Botija Arriba</t>
  </si>
  <si>
    <t xml:space="preserve">Asociación de Usuarios Acueducto Multiveredal La Berrionda Cestillal-Botija Arriba </t>
  </si>
  <si>
    <t>Vereda Botija Abajo</t>
  </si>
  <si>
    <t xml:space="preserve">Asociación de Usuarios Acueducto Multiveredal Cestillal-Botija Abajo </t>
  </si>
  <si>
    <t>Asociación de Usuarios Acueducto Multiveredal La Berrionda Cestillal-La Quiebra</t>
  </si>
  <si>
    <t>Vereda Santo Cristo</t>
  </si>
  <si>
    <t>Asociación de Usuarios Acueducto Multiveredal La Berrionda Cestillal-Santo Cristo</t>
  </si>
  <si>
    <t>Vereda Uvital</t>
  </si>
  <si>
    <t>Asociación de Usuarios Acueducto Multiveredal Uvital</t>
  </si>
  <si>
    <t>Asociación de Usuarios Acueducto Multiveredal Cestillal-San Antonio</t>
  </si>
  <si>
    <t>Asociación de Usuarios Acueducto Multiveredal Cestillal-Naranjal</t>
  </si>
  <si>
    <t>Junta Administradora Acueducto La Aguada</t>
  </si>
  <si>
    <t>Vereda Apucarco</t>
  </si>
  <si>
    <t>Junta Administradora Acueducto Apucarco-Apucarco</t>
  </si>
  <si>
    <t>Verreda San Julian</t>
  </si>
  <si>
    <t>Junta de Aciòn Comunal Acueducto de Juntas de Uramita-San Julian</t>
  </si>
  <si>
    <t>Barrio Versalles</t>
  </si>
  <si>
    <t>Junta Administradora Acueducto La Aguada-Barrio Versalles</t>
  </si>
  <si>
    <t>Barrio El Chispero</t>
  </si>
  <si>
    <t>Junta Administradora Acueducto Apucarco-Barrio El Chispero</t>
  </si>
  <si>
    <t>Barrio Cordoncillal</t>
  </si>
  <si>
    <t>Asociación de Usuarios Acueducto Multiveredal La Berrionda Cestillal-Barrio Cordoncillal</t>
  </si>
  <si>
    <t>Asociación de Usuarios Acueducto Multiveredal La Cristalina-Bellavista</t>
  </si>
  <si>
    <t>Vereda Armenia</t>
  </si>
  <si>
    <t>Junta de Acción Comunal Vereda Armenia</t>
  </si>
  <si>
    <t>Vereda La Falda</t>
  </si>
  <si>
    <t>Junta de Acción Comunal Vereda La Falda</t>
  </si>
  <si>
    <t xml:space="preserve"> Vereda Carrá</t>
  </si>
  <si>
    <t>Junta de Acción Comunal Vereda Carrá</t>
  </si>
  <si>
    <t xml:space="preserve">Vereda  Lopia </t>
  </si>
  <si>
    <t>Junta de Acción Comunal Vereda  Lopia</t>
  </si>
  <si>
    <t xml:space="preserve">Vereda  Anta </t>
  </si>
  <si>
    <t>Vereda Dabeiba Viejo</t>
  </si>
  <si>
    <t>Vereda Pegado</t>
  </si>
  <si>
    <t>Junta de Acción Comunal Vereda Pegadó</t>
  </si>
  <si>
    <t>Vereda Llanogrande Chimiado</t>
  </si>
  <si>
    <t>Vereda Llano  de Cruces</t>
  </si>
  <si>
    <t>Junta de Acción Comunal Vereda Llano de Cruces</t>
  </si>
  <si>
    <t>Corregimiento Cruces de Urama</t>
  </si>
  <si>
    <t>Corregimiento San José de Urama</t>
  </si>
  <si>
    <t>Corremiento San Rafael</t>
  </si>
  <si>
    <t>Junta de Acción Comunal Corremiento San Rafael</t>
  </si>
  <si>
    <t>Vereda Chever</t>
  </si>
  <si>
    <t xml:space="preserve">Junta de Accion Comunal Vereda Chever  </t>
  </si>
  <si>
    <t>Vereda  Dabeiba Viejo(Indigena)</t>
  </si>
  <si>
    <t>Comunidad Indigena Dabeiba Viejo</t>
  </si>
  <si>
    <t>Vereda Culantrillales</t>
  </si>
  <si>
    <t>Junta de Accion Comunal Culantrillales</t>
  </si>
  <si>
    <t>Vereda Dabeiba viejo Coco Guayabito</t>
  </si>
  <si>
    <t>Junta de Acción Comunal Dabeiba Viejo-Coco Guayabito</t>
  </si>
  <si>
    <t>Vereda El Mohan</t>
  </si>
  <si>
    <t>Junata de Accion Comunal El Mohan</t>
  </si>
  <si>
    <t>Vereda Pueblecito</t>
  </si>
  <si>
    <t>Junta de Accion Comunal Pueblecito</t>
  </si>
  <si>
    <t>Vereda El Jordan</t>
  </si>
  <si>
    <t>Junata de Accion Comunal El Jordan</t>
  </si>
  <si>
    <t>Vereda El Tigre</t>
  </si>
  <si>
    <t>Junta de Accion comunal el tigre</t>
  </si>
  <si>
    <t>Vereda El Plancito</t>
  </si>
  <si>
    <t>Junta de Accion Comunal El Plancito</t>
  </si>
  <si>
    <t>Junta de Accion Comunal El Plan</t>
  </si>
  <si>
    <t>Vereda Betania</t>
  </si>
  <si>
    <t>Junta de Accion Comunal Betania- Puente Nuevo</t>
  </si>
  <si>
    <t>Junta de Accion Comunal Antado-El Rodeo</t>
  </si>
  <si>
    <t>Junta de Accion Comunal Los Naranjos</t>
  </si>
  <si>
    <t>Vereda Caracolon El Paraiso</t>
  </si>
  <si>
    <t>Junta de Accion Comunal Caracolon El Paraiso</t>
  </si>
  <si>
    <t>Corregimiento Sevilla</t>
  </si>
  <si>
    <t>Asociación de Suscriptores o Usuarios del Servicio de Acueducto del Corregimiento El Brasil-Sevilla</t>
  </si>
  <si>
    <t>Vereda La Cuchara</t>
  </si>
  <si>
    <t>Asociación Usuarios Acuanieves E.S.P- La Cuchara</t>
  </si>
  <si>
    <t>Asociación Usuarios Acuanieves-La Cruz</t>
  </si>
  <si>
    <t>Asociación Usuarios Acuanieves E.S.P- La Quinta</t>
  </si>
  <si>
    <t>Vereda El Saibo</t>
  </si>
  <si>
    <t>Asociación Usuarios Acuanieves--El Saibo</t>
  </si>
  <si>
    <t>Vereda Mano de Oso</t>
  </si>
  <si>
    <t>Asociación Usuarios Acuanieves E.S.P-Mano de Oso</t>
  </si>
  <si>
    <t>Asociación Usuarios Acuanieves E.S.P-La Aldea</t>
  </si>
  <si>
    <t>Vereda Boca Negra</t>
  </si>
  <si>
    <t>Asociación Usuarios Acuanieves E.S.P-Boca Negra</t>
  </si>
  <si>
    <t>Vereda El Bagio</t>
  </si>
  <si>
    <t>Asociación Usuarios Acuanieves E.S.P-El Bagío</t>
  </si>
  <si>
    <t>Vereda El Palon</t>
  </si>
  <si>
    <t>Asociación Usuarios Acuanieves E.S.P-El Palón</t>
  </si>
  <si>
    <t>Vereda Charrascal</t>
  </si>
  <si>
    <t>Asociación Usuarios Acuanieves E.S.P-Charrascal</t>
  </si>
  <si>
    <t>Vereda  La Palma</t>
  </si>
  <si>
    <t>Asociación Usuarios Acuanieves E.S.P- La Palma</t>
  </si>
  <si>
    <t xml:space="preserve">Corregimiento Guayabal </t>
  </si>
  <si>
    <t>Asociación de Usuarios del Acueducto Multiveredal del Municipio de Ebejico-Guayabal</t>
  </si>
  <si>
    <t>Vereda Filo San Jose</t>
  </si>
  <si>
    <t>Asociación de Usuarios del Acueducto Multiveredal del Municipio de Ebejico-Filo San José</t>
  </si>
  <si>
    <t>Asociación de Usuarios del Acueducto Multiveredal del Municipio de Ebejico-Las Brisas</t>
  </si>
  <si>
    <t>Asociación de Usuarios del Acueducto Multiveredal del Municipio de Ebejico-La Quiebra</t>
  </si>
  <si>
    <t>Vereda Blanquizal</t>
  </si>
  <si>
    <t>Asociación de Usuarios del Acueducto Multiveredal del Municipio de Ebejico-Blanquizal</t>
  </si>
  <si>
    <t>Asociación de Usuarios del Acueducto Multiveredal del Municipio de Ebejico-Campo Alegre</t>
  </si>
  <si>
    <t>Asociación de Usuarios del Acueducto Multiveredal del Municipio de Ebejico-El Retiro</t>
  </si>
  <si>
    <t>Vereda Las Coles</t>
  </si>
  <si>
    <t>Asociación de Usuarios del Acueducto Multiveredal del Municipio de Ebejico-Alto de Las Coles</t>
  </si>
  <si>
    <t>Vereda Holanda</t>
  </si>
  <si>
    <t>Asociación de Usuarios del Acueducto Multiveredal del Municipio de Ebejico-Holanda</t>
  </si>
  <si>
    <t>Vereda Santander</t>
  </si>
  <si>
    <t>Asociación de Usuarios del Acueducto Multiveredal del Municipio de Ebejico-Santander</t>
  </si>
  <si>
    <t>Vereda La Renta</t>
  </si>
  <si>
    <t>Asociación de Usuarios del Acueducto Multiveredal del Municipio de Ebejico-La Renta</t>
  </si>
  <si>
    <t>Asociación de Suscriptores o Usuarios del Servicio de Acueducto del Corregimiento El Brasil-La Gramala</t>
  </si>
  <si>
    <t>Vereda Alto El Brasil</t>
  </si>
  <si>
    <t>Asociación de Suscriptores o Usuarios del Servicio de Acueducto del Corregimiento El Brasil-Alto El Brasil</t>
  </si>
  <si>
    <t>Vereda Falda de la Suiza</t>
  </si>
  <si>
    <t>Asociación de Suscriptores o Usuarios del Servicio de Acueducto del Corregimiento El Brasil-La Suiza</t>
  </si>
  <si>
    <t>Asociación de Suscriptores o Usuarios del Servicio de Acueducto del Corregimiento El Brasil-Los Pomos</t>
  </si>
  <si>
    <t>Vereda Saguá</t>
  </si>
  <si>
    <t>Asociación de Suscriptores o Usuarios del Servicio de Acueducto del Corregimiento El Brasil-Saguá</t>
  </si>
  <si>
    <t>Junta Administradora Acueducto La Esmeralda</t>
  </si>
  <si>
    <t>Corregimiento La Clara</t>
  </si>
  <si>
    <t>Asociación Usuarios Acueducto ASUCLARA-Corregimiento La Clara</t>
  </si>
  <si>
    <t>Vereda  Arenales</t>
  </si>
  <si>
    <t>Asociación Usuarios Acueducto ASUCLARA-Arenales</t>
  </si>
  <si>
    <t>Asociación Usuarios Acueducto ASUCLARA-Murrapal</t>
  </si>
  <si>
    <t>Vereda Llano Santa Barbara</t>
  </si>
  <si>
    <t>Asociación Usuarios Acueducto ASUCLARA-Llano Santa Barbara</t>
  </si>
  <si>
    <t>Junta Administradora Acueducto-El Socorro</t>
  </si>
  <si>
    <t>Vereda Chachafruto</t>
  </si>
  <si>
    <t xml:space="preserve">Junta Administradora Acueducto Chachafruto </t>
  </si>
  <si>
    <t>Vereda Fátima</t>
  </si>
  <si>
    <t>Junta Administradora Acueducto-Fátima</t>
  </si>
  <si>
    <t xml:space="preserve">Vereda Nariño </t>
  </si>
  <si>
    <t xml:space="preserve">Junta Administradora Acueducto-Nariño </t>
  </si>
  <si>
    <t>Vereda El Zarzal</t>
  </si>
  <si>
    <t>Junta Administradora del Servicio de Acueducto de La Vereda El Zarzal</t>
  </si>
  <si>
    <t>Vereda El Cedro</t>
  </si>
  <si>
    <t>Junta Administradora Acueducto El Cedro</t>
  </si>
  <si>
    <t>Vereda Comunidad</t>
  </si>
  <si>
    <t>Asociación de Usuarios Acueducto Vereda Comunidad</t>
  </si>
  <si>
    <t>Vereda Chachafrutal</t>
  </si>
  <si>
    <t>Asociación Usuarios Acueducto Multiveredal Tres Montañas Chachafrutal</t>
  </si>
  <si>
    <t xml:space="preserve">Vereda  El Bosque </t>
  </si>
  <si>
    <t>Asociación Usuarios Acueducto Multiveredal  Tres Montañas  El Bosque</t>
  </si>
  <si>
    <t>Vereda Quirimará Placitas</t>
  </si>
  <si>
    <t>Junta Administradora Acueducto Quimara-Placitas</t>
  </si>
  <si>
    <t>Vereda Quirimará Rodeo</t>
  </si>
  <si>
    <t>Junta Administradora Acueducto Quimara - Rodeo</t>
  </si>
  <si>
    <t>Vereda Filo de las Arboledas</t>
  </si>
  <si>
    <t>Junta Administradora Acueducto-Vereda Filo de las Arboledas</t>
  </si>
  <si>
    <t>Vereda Nobogá</t>
  </si>
  <si>
    <t>Junta Administradora de Acueducto Nobogá</t>
  </si>
  <si>
    <t>Vereda Cabritas</t>
  </si>
  <si>
    <t>Junta Administradora de Acueducto Cabritas</t>
  </si>
  <si>
    <t>Vereda  Madre Laura</t>
  </si>
  <si>
    <t>Junta de Accion Comunal Acueducto Multiveredal Piedras Blanquitas - Madre Laura</t>
  </si>
  <si>
    <t>Vereda Paso Ancho</t>
  </si>
  <si>
    <t>Junta de Accion Comunal Acueducto Multiveredal Piedras Blanquitas - Paso Ancho</t>
  </si>
  <si>
    <t xml:space="preserve">Junta de Accion Comunal Acueducto Multiveredal Piedras Blanquitas - El Paso </t>
  </si>
  <si>
    <t>Vereda Chuscal de Musinga</t>
  </si>
  <si>
    <t>Junta de Acción Comunal Acueducto Chuscal de Musinga</t>
  </si>
  <si>
    <t>Vereda Chontaduro</t>
  </si>
  <si>
    <t>Junta Administradora Multiveredal Chontaduro, La Quiebra-Chontaduro</t>
  </si>
  <si>
    <t>Vereda Nobogacita</t>
  </si>
  <si>
    <t>Junta Administradora Acueducto Nobogacita</t>
  </si>
  <si>
    <t>Vereda Cuajron La Escuela</t>
  </si>
  <si>
    <t>Junta Administradora Acueducto Cuajron La Escuela</t>
  </si>
  <si>
    <t>Vereda San Lázaro</t>
  </si>
  <si>
    <t>Junta de Acción Comunal Acueducto San Lázaro</t>
  </si>
  <si>
    <t>Vereda El Rayo Cañaveral</t>
  </si>
  <si>
    <t>Junta de Accion Comunal Multiveredal  El Rayo Cañaveral</t>
  </si>
  <si>
    <t>Junta Administradora de Acueducto Multiveredal Los Israeles - El Rayo</t>
  </si>
  <si>
    <t>Junta Administradora de Acueducto Multiveredal Los Israeles - Nobogá</t>
  </si>
  <si>
    <t>Junta Administradora de Acueducto Multiveredal Los Israeles - Cabritas</t>
  </si>
  <si>
    <t>Vereda Loma de los Indios</t>
  </si>
  <si>
    <t>Junta Administradora de Acueducto Multiveredal Los Israeles - Loma de los Indios</t>
  </si>
  <si>
    <t>Vereda Las Cruces</t>
  </si>
  <si>
    <t>Junta Administradora Acueducto Las Cruces</t>
  </si>
  <si>
    <t>Vereda La Campiña</t>
  </si>
  <si>
    <t>Junta de Acción Comunal Acueducto La Campiña</t>
  </si>
  <si>
    <t>Vereda Los Monos</t>
  </si>
  <si>
    <t>Junta de Acción Comunal Vereda Los Monos</t>
  </si>
  <si>
    <t>Vereda Nutibara</t>
  </si>
  <si>
    <t>Cabildo Indigena Nusido Acueducto Nusido-Nutibara</t>
  </si>
  <si>
    <t>Vereda Nusido</t>
  </si>
  <si>
    <t>Cabildo Indigena Nusido Acueducto Nusido-Nusido</t>
  </si>
  <si>
    <t>Asociación de Usuarios Acueducto Multiveredal ASUACUM - La Honda</t>
  </si>
  <si>
    <t>Vereda El Chaquiro</t>
  </si>
  <si>
    <t>Asociación de Usuarios Acueducto Multiveredal ASUACUM - El Chaquiro</t>
  </si>
  <si>
    <t>Asociación de Usuarios Acueducto Multiveredal ASUACUM - La Primavera</t>
  </si>
  <si>
    <t>Vereda La Cañada Pontón</t>
  </si>
  <si>
    <t>Asociación de Usuarios Acueducto Multiveredal ASUACUM - La Cañada Pontón</t>
  </si>
  <si>
    <t>Asociación de Usuarios Acueducto Multiveredal ASUACUM - La Hondita</t>
  </si>
  <si>
    <t>Asociación de Usuarios Acueducto Multiveredal ASUACUM - La Herradura</t>
  </si>
  <si>
    <t>Vereda Alto de Frontino</t>
  </si>
  <si>
    <t>Asociación de Usuarios Acueducto Multiveredal ASUACUM - Alto de Frontino</t>
  </si>
  <si>
    <t>Vereda San Andrés</t>
  </si>
  <si>
    <t>Junta de Accion Comunal Acueducto Multiveredal San Andrés Murindó-San Andrés</t>
  </si>
  <si>
    <t>Vereda Murindó</t>
  </si>
  <si>
    <t>Junta de Accion Comunal Acueducto Multiveredal San Andrés Murindó-Murindó</t>
  </si>
  <si>
    <t>Vereda Blanquita</t>
  </si>
  <si>
    <t>Junta de Acción Comunal Acueducto La Blanquita</t>
  </si>
  <si>
    <t>Vereda Ponton</t>
  </si>
  <si>
    <t>Junta Administradora  Vereda Ponton</t>
  </si>
  <si>
    <t>Vereda La Blanquita</t>
  </si>
  <si>
    <t>Vereda Fuemia</t>
  </si>
  <si>
    <t>Junta de Acción Comunal Acueducto Fuemia</t>
  </si>
  <si>
    <t>Vereda Barrancas</t>
  </si>
  <si>
    <t>Junta de Acción Comunal Vereda  Barrancas</t>
  </si>
  <si>
    <t>Vereda Nore</t>
  </si>
  <si>
    <t>Junta de Acción Comunal Acueducto Nore</t>
  </si>
  <si>
    <t>Vereda Montañon</t>
  </si>
  <si>
    <t>Junta de Acción Comunal Acueducto Montañón</t>
  </si>
  <si>
    <t>Vereda Loma de Los Indios</t>
  </si>
  <si>
    <t>Junta de Acción Comunal Acueducto Loma de Los Indios</t>
  </si>
  <si>
    <t>Junta de Acción Comunal Vereda La Cabaña</t>
  </si>
  <si>
    <t>Vereda Llano de Musinga Tablaito</t>
  </si>
  <si>
    <t>Junta de Acción Comunal Acueducto Llano de Musinga CaseríoTablaito</t>
  </si>
  <si>
    <t>Junta de Acción Comunal El Cerro</t>
  </si>
  <si>
    <t>Vereda Llano de Musinga</t>
  </si>
  <si>
    <t>Junta de Acción Comunal Acueducto Llano de Musinga</t>
  </si>
  <si>
    <t>Vereda Las Cabras</t>
  </si>
  <si>
    <t>Junta de Acción Comunal Vereda Las Cabras</t>
  </si>
  <si>
    <t>Vereda El Matadero</t>
  </si>
  <si>
    <t>Junta de Acción Comunal Vereda El Matadero</t>
  </si>
  <si>
    <t>Corregimiento Nutibara</t>
  </si>
  <si>
    <t>Empresa de Servicios Publicos de Frontino E.S.P. Corregimiento Nutibara</t>
  </si>
  <si>
    <t>Vereda La Sierrita</t>
  </si>
  <si>
    <t>Junta de Accion Comunal La Sierrita-La Sierrita</t>
  </si>
  <si>
    <t>Vereda El Puente</t>
  </si>
  <si>
    <t>Junta de Accion Comunal Cuajaron-Sector El Puente</t>
  </si>
  <si>
    <t>Vereda Quiebritas</t>
  </si>
  <si>
    <t>Junta de Accion Comunal Cuajaron-Sector Quiebritas</t>
  </si>
  <si>
    <t>Vereda Escuela</t>
  </si>
  <si>
    <t>Junta de Accion Comunal Cuajaron-La Escuela</t>
  </si>
  <si>
    <t>Vereda  Filo Del Medio</t>
  </si>
  <si>
    <t>Junta de Accion Comunal Filo del Medio</t>
  </si>
  <si>
    <t>Vereda El Roblar</t>
  </si>
  <si>
    <t>Junta de Accion Comunal El Roblal</t>
  </si>
  <si>
    <t>Vereda El Aguila</t>
  </si>
  <si>
    <t>Junta de Accion Comunal El Aguila</t>
  </si>
  <si>
    <t>Junta de Accion Comunal La Sierra</t>
  </si>
  <si>
    <t>Junta de Accion Comunal El Tambo- El Tambo</t>
  </si>
  <si>
    <t>Sector La Trampa</t>
  </si>
  <si>
    <t>Junta de Accion Comunal El Tambo-Sector La Trampa</t>
  </si>
  <si>
    <t>Vereda Toyo Parte Alta</t>
  </si>
  <si>
    <t>Junta de Accion Comunal Toyo-Parte Alta</t>
  </si>
  <si>
    <t>Vereda El Limo</t>
  </si>
  <si>
    <t>Junta de Accion Comunal El Limo</t>
  </si>
  <si>
    <t>Junta de Accion Comunal El Balso</t>
  </si>
  <si>
    <t>Corregimiento Pinguro</t>
  </si>
  <si>
    <t>Junta de Accion Comunal Corregimiento Pinguro</t>
  </si>
  <si>
    <t>Vereda Tinajitas</t>
  </si>
  <si>
    <t>Junta de Accion Comunal Tinajitas</t>
  </si>
  <si>
    <t>Vereda La Cienaga</t>
  </si>
  <si>
    <t>Junta de Accion Comunal La Cienaga-La Cienaga</t>
  </si>
  <si>
    <t>Vereda La Bonanza</t>
  </si>
  <si>
    <t>Junta de Accion Comunal La Cienaga-La Bonanza</t>
  </si>
  <si>
    <t>Vereda La Planta</t>
  </si>
  <si>
    <t>Junta de Accion Comunal La Planta</t>
  </si>
  <si>
    <t xml:space="preserve">Corregimiento Manglar </t>
  </si>
  <si>
    <t>Asociación de Usuarios de Acuedcuto y Alcantarillado del Corregimiento Manglar</t>
  </si>
  <si>
    <t>Vereda la Cienaga Uruta</t>
  </si>
  <si>
    <t xml:space="preserve"> Junta de Accion Comunal la Cienaga Uruta</t>
  </si>
  <si>
    <t>Vereda Ceferino</t>
  </si>
  <si>
    <t>Acueducto Ceferino</t>
  </si>
  <si>
    <t>Corregimiento Alto del Corral</t>
  </si>
  <si>
    <t>Asociación de Usuarios del Acueducto Multiveredal del Corregimiento "Alto del Corral"</t>
  </si>
  <si>
    <t>Corregimiento Pueblito</t>
  </si>
  <si>
    <t>Junta Administradora del Acueducto Corregimiento Pueblito</t>
  </si>
  <si>
    <t xml:space="preserve">Vereda Palo Blanco </t>
  </si>
  <si>
    <t>Asociación de Usuarios del Acueducto Multiveredal Tres Montañas-Paloblanco</t>
  </si>
  <si>
    <t>Asociación de Usuarios del Acueducto Multiveredal Tres Montañas-La Pradrea</t>
  </si>
  <si>
    <t>Asociación de Usuarios del Acueducto Multiveredal Tres Montañas-Chachafruto</t>
  </si>
  <si>
    <t>Asociación de Usuarios del Acueducto Multiveredal Tres Montañas-Los Naranjos</t>
  </si>
  <si>
    <t xml:space="preserve">Vereda La Pava </t>
  </si>
  <si>
    <t>Acueducto La Pava</t>
  </si>
  <si>
    <t>Asociación de Usuarios del Acueducto Multiveredal Tres Montañas-Guayabal</t>
  </si>
  <si>
    <t xml:space="preserve"> Corregimiento Llano de San Jose</t>
  </si>
  <si>
    <t>Junta Administradora del Acueducto Corregimiento Llano de San Jose</t>
  </si>
  <si>
    <t>Vereda El Chocho</t>
  </si>
  <si>
    <t>Junta Administradora Vereda El Chocho</t>
  </si>
  <si>
    <t>Vereda Los Botes</t>
  </si>
  <si>
    <t>Acueducto Los Botes</t>
  </si>
  <si>
    <t>Vereda Las Estancias</t>
  </si>
  <si>
    <t>Junta de Accion Comunal Ventiadero Las Estancias</t>
  </si>
  <si>
    <t>Vereda Los Granadillos</t>
  </si>
  <si>
    <t>Junta  de Acción Comunal Los Granadillos</t>
  </si>
  <si>
    <t>Corregimiento La Merced del Playón</t>
  </si>
  <si>
    <t>Corregimiento San Diego</t>
  </si>
  <si>
    <t>Corregimiento El Carmen de La Venta</t>
  </si>
  <si>
    <t>Junta de Administradora de Acueducto La Venta</t>
  </si>
  <si>
    <t>Corregimiento Honda</t>
  </si>
  <si>
    <t>Junta Administradora Acueducto La Honda</t>
  </si>
  <si>
    <t>Vereda La Hacienda</t>
  </si>
  <si>
    <t>Vereda Malvazá</t>
  </si>
  <si>
    <t>Junta Administradora Acueducto San Miguel</t>
  </si>
  <si>
    <t>Vereda Los Recuerdos</t>
  </si>
  <si>
    <t>Junta de Acción Comunal Vereda Los Recuerdos</t>
  </si>
  <si>
    <t>Vereda Los Peñoles</t>
  </si>
  <si>
    <t>Junta Administradora Acueducto Multiveredal Peñoles, Ceja, La Palma -Los Peñoles</t>
  </si>
  <si>
    <t>Junta Administradora Acueducto Multiveredal Peñoles, Ceja, La Palma -La Palma</t>
  </si>
  <si>
    <t>Vereda La Ceja</t>
  </si>
  <si>
    <t xml:space="preserve">Junta Administradora Acueducto Multiveredal Peñoles, Ceja, La Palma-La Ceja </t>
  </si>
  <si>
    <t>Vereda Provincial</t>
  </si>
  <si>
    <t>Junta Administradora Acueducto Vereda Provincial-Provincial</t>
  </si>
  <si>
    <t>Junta Administradora Acueducto Vereda Montañita</t>
  </si>
  <si>
    <t xml:space="preserve">Junta de Acción Comunal Vereda El Morro </t>
  </si>
  <si>
    <t>Vereda La Hondura</t>
  </si>
  <si>
    <t>Junta de Accion comunal Vereda Las Abejas-La Hondura</t>
  </si>
  <si>
    <t>Vereda Porvenir</t>
  </si>
  <si>
    <t>Junta  Acción Comunal Vereda Porvenir</t>
  </si>
  <si>
    <t>Junta de Accion Comunal El Socorro</t>
  </si>
  <si>
    <t>Vereda Montenegro</t>
  </si>
  <si>
    <t>Junta  Administradora Acueducto Montenegro</t>
  </si>
  <si>
    <t>Vereda Los Ensenillos</t>
  </si>
  <si>
    <t>Junta de Acción Comunal Vereda Los Ensenillos</t>
  </si>
  <si>
    <t>Vereda El Guamal</t>
  </si>
  <si>
    <t xml:space="preserve">Junta de Accion Comunal El Guamal </t>
  </si>
  <si>
    <t>Vereda Rodas</t>
  </si>
  <si>
    <t>Junta de Accion Comunal Rodas</t>
  </si>
  <si>
    <t>Vereda San Pascual</t>
  </si>
  <si>
    <t>Junta de Administrado de Acueducto San Pascual-San Pascual</t>
  </si>
  <si>
    <t>Vereda Curiti</t>
  </si>
  <si>
    <t xml:space="preserve">Asociación de Usuarios del Acueducto Curiti Guamal-Curiti </t>
  </si>
  <si>
    <t>Vereda Sobresabanas</t>
  </si>
  <si>
    <t>Junta  Administradora Acueducto Sobresabanas</t>
  </si>
  <si>
    <t>Junta de Accion Comunal La Florida</t>
  </si>
  <si>
    <t>Vereda El Peregrino</t>
  </si>
  <si>
    <t>Junta  Acción Comunal Vereda Peregrino</t>
  </si>
  <si>
    <t>Junta  Acción Comunal Vereda Barrio Nuevo</t>
  </si>
  <si>
    <t>Vereda Cristobal</t>
  </si>
  <si>
    <t>Junta  Administradora Acueducto Cristobal</t>
  </si>
  <si>
    <t>Vereda Las Abejas</t>
  </si>
  <si>
    <t>Junta de Accion comunal Vereda Las Abejas-Las Abejas</t>
  </si>
  <si>
    <t xml:space="preserve">Olaya </t>
  </si>
  <si>
    <t>Junta  de Accion Comunal La Playa</t>
  </si>
  <si>
    <t>Asociación de Usuarios y Suscriptores del Acueducto de Llanadas ACUALLAN-Llanadas</t>
  </si>
  <si>
    <t>Vereda Pencal</t>
  </si>
  <si>
    <t>Junta de Accion Comunal Pencal</t>
  </si>
  <si>
    <t>Vereda Quebrada Seca</t>
  </si>
  <si>
    <t>Unidad de Servicios Públicos Domiciliarios-Quebrada Seca</t>
  </si>
  <si>
    <t>Vereda Piñones</t>
  </si>
  <si>
    <t>ASOPIÑONES-Vereda Piñones</t>
  </si>
  <si>
    <t>Corregimiento Sucre</t>
  </si>
  <si>
    <t>Aguas Regionales EPM S.A. E.S.P-Sucre</t>
  </si>
  <si>
    <t>Vereda Guayabo</t>
  </si>
  <si>
    <t>Junta  de Accion Comunal Guayabo</t>
  </si>
  <si>
    <t>Vereda La Colchona</t>
  </si>
  <si>
    <t>Vereda Las Lomas</t>
  </si>
  <si>
    <t>Vereda Los Naipes</t>
  </si>
  <si>
    <t>Vereda San Julian de Barbacoas</t>
  </si>
  <si>
    <t>Vereda La Loma Del Sauce</t>
  </si>
  <si>
    <t>Vereda El Agrio</t>
  </si>
  <si>
    <t>Vereda Barbacoas</t>
  </si>
  <si>
    <t>Corregimiento Los Llanos</t>
  </si>
  <si>
    <t xml:space="preserve">Vereda Las Faldas </t>
  </si>
  <si>
    <t>Vereda Las Faldas Del Café</t>
  </si>
  <si>
    <t>Vereda El Filo</t>
  </si>
  <si>
    <t>Vereda La Antigua</t>
  </si>
  <si>
    <t>Vereda El Páramo</t>
  </si>
  <si>
    <t>Vereda Llano Del Pueblo</t>
  </si>
  <si>
    <t>Vereda Italia 90</t>
  </si>
  <si>
    <t>Vereda Pojonal</t>
  </si>
  <si>
    <t>Vereda Guayabal La Falda</t>
  </si>
  <si>
    <t>Vereda Popal</t>
  </si>
  <si>
    <t>Vereda La Guadua</t>
  </si>
  <si>
    <t>Vereda Santa Agueda</t>
  </si>
  <si>
    <t>Vereda Renegado Valle</t>
  </si>
  <si>
    <t>Vereda  Guayabal de Pená</t>
  </si>
  <si>
    <t>Corregimiento de Lomitas</t>
  </si>
  <si>
    <t>Vereda San Juan de Renegado</t>
  </si>
  <si>
    <t>Corregimiento La Vega del Inglés</t>
  </si>
  <si>
    <t>Vereda  La Nueva Llanada</t>
  </si>
  <si>
    <t>Vereda El Junco</t>
  </si>
  <si>
    <t>Asociación de Usuarios del Acueducto Rural de La Vereda El Junco</t>
  </si>
  <si>
    <t>Corregimiento El Oro</t>
  </si>
  <si>
    <t>Junta de Acción Comunal Corregimiento El Oro</t>
  </si>
  <si>
    <t>Vereda El Tesorero</t>
  </si>
  <si>
    <t>Junta Administradora del Acueducto-Tesorero</t>
  </si>
  <si>
    <t>Junta Administradora del Acueducto del Socorro</t>
  </si>
  <si>
    <t>Junta Administradora del Acueducto del Madero</t>
  </si>
  <si>
    <t>Vereda La Pedrona</t>
  </si>
  <si>
    <t>Junta Administradora Acueducto de La Pedrona</t>
  </si>
  <si>
    <t>Junta de Acción Comunal del Acueducto El Tambo</t>
  </si>
  <si>
    <t>Junta de Acción Comunal Vereda El Encanto</t>
  </si>
  <si>
    <t>Vereda Llano de los Encuentros</t>
  </si>
  <si>
    <t>Junta de Acción Comunal Llano de Los Encuentros</t>
  </si>
  <si>
    <t>Vereda San Cristobal Pená</t>
  </si>
  <si>
    <t>Junta de Acción Comunal Vereda San Cristobal Pená</t>
  </si>
  <si>
    <t>Vereda La Ermita</t>
  </si>
  <si>
    <t>Junta Administradora Acueducto La Ermita</t>
  </si>
  <si>
    <t>Vereda Niquia</t>
  </si>
  <si>
    <t>Junta de Acción Comunal Vereda Niquia</t>
  </si>
  <si>
    <t>Junta Administradora Acueducto La Ceja</t>
  </si>
  <si>
    <t>Junta Administradora Acueducto de Buenos Aires</t>
  </si>
  <si>
    <t>Vereda Tesorerito</t>
  </si>
  <si>
    <t>Junta de Acción Comunal Vereda Tesorerito</t>
  </si>
  <si>
    <t>Vereda Llano del Oro</t>
  </si>
  <si>
    <t>Junta de Acción Comunal Vereda Llano del Oro</t>
  </si>
  <si>
    <t>Junta de Acción Comunal Vereda La Aurora</t>
  </si>
  <si>
    <t>Vereda Los Tendidos</t>
  </si>
  <si>
    <t>Junta de Acción Comunal Vereda Los Tendidos</t>
  </si>
  <si>
    <t>Vereda Machado</t>
  </si>
  <si>
    <t>Junta de Acción Comunal Vereda Machado</t>
  </si>
  <si>
    <t>Vereda Macanal</t>
  </si>
  <si>
    <t>Junta Administradora Acueducto Vereda Macanal</t>
  </si>
  <si>
    <t>Vereda Membrillal</t>
  </si>
  <si>
    <t>Junta de Acción Copmunal Vereda Membrillal</t>
  </si>
  <si>
    <t>Vereda El Placer</t>
  </si>
  <si>
    <t>Junta de Acción Comunal Vereda El Placer</t>
  </si>
  <si>
    <t>Junta de Acción Comunal Vereda La Meseta</t>
  </si>
  <si>
    <t>Junta Administradora del Acueducto La Loma</t>
  </si>
  <si>
    <t>Vereda Filo de Los Pérez</t>
  </si>
  <si>
    <t>Junta de Acción Comunal Vereda El Filo de Los Perez</t>
  </si>
  <si>
    <t>Vereda El Clavel</t>
  </si>
  <si>
    <t>Junta de Acción Comunal del Acueducto-El Clavel</t>
  </si>
  <si>
    <t>Vereda Veliguarin</t>
  </si>
  <si>
    <t>Corporacion Veliguarin</t>
  </si>
  <si>
    <t>Vereda El Chocho Parte Baja</t>
  </si>
  <si>
    <t>Asociación de Usuarios del Acueducto Los Cedros-El Chocho Parte Baja</t>
  </si>
  <si>
    <t>Asociación de Usuarios del Acueducto Buenos Aires</t>
  </si>
  <si>
    <t>Vereda Alto Colorado</t>
  </si>
  <si>
    <t xml:space="preserve">Asociación de  Suscriptores o Usuarios del Acueducto de La Vereda Alto Colorado </t>
  </si>
  <si>
    <t>Vereda  El Calvario</t>
  </si>
  <si>
    <t xml:space="preserve">Asociación de  Suscriptores o Usuarios del Acueducto de La Vereda El Calvario </t>
  </si>
  <si>
    <t>Asociación de Usuarios del Acueducto  La Cienaga</t>
  </si>
  <si>
    <t>Junta de Accion Comunal Vereda Cabuyal</t>
  </si>
  <si>
    <t xml:space="preserve">Vereda Llano Arriba </t>
  </si>
  <si>
    <t>Acueducto Llano Arriba</t>
  </si>
  <si>
    <t>Vereda Sector San Vicente</t>
  </si>
  <si>
    <t xml:space="preserve">Asociación de Usuarios del Acueducto del Barrio San Vicente </t>
  </si>
  <si>
    <t>Vereda Espiritu Santo</t>
  </si>
  <si>
    <t>Asociación de  Suscriptores o Usuarios del Acueducto Poleal Espiritu Santo</t>
  </si>
  <si>
    <t>Vereda Matazano</t>
  </si>
  <si>
    <t xml:space="preserve">Asociación de  Suscriptores o Usuarios  del Acueducto de La Vereda Matazano </t>
  </si>
  <si>
    <t>Vereda Loma Hermosa</t>
  </si>
  <si>
    <t>Asociación de  Suscriptores o Usuarios del Acueducto de La Vereda Pesquinal- Loma Hermosa</t>
  </si>
  <si>
    <t>Vereda El Mestizo</t>
  </si>
  <si>
    <t xml:space="preserve">Asociación de  Suscriptores o Usuariosdel Acueducto de La Vereda El Mestizo </t>
  </si>
  <si>
    <t xml:space="preserve">Asociación de  Usuarios del  de La Vereda Montefrio </t>
  </si>
  <si>
    <t>Vereda El Pomar</t>
  </si>
  <si>
    <t xml:space="preserve">Asociación de  Usuarios del  Acueducto El Pomar </t>
  </si>
  <si>
    <t>Vereda Aguas Poleal</t>
  </si>
  <si>
    <t>Aguas de Poleal</t>
  </si>
  <si>
    <t>Vereda Llano de San Juan</t>
  </si>
  <si>
    <t>Corporacion  Llano de San Juan</t>
  </si>
  <si>
    <t>Vereda  Llano de Aguirre</t>
  </si>
  <si>
    <t>Asociación de  Usuarios del Acueducto de La Vereda Llano de Aguirre</t>
  </si>
  <si>
    <t>Vereda La Palma Parte Baja</t>
  </si>
  <si>
    <t>Asociación de  Usuarios del Acueducto de La Vereda La Palma Parte Baja</t>
  </si>
  <si>
    <t>Vereda La Palma Parte Alta</t>
  </si>
  <si>
    <t>Asociación de  Usuarios del Acueducto de La Vereda La Palma Parte Alta</t>
  </si>
  <si>
    <t>Vereda  Piedra Negra</t>
  </si>
  <si>
    <t>Asociación de  Usuarios del Acueducto Piedra Negra</t>
  </si>
  <si>
    <t>Vereda Qimbayo</t>
  </si>
  <si>
    <t>Asociación de Usuarios del Acueducto de la Vereda Alticos -Quimbayo</t>
  </si>
  <si>
    <t>Vereda Guayabos</t>
  </si>
  <si>
    <t>Acueducto San Francisco</t>
  </si>
  <si>
    <t>Asociación de Usuarios del Acueducto de la Vereda Tafetanes</t>
  </si>
  <si>
    <t>Vereda Mestizal</t>
  </si>
  <si>
    <t>Asociación de Usuarios del Acueducto de la Vereda Mestizal</t>
  </si>
  <si>
    <t xml:space="preserve">Vereda Estancias </t>
  </si>
  <si>
    <t>Asociación de Usuarios del Acueducto de la Vereda Estancias</t>
  </si>
  <si>
    <t>Vereda Cenegueta</t>
  </si>
  <si>
    <t>Asociación de Usuarios del Acueducto de la Vereda Cenegueta</t>
  </si>
  <si>
    <t>Vereda Pie de Cuesta</t>
  </si>
  <si>
    <t>Asociación de Usuarios del Acueducto de la Vereda  Pie de Cuesta</t>
  </si>
  <si>
    <t>Santafe de Antioquia</t>
  </si>
  <si>
    <t>Asociación de Usuarios Acueducto El Plan-Vereda El Plan</t>
  </si>
  <si>
    <t>Vereda El Rodeo</t>
  </si>
  <si>
    <t>Asociación de Usuarios Acueducto Rural Vereda El Rodeo</t>
  </si>
  <si>
    <t>Vereda Yerbabuenal</t>
  </si>
  <si>
    <t>Asociación de Suscriptores Acueducto Yerbabuenal Centro-Vereda Yerbabuenal</t>
  </si>
  <si>
    <t>Asociación de Usuarios del Acueducto de La Vereda El Filo</t>
  </si>
  <si>
    <t>Asociación de Usuarios Acueducto La Aldea-Vereda La Aldea</t>
  </si>
  <si>
    <t>Corregimiento  Socorro Sabanas</t>
  </si>
  <si>
    <t>Junta de Acción Comunal Sabanas-Corregimiento Sabanas</t>
  </si>
  <si>
    <t xml:space="preserve">VeredaKilometro Dos </t>
  </si>
  <si>
    <t>Junta de Acción Comunal Vereda Km 2</t>
  </si>
  <si>
    <t xml:space="preserve">Vereda Kilometro Dos </t>
  </si>
  <si>
    <t>Aguas Regionales EPM S.A. E.S.P-Vereda Km 2</t>
  </si>
  <si>
    <t>Aguas Regionales EPM S.A. E.S.P-Vereda El Tunal</t>
  </si>
  <si>
    <t>Corregimiento Tonusco Arriba</t>
  </si>
  <si>
    <t>Junta Administradora de Acueducto-Corregimiento Tonusco Arriba</t>
  </si>
  <si>
    <t>Corregimiento Tonusco La Aguada</t>
  </si>
  <si>
    <t>Junta Administradora de Acueducto-Corregimiento Tonusco La Aguada</t>
  </si>
  <si>
    <t>Vereda El Chorrillo</t>
  </si>
  <si>
    <t>Junta de Acción Comunal Vereda El Chorrillo</t>
  </si>
  <si>
    <t>Junta Administradora de Acueducto Vereda La Milagrosa</t>
  </si>
  <si>
    <t>Vereda Las Coloradas</t>
  </si>
  <si>
    <t>Junta de Acción Comunal Vereda Las Coloradas</t>
  </si>
  <si>
    <t>Junta de Acción Comunal Vereda Fátima</t>
  </si>
  <si>
    <t>Vereda El Carmen</t>
  </si>
  <si>
    <t>Junta de Acción Comunal Vereda El Carmen</t>
  </si>
  <si>
    <t>Vereda San Carlos</t>
  </si>
  <si>
    <t>Asociación de Usuarios Acueducto Chuscales Loma Larga-Vereda San Carlos</t>
  </si>
  <si>
    <t>Vereda El Churimbo</t>
  </si>
  <si>
    <t>Junta de Acción Comunal Churimbo-Vereda Churimbo</t>
  </si>
  <si>
    <t>Corregimiento Cativo</t>
  </si>
  <si>
    <t>Asociación de Usuarios del Acueducto del Corregimiento de Cativo.</t>
  </si>
  <si>
    <t>Asociación de Usuarios Acueducto Chuscales Loma Larga-Vereda Chaparral</t>
  </si>
  <si>
    <t>Vereda La Mariana</t>
  </si>
  <si>
    <t>Asociación de Usuarios Acueducto Chuscales Loma Larga-Vereda La Mariana</t>
  </si>
  <si>
    <t>Junta de Acción Comunal Vereda San Antonio</t>
  </si>
  <si>
    <t>Vereda Coloradas</t>
  </si>
  <si>
    <t>Asociación de Usuarios Acueducto Chuscales Loma Larga-Vereda Las Coloradas</t>
  </si>
  <si>
    <t>Corregimiento El Pescado</t>
  </si>
  <si>
    <t>Junta de Acción Comunal El Pescado-Corregimiento El Pescado</t>
  </si>
  <si>
    <t>Vereda la Mesa</t>
  </si>
  <si>
    <t>Acueducto Multiveredal  La Tolda Vereda La Mesa</t>
  </si>
  <si>
    <t>Vereda La Tolda</t>
  </si>
  <si>
    <t>Acueducto Multiveredal  La Tolda Vereda La Tolda</t>
  </si>
  <si>
    <t>Corregimiento Laureles</t>
  </si>
  <si>
    <t>Junta Administradora Acueducto Corregimiento Laureles</t>
  </si>
  <si>
    <t>Vereda Moraditas</t>
  </si>
  <si>
    <t xml:space="preserve">Asociación de Usuarios Acueducto Moraditas-Vereda Moraditas </t>
  </si>
  <si>
    <t>Vereda Moraditas Alta</t>
  </si>
  <si>
    <t>Asociación de Usuarios Acueducto Moraditas-Vereda Moraditas Alta</t>
  </si>
  <si>
    <t>Corregimiento Nurqui</t>
  </si>
  <si>
    <t>Asociación de Usuarios Acueducto Chuscales Loma Larga-Vereda Nurqui</t>
  </si>
  <si>
    <t>Asociación de Usuarios del Acueducto de La Vereda El "Madero"</t>
  </si>
  <si>
    <t>Vereda El Espinal</t>
  </si>
  <si>
    <t>Aguas Regionales EPM S.A. E.S.P-Vereda El Espinal</t>
  </si>
  <si>
    <t>Vereda La Noque</t>
  </si>
  <si>
    <t>Aguas Regionales EPM S.A. E.S.P-Vereda La Noque</t>
  </si>
  <si>
    <t>Aguas Regionales EPM S.A. E.S.P-Vereda El Paso</t>
  </si>
  <si>
    <t>Vereda Obregon</t>
  </si>
  <si>
    <t>Aguas Regionales EPM S.A. E.S.P-Vereda Obregon</t>
  </si>
  <si>
    <t>Vereda El Pedregal</t>
  </si>
  <si>
    <t>Junta de Acción Comunal El Pedregal-Vereda El Pedregal</t>
  </si>
  <si>
    <t xml:space="preserve">Sopetran </t>
  </si>
  <si>
    <t>Corregimiento Horizontes</t>
  </si>
  <si>
    <t>Asociación de Suscriptores o Usuarios del Acueducto Corregimiento de Horizontes Municipio de Sopetran Entidad Sin Animo de Lucro</t>
  </si>
  <si>
    <t xml:space="preserve">Acueducto Rural El Rayo </t>
  </si>
  <si>
    <t>Vereda Loma del Medio</t>
  </si>
  <si>
    <t>Asociación de Suscriptores o Usuarios del Acueducto Loma del Medio</t>
  </si>
  <si>
    <t>Corregimiento Nuevo Horizontes</t>
  </si>
  <si>
    <t>Asociación de Usuarios del Acueducto de Santa Barbara Corregimiento Nuevo Horizontes</t>
  </si>
  <si>
    <t>Vereda Pomar -Santa Rita</t>
  </si>
  <si>
    <t>Asociación de Suscriptores o Usuarios del Acueducto de Las Veredas Pomar-Santa Rita</t>
  </si>
  <si>
    <t>Vereda Palogrande</t>
  </si>
  <si>
    <t>Junta Administradora Acueducto Vereda Palo Grande</t>
  </si>
  <si>
    <t>Vereda Alta  La Miranda</t>
  </si>
  <si>
    <t xml:space="preserve">Junta Administradora Acueducto Veredal manantial de la ayuna vereda Alta La Miranda </t>
  </si>
  <si>
    <t>Vereda Cordoba</t>
  </si>
  <si>
    <t>Junta Administradora Acueducto Cordoba</t>
  </si>
  <si>
    <t>Corregimiento San Nicolás de Bary</t>
  </si>
  <si>
    <t xml:space="preserve">Junta Administradora de Acueducto Corregimiento San Nicolás de Bary </t>
  </si>
  <si>
    <t>Vereda Ciruelar</t>
  </si>
  <si>
    <t>Junta Administradora Acueducto Vereda El Ciruelar</t>
  </si>
  <si>
    <t>Vereda Montegrande</t>
  </si>
  <si>
    <t>Junta Administradora del Acueducto Guataqui Montegrande</t>
  </si>
  <si>
    <t>Vereda La Aguada Montegrande</t>
  </si>
  <si>
    <t>Asociación de Usuarios del Acueducto El Pedrero La Aguada Montegrande</t>
  </si>
  <si>
    <t xml:space="preserve">Junta Adminstradora Acueducto Vereda Morron </t>
  </si>
  <si>
    <t xml:space="preserve">Vereda Los Pomos Guayabal </t>
  </si>
  <si>
    <t xml:space="preserve">Acueducto Rural Pomos Guayabal </t>
  </si>
  <si>
    <t>Vereda La Puerta</t>
  </si>
  <si>
    <t>Junta Administradora Acueducto veredal la cangrejo S.A.E.S.P</t>
  </si>
  <si>
    <t xml:space="preserve">Vereda Juntas </t>
  </si>
  <si>
    <t xml:space="preserve">Junta Administradora Acueducto Vereda Juntas </t>
  </si>
  <si>
    <t xml:space="preserve">Vereda  palenque </t>
  </si>
  <si>
    <t xml:space="preserve">Asociación de Usuarios del Acueducto  ACUAPALENQUE Vereda Fuentes del Alto Grande </t>
  </si>
  <si>
    <t>Vereda Montires</t>
  </si>
  <si>
    <t xml:space="preserve">Junta Administradora Acueducto Vereda Montires </t>
  </si>
  <si>
    <t>Aguas Regionales E.P.M. S.A. E.S.P-Vereda El Rodeo Sabanazo -El Rodeo</t>
  </si>
  <si>
    <t>Vereda Guaymaral</t>
  </si>
  <si>
    <t xml:space="preserve">Acueducto La Vid S.A.E.S.P </t>
  </si>
  <si>
    <t>Vereda Juntas Fuente La Sucia</t>
  </si>
  <si>
    <t>Aguas de San Nicolas S.A. E.S.P.</t>
  </si>
  <si>
    <t xml:space="preserve">La Miranda </t>
  </si>
  <si>
    <t xml:space="preserve">Junta Administradora del Acueducto de La Vereda Aguas Claras- LLano de  Miranda </t>
  </si>
  <si>
    <t>Aguas Regionales E.P.M. S.A. E.S.P-Vereda Tafetnaes</t>
  </si>
  <si>
    <t>Vereda Llano de Montaña</t>
  </si>
  <si>
    <t>Aguas Regionales E.P.M. S.A. E.S.P-Vereda El Llano de Montaña</t>
  </si>
  <si>
    <t>Vereda Otrabanda</t>
  </si>
  <si>
    <t>Aguas Regionales E.P.M. S.A. E.S.P-Vereda La otra Banda</t>
  </si>
  <si>
    <t>Vereda Guaymarala</t>
  </si>
  <si>
    <t>Junta Administradora Acueducto Vereda Guaymarala</t>
  </si>
  <si>
    <t xml:space="preserve">Uramita </t>
  </si>
  <si>
    <t>Alto del Pital</t>
  </si>
  <si>
    <t>Junta de Acción Comunal Acueducto Alto del Pital</t>
  </si>
  <si>
    <t>Vereda Ambalema</t>
  </si>
  <si>
    <t>Junta de Acción Comunal Acueducto Ambalema</t>
  </si>
  <si>
    <t>Vereda El Oso</t>
  </si>
  <si>
    <t>Junta de Acción Comunal Acueducto El Oso</t>
  </si>
  <si>
    <t>Vereda El Llano</t>
  </si>
  <si>
    <t>Junta de Accion Comunal Vereda El Llano</t>
  </si>
  <si>
    <t>Junta de Accion Comunal Vereda El Madero</t>
  </si>
  <si>
    <t>Junta de Accion Comunal de La Vereda El Retiro</t>
  </si>
  <si>
    <t>Junta de Accion Comunal Acueducto de La Vereda La Cumbre</t>
  </si>
  <si>
    <t>Junta de Accion Comunal Acueducto Vereda Murrapal</t>
  </si>
  <si>
    <t>Vereda Iracal</t>
  </si>
  <si>
    <t>Junta de Accion Comunal Vereda Iracal</t>
  </si>
  <si>
    <t>Vereda Monos</t>
  </si>
  <si>
    <t>Junta de Accion Comunal Acueducto Vereda Monos</t>
  </si>
  <si>
    <t>Fuera de servicio</t>
  </si>
  <si>
    <t>Junta de Accion Comunal de La Palma</t>
  </si>
  <si>
    <t>Junta Administadora  Acueducto Vereda La Meseta</t>
  </si>
  <si>
    <t>Vereda Palon</t>
  </si>
  <si>
    <t>Junta Administadora  Acueducto Vereda El Palon</t>
  </si>
  <si>
    <t>Vereda Limon Cabuyal</t>
  </si>
  <si>
    <t>Junta Administadora  Acueducto Vereda Limon Cabuyal</t>
  </si>
  <si>
    <t>Vereda Encalichada</t>
  </si>
  <si>
    <t>Junta de Accion Comunal La Encalichada</t>
  </si>
  <si>
    <t>Junta de Accion Comunal El Pital</t>
  </si>
  <si>
    <t>Vereda Caunce</t>
  </si>
  <si>
    <t>Junta de Accion Comunal Vereda El Caunce</t>
  </si>
  <si>
    <t>Aguas  Regionales  EPM S.A  E.S.P.-Corregimiento El Reposo</t>
  </si>
  <si>
    <t>Acueducto Naranjales</t>
  </si>
  <si>
    <t>Acueducto  Vijagual</t>
  </si>
  <si>
    <t>Acueducto  San Pablo</t>
  </si>
  <si>
    <t>Optima de Uraba-Los Mandarinos</t>
  </si>
  <si>
    <t>Vereda San Martin</t>
  </si>
  <si>
    <t xml:space="preserve">Acueducto San Martin </t>
  </si>
  <si>
    <t>Acueducto San Jose  de Apartado</t>
  </si>
  <si>
    <t>Acueducto Churido Pueblo</t>
  </si>
  <si>
    <t>Acueducto Multisectorial Zungo Carretera -  Loma Verde</t>
  </si>
  <si>
    <t>Junta de Acción Comunal Corregimiento de Buenos Aires</t>
  </si>
  <si>
    <t xml:space="preserve">Junta de Acción Comunal Corregimiento El Carmelo </t>
  </si>
  <si>
    <t xml:space="preserve">Junta de Acción Comunal de Garrapatas  </t>
  </si>
  <si>
    <t>Junta de Acción Comunal de La Vereda Canime Campesino</t>
  </si>
  <si>
    <t>Junta de Acción Comunal de La Vereda Canime Indigena</t>
  </si>
  <si>
    <t>Junta de Acción Comunal Vereda El Yeso</t>
  </si>
  <si>
    <t>Junta de Acción Comunal Corregimiento de Trinidad</t>
  </si>
  <si>
    <t>Junta de Acción Comunal de San José del Carmelo</t>
  </si>
  <si>
    <t>Junta de Acción Comunal Corregimiento de La Candelaria</t>
  </si>
  <si>
    <t>Junta de Acción Comunal de La Vereda Pavitas</t>
  </si>
  <si>
    <t>Junta de Acción Comunal de Los Cajones</t>
  </si>
  <si>
    <t>Junta de Acción Comunal Corregimiento de Guadual Arriba</t>
  </si>
  <si>
    <t>Junta de Acción Comunal La Atoyosa</t>
  </si>
  <si>
    <t>Junta de Acción Comunal Pueblo Chino</t>
  </si>
  <si>
    <t>Junta de Acción Comunal de  Nueva Estrella</t>
  </si>
  <si>
    <t>Junta de Acción Comunal Corregimiento de Naranjitas</t>
  </si>
  <si>
    <t>Junta de Acción Comunal de La Vereda Bajo Grande</t>
  </si>
  <si>
    <t>Junta de Acción Comunal Siete Hermanas</t>
  </si>
  <si>
    <t>Junta de Acción Comunal de Platas Arriba-Sector La Esperanza</t>
  </si>
  <si>
    <t>Junta de Acción Comunal de Platas Arriba-Sector Dios Es Amor</t>
  </si>
  <si>
    <t>Junta de Acción Comunal de La Vereda El Coco Kilometro 10</t>
  </si>
  <si>
    <t xml:space="preserve">Junta de Acción Comunal de Las  Santa Fe de Las Platas </t>
  </si>
  <si>
    <t>Junta de Accion Comunal Vereda Aguas Vivas</t>
  </si>
  <si>
    <t>Junta de Accion Comunal El Carmelo</t>
  </si>
  <si>
    <t>Vereda Garrapatas</t>
  </si>
  <si>
    <t>Canime Campesino</t>
  </si>
  <si>
    <t>Canime Indígena</t>
  </si>
  <si>
    <t>Vereda Las Pavitas</t>
  </si>
  <si>
    <t>Vereda La Atoyosa</t>
  </si>
  <si>
    <t>Corregimiento Naranjitas</t>
  </si>
  <si>
    <t>Sector la Esperanza</t>
  </si>
  <si>
    <t>Sector Dios es Amor</t>
  </si>
  <si>
    <t>Vereda El Coco  Kilometro 10</t>
  </si>
  <si>
    <t xml:space="preserve">Vereda aguas Vivas </t>
  </si>
  <si>
    <t>Vereda Arenosa</t>
  </si>
  <si>
    <t>Vereda Canal Uno</t>
  </si>
  <si>
    <t>Junta Administradora de Acueducto Carepita Canal Uno</t>
  </si>
  <si>
    <t>Corregimiento Piedras Blancas</t>
  </si>
  <si>
    <t xml:space="preserve">Junta Administradora de Acueducto y Alcantarillado Corregimiento Piedras Blancas </t>
  </si>
  <si>
    <t>Junta Administradora de Acueducto y Alcantarillado 28 de Octubre</t>
  </si>
  <si>
    <t>VeredaEl Encanto</t>
  </si>
  <si>
    <t>Junta Administradora de Acueducto Carepita Promexcol-Carepita Promexcol</t>
  </si>
  <si>
    <t>Vereda Zarabanda</t>
  </si>
  <si>
    <t>Junta Administradora de Acueducto  Zarabanda</t>
  </si>
  <si>
    <t>Vereda Eucalipto</t>
  </si>
  <si>
    <t>Vereda Belencito</t>
  </si>
  <si>
    <t>Junta Acción Comunal Vereda Belencito</t>
  </si>
  <si>
    <t>Vereda Caracolí</t>
  </si>
  <si>
    <t>Junta Administradora del Acueducto de Caracolí</t>
  </si>
  <si>
    <t>Vereda11 de Noviembre</t>
  </si>
  <si>
    <t>Junta Administradora de Acueducto y Alcantarillado Barrio 11 de Noviembre</t>
  </si>
  <si>
    <t>Vereda25 de Agosto</t>
  </si>
  <si>
    <t>Junta Administradora del Acueducto 25 de Agosto</t>
  </si>
  <si>
    <t>Junta de Accion Comunal Corregimiento Barranquillita</t>
  </si>
  <si>
    <t>Vereda El Dos Guapa</t>
  </si>
  <si>
    <t>Junta de Accion Comunal Vereda El Dos - El Dos Guapá</t>
  </si>
  <si>
    <t>Junta de Accion Comunal Vereda El Dos - Guapá La India</t>
  </si>
  <si>
    <t>Junta de Accion Comunal Vereda El Dos - Guapá León</t>
  </si>
  <si>
    <t>Junta de Accion Comunal Chontadural</t>
  </si>
  <si>
    <t>Junta de Accion Comunal Pavarandocito</t>
  </si>
  <si>
    <t>Junta de Accion Comunal Nuevo Mundo</t>
  </si>
  <si>
    <t>Junta de Accion Comunal Caucheras</t>
  </si>
  <si>
    <t xml:space="preserve">Vereda Piñales-Bedo </t>
  </si>
  <si>
    <t>Junta de Accion Comunal Piñales - Bedo</t>
  </si>
  <si>
    <t>Junta de Accion Comunal Bejuquillo</t>
  </si>
  <si>
    <t>Vereda Tierra  Dentro</t>
  </si>
  <si>
    <t>Junta de Accion Comunal Tierra dentro</t>
  </si>
  <si>
    <t>Junta de Accion Comunal Porroso</t>
  </si>
  <si>
    <t>Junta de Accion Comunal Primavera</t>
  </si>
  <si>
    <t>Junta de Accion Comunal Los Cedros</t>
  </si>
  <si>
    <t>Aguas Regionales E.P.M S.A E.S.P.-Belén de Bajirá</t>
  </si>
  <si>
    <t>Junta de Accion Comunal Los Cacaos</t>
  </si>
  <si>
    <t>Comunidad Jaikerazaby</t>
  </si>
  <si>
    <t>Junta de Accion Comunal Vereda Villa Arteaga</t>
  </si>
  <si>
    <t>Vereda  Casa Blanca</t>
  </si>
  <si>
    <t>Vereda Carlos Carretera</t>
  </si>
  <si>
    <t>Vereda Cativo</t>
  </si>
  <si>
    <t>Vereda Bocas de Iguana</t>
  </si>
  <si>
    <t>Vereda Bobal La Playa</t>
  </si>
  <si>
    <t>Acueducto Corregimiento Mulatos</t>
  </si>
  <si>
    <t>Junta de Acción Comunal Corregimiento Pueblo Nuevo-Corregimiento Pueblo Nuevo</t>
  </si>
  <si>
    <t>Junta de Acción Comunal Corregimiento Pueblo Nuevo-Loma de Piedra</t>
  </si>
  <si>
    <t>Acuototumo -El Totumo</t>
  </si>
  <si>
    <t>Acueducto Vereda Casa Blanca</t>
  </si>
  <si>
    <t>Acueducto La Ceibita</t>
  </si>
  <si>
    <t>Acueducto Carlos Carretera</t>
  </si>
  <si>
    <t>Acueducto Multiveredal Villa Sonia-Villa Nueva</t>
  </si>
  <si>
    <t>Junta de Acción Comunal  Vereda El Cativo</t>
  </si>
  <si>
    <t>Acueducto Multiveredal Villa Sonia</t>
  </si>
  <si>
    <t>Acueducto Corregimiento El Mellito-El Mellito #1</t>
  </si>
  <si>
    <t>Acueducto Corregimiento El Mellito-El Mellito #2</t>
  </si>
  <si>
    <t>Acueducto Corregimiento Mello Villavicencio</t>
  </si>
  <si>
    <t>Acueducto Multiveredal Zapata</t>
  </si>
  <si>
    <t>Acueducto Vereda Mellito Alto</t>
  </si>
  <si>
    <t>Acueducto Multiveredal Zapata-Bocas de Iguana</t>
  </si>
  <si>
    <t>Sistemas Publicos S.A E.S.P.-SISPUB S.A E.S.P- Rio Necoclí</t>
  </si>
  <si>
    <t>Sistemas Publicos S.A E.S.P.-SISPUB S.A E.S.P-El Hoyito</t>
  </si>
  <si>
    <t>Sistemas Publicos S.A E.S.P.-SISPUB S.A E.S.P-Bobal La Playa</t>
  </si>
  <si>
    <t>Sistemas Publicos S.A E.S.P.-SISPUB S.A E.S.P-San Sebastian</t>
  </si>
  <si>
    <t>Acueducto Corregimiento Caribia</t>
  </si>
  <si>
    <t>Acueducto La Comarca</t>
  </si>
  <si>
    <t>Junta Administradora Santa Catalina</t>
  </si>
  <si>
    <t>Corregimiento  Damaquiel</t>
  </si>
  <si>
    <t>Corregimiento  San Nicolas de los  Rios</t>
  </si>
  <si>
    <t>Corregimiento Uvero</t>
  </si>
  <si>
    <t>Corregimiento Siete Vueltas</t>
  </si>
  <si>
    <t>Junta Acción Comunal</t>
  </si>
  <si>
    <t>Junta Administradora Caracoli</t>
  </si>
  <si>
    <t>Junta Administradora El Caño Margen Izquierda</t>
  </si>
  <si>
    <t>Junta Administradora Arenas Monas</t>
  </si>
  <si>
    <t>Junta Administradora Zumbido Medio</t>
  </si>
  <si>
    <t xml:space="preserve">Asociación de Trabajadores por el Litoral-Camerún </t>
  </si>
  <si>
    <t>Junta Administradora de Acueducto y Alcantarillado el Tres</t>
  </si>
  <si>
    <t>Asociación de Trabajadores por el Litoral-Aguas Claras</t>
  </si>
  <si>
    <t xml:space="preserve">Asociación de Trabajadores por el Litoral-La Martina </t>
  </si>
  <si>
    <t>Junta de Acccion Comunal San Vicente</t>
  </si>
  <si>
    <t>Junta de Accion Comunal San Jose de Mulatos</t>
  </si>
  <si>
    <t>Junta de Accion Comunal Nueva Antioquia</t>
  </si>
  <si>
    <t xml:space="preserve">Asociación de Trabajadores por el Litoral-Cope </t>
  </si>
  <si>
    <t xml:space="preserve">Asociación de Trabajadores por el Litoral-Piedrecitas </t>
  </si>
  <si>
    <t>Optima de Urabá S.A E.S.P-Rio Grande</t>
  </si>
  <si>
    <t>Optima de Urabá S.A E.S.P-Currulao</t>
  </si>
  <si>
    <t>Optima de Urabá S.A E.S.P-Nueva Colonia</t>
  </si>
  <si>
    <t>Asociación de Usuarios del Acueducto Corregimiento El Dos E.S.P Asoacuedos E.S.P</t>
  </si>
  <si>
    <t>Junta de accion comunal Alto Mulatos</t>
  </si>
  <si>
    <t>Corregimiento de Labores</t>
  </si>
  <si>
    <t>Asociacion de Usuarios de Los Servicios Publicos de Labores (ASUL)</t>
  </si>
  <si>
    <t>Junta de Acción Comunal - Comite Empresarial  del Acueducto Vereda La Miel</t>
  </si>
  <si>
    <t>Vereda El Yuyal</t>
  </si>
  <si>
    <t>Asociacion de Usuarios de Acueducto El Yuyal</t>
  </si>
  <si>
    <t>Vereda La Amoladora</t>
  </si>
  <si>
    <t>Asociacion de Usuarios del Acueducto La Amoladora (ASUAMOL)</t>
  </si>
  <si>
    <t>Junta de Acción Comunal - Comite Empresarial  del  Acueducto La Candelaria</t>
  </si>
  <si>
    <t>Vereda Playas</t>
  </si>
  <si>
    <t>Asociacion de Usuarios del Acueducto Multiveredal Playas La Montaña, Zancudito, Potrerito (AUPLAM)-Las Playas</t>
  </si>
  <si>
    <t>Vereda Zancudito</t>
  </si>
  <si>
    <t>Asociacion de Usuarios del Acueducto Multiveredal Playas La Montaña, Zancudito, Potrerito (AUPLAM)-Zancudito</t>
  </si>
  <si>
    <t>Vereda Zafra</t>
  </si>
  <si>
    <t>Asociación de Usuarios del Acueducto Multiveredal Zafra Zancudito (ASUAZA)</t>
  </si>
  <si>
    <t>Asociacion de Usuarios del Acueducto El Hoyo (ASUDAH)</t>
  </si>
  <si>
    <t>Junta de Acción Comunal Vereda Travesías</t>
  </si>
  <si>
    <t>Vereda El Gurri</t>
  </si>
  <si>
    <t>Junta de Acción Comunal Vereda El Gurrí</t>
  </si>
  <si>
    <t>Vereda El Polvillo</t>
  </si>
  <si>
    <t>Junta de Acción Comunal Vereda El Polvillo</t>
  </si>
  <si>
    <t>Vereda La Rodriguez</t>
  </si>
  <si>
    <t>Junta de Acción Comunal La Rodríguez</t>
  </si>
  <si>
    <t>Vereda Alto de Chiri</t>
  </si>
  <si>
    <t>Junta de Acción Comunal Vereda Alto de Chiri</t>
  </si>
  <si>
    <t>Junta de Acción Comunal Pueblo Nuevo</t>
  </si>
  <si>
    <t>Vereda Chorrillos</t>
  </si>
  <si>
    <t>Junta de Acción Comunal Vereda Chorrillos</t>
  </si>
  <si>
    <t>Junta de Acción Comunal Vereda La Calera</t>
  </si>
  <si>
    <t>Vereda El Hoyo</t>
  </si>
  <si>
    <t>Junta de Acción Comunal Gurimán El Hoyo</t>
  </si>
  <si>
    <t>Vereda El Roblal</t>
  </si>
  <si>
    <t>Junta de Acción Comunal Vereda El Roblal</t>
  </si>
  <si>
    <t>Corregimiento Las Auras</t>
  </si>
  <si>
    <t>Vereda Moravia</t>
  </si>
  <si>
    <t>Junta de Acción comunal Vereda Moravia La Palomita</t>
  </si>
  <si>
    <t>Vereda Chorros Blancos Nº 1</t>
  </si>
  <si>
    <t xml:space="preserve">Vereda La Travesía </t>
  </si>
  <si>
    <t>Vereda Plan De Las Rosas</t>
  </si>
  <si>
    <t>Vereda La Colmena</t>
  </si>
  <si>
    <t>Vereda La Chiquita -Manzanillo</t>
  </si>
  <si>
    <t>Vereda  San Jose La Gloria-El Reposo</t>
  </si>
  <si>
    <t>Vereda El Piñal</t>
  </si>
  <si>
    <t>Vereda Los Ranchos</t>
  </si>
  <si>
    <t>Vereda Los Mangos</t>
  </si>
  <si>
    <t>Junta de Acción Comunal La Frisolera</t>
  </si>
  <si>
    <t>Vereda  La Camelia</t>
  </si>
  <si>
    <t>Secretaria de Medio Ambiente-La Camelia</t>
  </si>
  <si>
    <t>Vereda  La Maria</t>
  </si>
  <si>
    <t>Secretaria de Medio Ambiente-La Maria</t>
  </si>
  <si>
    <t>Vereda Claritas</t>
  </si>
  <si>
    <t>Secretaria de Medio Ambiente-Claritas</t>
  </si>
  <si>
    <t>Secretaria de Medio Ambiente -La Herradura</t>
  </si>
  <si>
    <t>Vereda La Granja La Vega El rio</t>
  </si>
  <si>
    <t>Secretaria de Medio Ambiente - La Granja La Vega El Rio</t>
  </si>
  <si>
    <t>Vereda Troneras</t>
  </si>
  <si>
    <t>Junta de Acción Comunal Vereda El Salto -Troneras</t>
  </si>
  <si>
    <t>Empresas Públicas de Medellín E.S.P-Las Brisas</t>
  </si>
  <si>
    <t>Junta de Acción Comunal San Andres</t>
  </si>
  <si>
    <t>Corregimiento Bellavista</t>
  </si>
  <si>
    <t>Junta de Acción Comunal Corregimiento Bellavista</t>
  </si>
  <si>
    <t>Vereda  La Montera</t>
  </si>
  <si>
    <t>Junta de Acción Comunal La Montera</t>
  </si>
  <si>
    <t xml:space="preserve">Vereda  La Frisolera </t>
  </si>
  <si>
    <t>Vereda  Animas Piedrahita</t>
  </si>
  <si>
    <t>Junta de Acción Comunal Animas Piedrahita</t>
  </si>
  <si>
    <t>Vereda El Progreso</t>
  </si>
  <si>
    <t>Acumultiveredal La Veta-El Progreso</t>
  </si>
  <si>
    <t>Vereda  El Filo</t>
  </si>
  <si>
    <t>Acumultiveredal La Veta-El Filo</t>
  </si>
  <si>
    <t>Acumultiveredal La Veta-Las Brisas</t>
  </si>
  <si>
    <t>Vereda Pio XII</t>
  </si>
  <si>
    <t>Acumultiveredal La Veta-Pio XII</t>
  </si>
  <si>
    <t>Acumultiveredal La Veta-Porvenir</t>
  </si>
  <si>
    <t>Acumultiveredal La Veta-El Tesoro</t>
  </si>
  <si>
    <t>Vereda Peñol</t>
  </si>
  <si>
    <t>Acueducto Multiveredal Manantiales-Peñol</t>
  </si>
  <si>
    <t>Vereda Riochico</t>
  </si>
  <si>
    <t>Acueducto Multiveredal Manantiales-Riochico</t>
  </si>
  <si>
    <t>Vereda Riogrande</t>
  </si>
  <si>
    <t>Acueducto Multiveredal Manantiales-Riogrande</t>
  </si>
  <si>
    <t>Vereda  Yerbabuena</t>
  </si>
  <si>
    <t>Acueducto Multiveredal Manantiales-Yerbabuena</t>
  </si>
  <si>
    <t>Asociacion de Usuarios Propietarios del Acueducto Vereda El Zancudo</t>
  </si>
  <si>
    <t>San Juan De Urabá</t>
  </si>
  <si>
    <t>Asociación de Usuarios Acueducto El  Salto (ASOACUA)- El Salto</t>
  </si>
  <si>
    <t>Vereda La Arenera</t>
  </si>
  <si>
    <t>Asociación de Usuarios Acueducto El  Salto (ASOACUA) -La Arenera</t>
  </si>
  <si>
    <t>Vereda Vega Botero</t>
  </si>
  <si>
    <t>Junta de Acción Comunal Vereda Vega Botero</t>
  </si>
  <si>
    <t xml:space="preserve">Vereda Lorica </t>
  </si>
  <si>
    <t xml:space="preserve">Junta de Acción Comunal Vereda Lorica </t>
  </si>
  <si>
    <t>Corregimiento La Estrella</t>
  </si>
  <si>
    <t>Asociación de Usuarios del Acueducto Corregimiento La Estrella E.S.P.</t>
  </si>
  <si>
    <t>Vereda San Fernandito</t>
  </si>
  <si>
    <t>Asociación de Usuarios del Acueducto Veredal San Fernandito E.S.P.</t>
  </si>
  <si>
    <t>Junta de Acción Comunal Vereda El Brasil</t>
  </si>
  <si>
    <t>Vereda La Bonita</t>
  </si>
  <si>
    <t>Junta de Acción Comunal Vereda La Bonita</t>
  </si>
  <si>
    <t>Vereda La Acequia</t>
  </si>
  <si>
    <t>Junta de Acción Comunal Vereda La Acequia</t>
  </si>
  <si>
    <t>Asociación de Usuarios Acueducto El Cerro</t>
  </si>
  <si>
    <t>Asociación de Usuarios Acueducto El Indio</t>
  </si>
  <si>
    <t>Asociación de Usuarios Acueducto El Guayabo</t>
  </si>
  <si>
    <t>Asociación de Usuarios Acueducto La Primavera</t>
  </si>
  <si>
    <t xml:space="preserve">Vereda La Hondura </t>
  </si>
  <si>
    <t xml:space="preserve">Junta de Acción Comunal Vereda La Hondura </t>
  </si>
  <si>
    <t xml:space="preserve">Vereda San Matias </t>
  </si>
  <si>
    <t xml:space="preserve">Junta de Acción Comunal Vereda San Matias </t>
  </si>
  <si>
    <t xml:space="preserve">Junta de Acción Comunal Vereda Cañaveral </t>
  </si>
  <si>
    <t xml:space="preserve">Vereda La Contrata </t>
  </si>
  <si>
    <t xml:space="preserve">Asociacion de Usuarios Vereda La Contrata </t>
  </si>
  <si>
    <t>Vereda El Tablon</t>
  </si>
  <si>
    <t>Asociación de Usuarios Acueducto El Tablon</t>
  </si>
  <si>
    <t xml:space="preserve">Vereda Quebradona </t>
  </si>
  <si>
    <t xml:space="preserve">Asociación de Usuarios Acueducto Aguas Unidas - Quebradona </t>
  </si>
  <si>
    <t>Vereda Quebradoncita</t>
  </si>
  <si>
    <t>Junta de Acción Comunal Vereda Aguas Unidas Quebradoncita</t>
  </si>
  <si>
    <t>Vereda La Bayadera</t>
  </si>
  <si>
    <t>Asociación de Usuarios Acueducto La Bayadera</t>
  </si>
  <si>
    <t>Vereda La Divisa</t>
  </si>
  <si>
    <t>Junta Administradora La Divisa</t>
  </si>
  <si>
    <t>Vereda Guadalupe IV</t>
  </si>
  <si>
    <t>Empresas Publicas de Medellin E.S.P.Los Cedros-Guadalupe IV</t>
  </si>
  <si>
    <t>Empresa de Servicios Publicos de Guadalupe S.A.S. E.S.P.-Montañita</t>
  </si>
  <si>
    <t>Vereda Candelaria</t>
  </si>
  <si>
    <t>Asociación de Usuarios del Acueducto Veredal La Candelaria</t>
  </si>
  <si>
    <t>Vereda Guanteros</t>
  </si>
  <si>
    <t>Junta Administradora Acueducto Guanteros</t>
  </si>
  <si>
    <t>Vereda El Machete</t>
  </si>
  <si>
    <t>ASOMAGUBA-El Machete</t>
  </si>
  <si>
    <t>Vereda Malabrigo</t>
  </si>
  <si>
    <t>Junta Administradora del Acueducto Malabrigo</t>
  </si>
  <si>
    <t>Vereda San Basilio Abajo</t>
  </si>
  <si>
    <t>Asociacion de Usuarios del Acueducto San Basilio Bajo</t>
  </si>
  <si>
    <t>Vereda Bramadora</t>
  </si>
  <si>
    <t>Junta Administradora El Perico Guadalupe IV-Bramadora</t>
  </si>
  <si>
    <t>Vereda Plan de Perez</t>
  </si>
  <si>
    <t>Junta Administradora de Acueducto Vereda Plan de Perez</t>
  </si>
  <si>
    <t>Vereda San Basilio Medio</t>
  </si>
  <si>
    <t>Junta Administradora del Acueducto San Basilio Medio</t>
  </si>
  <si>
    <t>Vereda Puente Acacias</t>
  </si>
  <si>
    <t>Asociacion de Usuarios del Acueducto Puente Acacias</t>
  </si>
  <si>
    <t>Junta Administradora Acueducto El Morro</t>
  </si>
  <si>
    <t>Asociacion de Usuarios del Acueducto Veredal "Gotas de Agua Pura"-El Guadual</t>
  </si>
  <si>
    <t>Corregimiento de la Granja</t>
  </si>
  <si>
    <t>Junta Administradora Acueducto Corregimiento de la Granja</t>
  </si>
  <si>
    <t>Junta Administradora Acueducto Multiveredal Paloblanco - Buena Vista</t>
  </si>
  <si>
    <t>Vereda La Hundida</t>
  </si>
  <si>
    <t>Junta Administradora Acueducto Multiveredal Paloblanco - La Hundida</t>
  </si>
  <si>
    <t>Vereda Guacharaquero</t>
  </si>
  <si>
    <t>Junta Administradora Acueducto Guacharaquero - La Honda Predio Carlos Taborda</t>
  </si>
  <si>
    <t>Junta Administradora Acueducto Guacharaquero-Arenales</t>
  </si>
  <si>
    <t>Junta de Acción Comunal  Santa Rita - La Hermosa</t>
  </si>
  <si>
    <t>Junta de Acción Comunal  Santa Rita-Arenales</t>
  </si>
  <si>
    <t>Corregimiento El Aro</t>
  </si>
  <si>
    <t>Junta de Acción Comunal  Corregimiento El Aro</t>
  </si>
  <si>
    <t>Junta de Acción Comunal  Santa Rita-Pueblo Nuevo</t>
  </si>
  <si>
    <t>Junta de Acción Comunal Santa Lucia</t>
  </si>
  <si>
    <t>Junta de Acción Comunal  Santa Ana</t>
  </si>
  <si>
    <t>Vereda Pascuita</t>
  </si>
  <si>
    <t>Junta de Acción Comunal Pascuita- Pascuita</t>
  </si>
  <si>
    <t>Junta de Acción Comunal Pascuita-  Palmichal</t>
  </si>
  <si>
    <t>Vereda Las Agüitas</t>
  </si>
  <si>
    <t>Junta de Acción Comunal Pascuita- Las Agüitas</t>
  </si>
  <si>
    <t>Vereda Candelaria Alta</t>
  </si>
  <si>
    <t>Junta Administradora Acueducto de La Candelaria Alta</t>
  </si>
  <si>
    <t>Vereda Brisas</t>
  </si>
  <si>
    <t>Junta Administradora de Acueducto Vereda Brisas</t>
  </si>
  <si>
    <t>Vereda El Cedral</t>
  </si>
  <si>
    <t>Junta Administradora de Acueducto El Cedral</t>
  </si>
  <si>
    <t>Vereda El Tejar</t>
  </si>
  <si>
    <t>Junta Administradora de Acueducto Vereda El Tejar</t>
  </si>
  <si>
    <t>Junta de Administradora de Acueducto La Miranda</t>
  </si>
  <si>
    <t>Vereda Candelaria Baja</t>
  </si>
  <si>
    <t>Junta Administradora de Acueducto Candelaria Baja</t>
  </si>
  <si>
    <t>Junta Administradora Acueducto Multiveredal Chontaduro-Chontaduro</t>
  </si>
  <si>
    <t>Vereda Bajo Ingles</t>
  </si>
  <si>
    <t>Junta Administradora de Acueducto Vereda Bajo Ingles</t>
  </si>
  <si>
    <t>Vereda Las Aguilas</t>
  </si>
  <si>
    <t>Junta Administradora de Acueducto La Georgia-Las Aguilas</t>
  </si>
  <si>
    <t>Vereda El Quibral</t>
  </si>
  <si>
    <t>Junta Administradora de Acueducto La Georgia-El Quibral</t>
  </si>
  <si>
    <t>Junta Administradora de Acueducto La Georgia-El Calvario</t>
  </si>
  <si>
    <t>Vereda Camelia Alta</t>
  </si>
  <si>
    <t xml:space="preserve">Junta de Acción Comunal La Estrella-Camelia Alta </t>
  </si>
  <si>
    <t xml:space="preserve">Junta de Acción Comunal El Tinto La Florida-La Florida </t>
  </si>
  <si>
    <t>Vereda El Tinto La Florida</t>
  </si>
  <si>
    <t>Junta de Acción Comunal El Porvenir-El Tinto La Florida</t>
  </si>
  <si>
    <t>Vereda Paloblanco</t>
  </si>
  <si>
    <t>Junta Administradora Acueducto Multiveredal Paloblanco - Paloblanco</t>
  </si>
  <si>
    <t>Junta Administradora Acueducto  La Honda</t>
  </si>
  <si>
    <t xml:space="preserve">Vereda San Isidro </t>
  </si>
  <si>
    <t>Junta Administradora Acueducto San Isidro</t>
  </si>
  <si>
    <t>Vereda Las Arañas</t>
  </si>
  <si>
    <t>Junta de Acción Comunal Las Arañas</t>
  </si>
  <si>
    <t>Junta Administradora de Acueducto Vereda Las Cuatro</t>
  </si>
  <si>
    <t>Vereda Pio X</t>
  </si>
  <si>
    <t>Junta Administradora Acueducto Vereda Pio X</t>
  </si>
  <si>
    <t>Sector Requintadero</t>
  </si>
  <si>
    <t>Junta Administradora Acueducto de Requintadero</t>
  </si>
  <si>
    <t>Junta Administradora Acueducto Multiveredal Chontaduro - Murrapal</t>
  </si>
  <si>
    <t>Vereda Cenizas</t>
  </si>
  <si>
    <t>Junta Administradora Acueducto Multiveredal Chontaduro - Cenizas</t>
  </si>
  <si>
    <t>Vereda Loma Grande</t>
  </si>
  <si>
    <t>Junta de Acción Comunal Vereda Loma Grande</t>
  </si>
  <si>
    <t>Vereda Alto Seco</t>
  </si>
  <si>
    <t>Junta de Acción Comunal Vereda Alto Seco</t>
  </si>
  <si>
    <t>Junta de Acción Comunal Vereda El Morro</t>
  </si>
  <si>
    <t>Vereda Media Loma</t>
  </si>
  <si>
    <t>Junta de Acción Comunal Vereda Media Loma</t>
  </si>
  <si>
    <t>Junta de Acción Comunal Vereda Santa Gertrudis</t>
  </si>
  <si>
    <t>Junta de Acción Comunal Vereda San Miguel</t>
  </si>
  <si>
    <t>Junta de Acción Comunal Vereda Travesias</t>
  </si>
  <si>
    <t>Junta de Acción Comunal Vereda Cienaga</t>
  </si>
  <si>
    <t>Junta de Acción Comunal Vereda Cruces</t>
  </si>
  <si>
    <t>Vereda Cordillera</t>
  </si>
  <si>
    <t>Vereda Loma del Indio</t>
  </si>
  <si>
    <t>Junta de Acción Comunal Vereda Loma del Indio</t>
  </si>
  <si>
    <t>Junta de Acción Comunal Vereda Montebello</t>
  </si>
  <si>
    <t>Junta de Acción Comunal Vereda La Chorrera</t>
  </si>
  <si>
    <t>Vereda El Bujio</t>
  </si>
  <si>
    <t>Junta de Acción Comunal Vereda El Bujio</t>
  </si>
  <si>
    <t xml:space="preserve"> Vereda El Mico</t>
  </si>
  <si>
    <t>Junta de Acción Comunal Vereda Tabor-El Mico</t>
  </si>
  <si>
    <t xml:space="preserve"> Vereda Cañadusalez</t>
  </si>
  <si>
    <t>Junta de Acción Comunal Vereda Cañaduzales</t>
  </si>
  <si>
    <t>Vereda Vereda Lejia</t>
  </si>
  <si>
    <t>Junta de Acción Comunal Vereda La Lejia</t>
  </si>
  <si>
    <t xml:space="preserve"> Vereda Potrerito</t>
  </si>
  <si>
    <t>Junta de Acción Comunal Potrerito</t>
  </si>
  <si>
    <t>Vereda El Caribe</t>
  </si>
  <si>
    <t>Asociación de Usuarios Manantiales La Arabia</t>
  </si>
  <si>
    <t>Vereda Camburé</t>
  </si>
  <si>
    <t>Junta de Acción Comunal Camburé</t>
  </si>
  <si>
    <t>San José de La Montaña</t>
  </si>
  <si>
    <t xml:space="preserve"> Vereda La Pulgarina</t>
  </si>
  <si>
    <t>Asociacion de Usuarios Acueducto de la Vereda La Pulgarina (ASOPUL)</t>
  </si>
  <si>
    <t xml:space="preserve"> Vereda Alto De Medina</t>
  </si>
  <si>
    <t>Asociacion de Usuarios del Acueducto Alto de Medina</t>
  </si>
  <si>
    <t xml:space="preserve"> Vereda Pantanillo</t>
  </si>
  <si>
    <t>Asociacion de Usuarios del Acueducto de las Veredas Espiritu Santo, Pantanillo (ASUAVEP)</t>
  </si>
  <si>
    <t xml:space="preserve"> Vereda Montefrio</t>
  </si>
  <si>
    <t>Asociacion de Usuarios del Acueducto Multiveredal Montefrio-Montefrio</t>
  </si>
  <si>
    <t xml:space="preserve"> Vereda San Francisco</t>
  </si>
  <si>
    <t>Junta Administradora del Acueducto San Francisco-ACUASFRAN</t>
  </si>
  <si>
    <t xml:space="preserve"> Vereda Monterredondo</t>
  </si>
  <si>
    <t>Acueducto de Monterredondo-Monterredondo</t>
  </si>
  <si>
    <t xml:space="preserve"> Vereda La Maria</t>
  </si>
  <si>
    <t>Asociacion de Usuarios del Acueducto San Juan La Maria (ASOJUMARIA)-La Maria</t>
  </si>
  <si>
    <t xml:space="preserve"> Vereda La Cuchilla</t>
  </si>
  <si>
    <t>Asociacion de Usuarios Junta Administradora Acueducto La Cuchilla San Pedro</t>
  </si>
  <si>
    <t xml:space="preserve"> Vereda  Ovejas</t>
  </si>
  <si>
    <t>Asociación de Usuarios del Acueducto de Ovejas (AACO)</t>
  </si>
  <si>
    <t xml:space="preserve"> Vereda La Empalizada</t>
  </si>
  <si>
    <t>Acueducto La Empalizada</t>
  </si>
  <si>
    <t xml:space="preserve"> Vereda La Lana</t>
  </si>
  <si>
    <t>Asociación de Usuarios del Acueducto La Lana</t>
  </si>
  <si>
    <t xml:space="preserve"> Vereda La Palma</t>
  </si>
  <si>
    <t>Asociación de Usuarios del Acueducto La Palma</t>
  </si>
  <si>
    <t xml:space="preserve"> Vereda La Clarita </t>
  </si>
  <si>
    <t>Asociacion de Usuarios del Acueducto de la Vereda Buenos Aires</t>
  </si>
  <si>
    <t xml:space="preserve"> Vereda San Juan</t>
  </si>
  <si>
    <t>Asociacion de Usuarios del Acueducto San Juan La Maria (ASOJUMARIA)-San Juan</t>
  </si>
  <si>
    <t xml:space="preserve"> Vereda Cerezales</t>
  </si>
  <si>
    <t>Asociacion de Usuarios del Acueducto Multiveredal Montefrio-Cerezales</t>
  </si>
  <si>
    <t>Vereda Santa Bárbara 2</t>
  </si>
  <si>
    <t>Acueducto Santa Bárbara 2</t>
  </si>
  <si>
    <t>Vereda San Jose la Ahumada</t>
  </si>
  <si>
    <t>Asociacion de Usuarios Acueducto ACUESANA -San Jose la Ahumada</t>
  </si>
  <si>
    <t>Corregimiento  San Pablo</t>
  </si>
  <si>
    <t>Asociación de Usuarios del Acueducto y Alcantarillado de San Pablo</t>
  </si>
  <si>
    <t xml:space="preserve">Vereda Santa Ana </t>
  </si>
  <si>
    <t xml:space="preserve">Asociación de Usuarios del Acueducto Multiveredal AMORSSAN- Santa Ana </t>
  </si>
  <si>
    <t>Corregimiento  San Isidro</t>
  </si>
  <si>
    <t xml:space="preserve">Asociación de Usuarios del Acueducto San Isidro </t>
  </si>
  <si>
    <t>Corregimiento Aragón</t>
  </si>
  <si>
    <t xml:space="preserve">Junta Administradora Acueducto Aragon </t>
  </si>
  <si>
    <t xml:space="preserve">Vereda Pontezuela </t>
  </si>
  <si>
    <t>Asociacion de Usuarios Acuadueducto Multiveredal Pontezuela</t>
  </si>
  <si>
    <t>Vereda Malambo</t>
  </si>
  <si>
    <t xml:space="preserve">Asociación de Usuarios Acueducto y Alcantarillado Malambo ASAYAMA </t>
  </si>
  <si>
    <t xml:space="preserve">Junta Administradora Acueducto La Lomita </t>
  </si>
  <si>
    <t>Corregimiento  Hoyorrico</t>
  </si>
  <si>
    <t>Asociación de Usuarios Acueducto Multiveredal La Cejita, San Francisco y Hoyorrico - Hoyorrico</t>
  </si>
  <si>
    <t>Asociación de Usuarios Acueducto Multiveredal La Cejita, San Francisco y Hoyorrico - San Francisco</t>
  </si>
  <si>
    <t xml:space="preserve">Aociacion de Usurios Acueducto El Chaquiro </t>
  </si>
  <si>
    <t xml:space="preserve">Vereda La Piedra </t>
  </si>
  <si>
    <t xml:space="preserve">Asociacion de Usurios Acueducto La Piedra </t>
  </si>
  <si>
    <t>Vereda Minavieja</t>
  </si>
  <si>
    <t>Asociacion de Usuarios Acueducto El Titan</t>
  </si>
  <si>
    <t>Vereda Ahitoncito</t>
  </si>
  <si>
    <t xml:space="preserve">Junta Administradora Acueducto Ahitoncito </t>
  </si>
  <si>
    <t xml:space="preserve">Asociación Acueducto Remanso de Paz de La Vereda El Vergel </t>
  </si>
  <si>
    <t>Vereda Orobajo</t>
  </si>
  <si>
    <t>Asociación de Usuarios del Acueducto Multiveredal AMORSSAN-Orobajo Santa Ines</t>
  </si>
  <si>
    <t xml:space="preserve">Vereda Los Salados  </t>
  </si>
  <si>
    <t xml:space="preserve">Asociación de Usuarios del Acueducto Multiveredal AMORSSAN-Los Salados  </t>
  </si>
  <si>
    <t>Asociación de Usuarios del Acueducto Multiveredal AMORSSAN-La Muñoz</t>
  </si>
  <si>
    <t>Corregimiento Riogrande</t>
  </si>
  <si>
    <t>Asociación de Socios Acueducto y Alcantarillado Corregimiento de Riogrande-ASAACOR</t>
  </si>
  <si>
    <t>Vereda Orobajo -  Riogrande</t>
  </si>
  <si>
    <t>Asociación de Usuarios del Acueducto Multiveredal AMORSSAN-Riogrande</t>
  </si>
  <si>
    <t xml:space="preserve">Junta Administradora Acueducto La Clara </t>
  </si>
  <si>
    <t>Vereda El Caney</t>
  </si>
  <si>
    <t>Asociación de Usuarios del Acueducto El Caney</t>
  </si>
  <si>
    <t>Asociación de Usuarios Acueducto Allachí-El Llano</t>
  </si>
  <si>
    <t>Vereda Chilimaco</t>
  </si>
  <si>
    <t>Asociación de Usuarios Acueducto Allachí-Chilimaco</t>
  </si>
  <si>
    <t>Vereda Salamina</t>
  </si>
  <si>
    <t>Asociación de Usuarios del Acueducto La Pava Salamina -Salamina</t>
  </si>
  <si>
    <t>Vereda La Pava</t>
  </si>
  <si>
    <t>Asociación de Usuarios del Acueducto La Pava Salamina -La Pava</t>
  </si>
  <si>
    <t>Junta Administradora Acueducto Fronteras-Montefrio</t>
  </si>
  <si>
    <t>Junta Administradora Acueducto Fronteras-Barrancas</t>
  </si>
  <si>
    <t xml:space="preserve">Vereda Buenavista </t>
  </si>
  <si>
    <t>Unidad de Servicios Publicos Domiciliarios E.S.P. del Municipio de Toledo -Vereda Buenavista</t>
  </si>
  <si>
    <t>Vereda Miraflores</t>
  </si>
  <si>
    <t>Junta de Acción Comunal de Miraflores</t>
  </si>
  <si>
    <t xml:space="preserve">Junta de Acción Comunal Vereda Barrancas </t>
  </si>
  <si>
    <t>Vereda Brugo</t>
  </si>
  <si>
    <t>Juntade Acuedcuto Vereda de Brugo</t>
  </si>
  <si>
    <t xml:space="preserve">Corregimiento del Valle </t>
  </si>
  <si>
    <t>Unidad de Servicios Publicos Domiciliarios E.S.P. del Municipio de Toledo-Corregimiento del Valle de Toledo</t>
  </si>
  <si>
    <t>Vereda El Cantaro</t>
  </si>
  <si>
    <t>Junta de Acción Comunal Vereda El Cantaro</t>
  </si>
  <si>
    <t>Vereda Biogui</t>
  </si>
  <si>
    <t>Junta de Acuedcuto Vereda Biogui</t>
  </si>
  <si>
    <t>Helechales</t>
  </si>
  <si>
    <t xml:space="preserve">Junta de Acción Comunal Vereda Helechales </t>
  </si>
  <si>
    <t>Unidad de Servicios Publicos Domiciliarios E.S.P. del Municipio de Toledo -Vereda Guayabal</t>
  </si>
  <si>
    <t xml:space="preserve">Vereda Florida </t>
  </si>
  <si>
    <t xml:space="preserve">Junta de Acueducto  Vereda Florida </t>
  </si>
  <si>
    <t>Vereda Taque</t>
  </si>
  <si>
    <t>Junta de Acuedcuto Vereda Taque</t>
  </si>
  <si>
    <t>La Linda</t>
  </si>
  <si>
    <t>Unidad de Servicios Publicos Domiciliarios E.S.P. del Municipio de Toledo -Verda La Linda</t>
  </si>
  <si>
    <t>Vereda El Quince</t>
  </si>
  <si>
    <t>Junta de Acción Comunal El Quince</t>
  </si>
  <si>
    <t>Vereda El Nevado</t>
  </si>
  <si>
    <t>Junta de Acción Comunal El Nevado</t>
  </si>
  <si>
    <t>Vereda La Habana</t>
  </si>
  <si>
    <t>Junta de Acción Comunal Caracoli-La Habana</t>
  </si>
  <si>
    <t>Vereda Palomas</t>
  </si>
  <si>
    <t>Junta de Acción Comunal Palomas</t>
  </si>
  <si>
    <t>Vereda Puerto Raudal</t>
  </si>
  <si>
    <t>Junta de Acción Comunal Puerto Raudal</t>
  </si>
  <si>
    <t>Corregimiento Puerto Valdivia</t>
  </si>
  <si>
    <t>Junta de Acción Comunal Puerto Valdivia</t>
  </si>
  <si>
    <t>Corregimiento Raudal</t>
  </si>
  <si>
    <t>Junta de Acción Comunal Raudal</t>
  </si>
  <si>
    <t>Vereda Zorras</t>
  </si>
  <si>
    <t>Junta de Acción Comunal Buenos Aires</t>
  </si>
  <si>
    <t>Corregimiento Llanos de Cuiva</t>
  </si>
  <si>
    <t>ASPROLLAC-Corregimiento Llanos de Cuiva</t>
  </si>
  <si>
    <t>Vereda Jose Maria Cordoba</t>
  </si>
  <si>
    <t>Junta Administradora del Acueducto Jose Maria Cordoba</t>
  </si>
  <si>
    <t>Vereda Mina Vieja</t>
  </si>
  <si>
    <t>Junta del Acción Comunal Mina Vieja</t>
  </si>
  <si>
    <t>Corregimiento Cedeño</t>
  </si>
  <si>
    <t>Asociación del Usuraios Acueducto Cedeño Asouace</t>
  </si>
  <si>
    <t>Corregimiento Ochali</t>
  </si>
  <si>
    <t>Junta Administardora del Acueducto Ochali</t>
  </si>
  <si>
    <t>Corregimiento El Cedro</t>
  </si>
  <si>
    <t>Junta Administardora del Acueducto El Cedro</t>
  </si>
  <si>
    <t>Vereda  La Estrella</t>
  </si>
  <si>
    <t xml:space="preserve">Junta Admnistradora del Acueduto Mallarino - La Estrella </t>
  </si>
  <si>
    <t>Corregimiento El Llano de Yarumal</t>
  </si>
  <si>
    <t>Junta Administardora del Acueducto El Llano de Yarumal</t>
  </si>
  <si>
    <t>Corregimiento la Loma</t>
  </si>
  <si>
    <t>Junta Administradora Acueducto La Loma</t>
  </si>
  <si>
    <t>Corregimiento El Pueblito</t>
  </si>
  <si>
    <t>Junta Administradora del Acueducto El Pueblito</t>
  </si>
  <si>
    <t>Vereda  Chorros Blancos Abajo</t>
  </si>
  <si>
    <t>Junta Administradora del Acueducto Chorros Blancos Abajo</t>
  </si>
  <si>
    <t>Apartadó</t>
  </si>
  <si>
    <t>Mutatá</t>
  </si>
  <si>
    <t>Chigorodó</t>
  </si>
  <si>
    <t>Necoclí</t>
  </si>
  <si>
    <t>Entrerríos</t>
  </si>
  <si>
    <t>Abriaquí</t>
  </si>
  <si>
    <t>Anzá</t>
  </si>
  <si>
    <t>Ebéjico</t>
  </si>
  <si>
    <t>Amagá</t>
  </si>
  <si>
    <t>Angelópolis</t>
  </si>
  <si>
    <t>Támesis</t>
  </si>
  <si>
    <t>Nechí</t>
  </si>
  <si>
    <t>Puerto Berrío</t>
  </si>
  <si>
    <t>Yondó</t>
  </si>
  <si>
    <t>Anorí</t>
  </si>
  <si>
    <t>Vegachí</t>
  </si>
  <si>
    <t>Yalí</t>
  </si>
  <si>
    <t>Yolombó</t>
  </si>
  <si>
    <t>Corregimiento Santa Elena</t>
  </si>
  <si>
    <t>Corregimiento Altavista</t>
  </si>
  <si>
    <t>Junta Administradora Acueducto Aguas Frías</t>
  </si>
  <si>
    <t>Corregimiento San Antonio de Prado</t>
  </si>
  <si>
    <t>Medellín Suburbano</t>
  </si>
  <si>
    <t>Palmitas</t>
  </si>
  <si>
    <t>Corregimiento El Hatillo</t>
  </si>
  <si>
    <t>Acueducto Veredal Buga Cuenca Prehispanica</t>
  </si>
  <si>
    <t>Asociación de Usuarios del Acueducto Multiveredal Aguas Cristalinas (AUAMAC)-La Tolda</t>
  </si>
  <si>
    <t>Vereda San Eugenio-San Eugenio</t>
  </si>
  <si>
    <t>Comité Pro Acueductos Mocorongo</t>
  </si>
  <si>
    <t>Acueducto Veredal Buga La Estación</t>
  </si>
  <si>
    <t>Vereda Platanito Parte Baja</t>
  </si>
  <si>
    <t>Asociación de Usuarios de La Vereda Platanito-Platanito Parte Baja</t>
  </si>
  <si>
    <t>Asociación de Usuarios del Acueducto de Buenos Aires</t>
  </si>
  <si>
    <t>Vereda La Ese</t>
  </si>
  <si>
    <t>Asociación de Usuarios del Acueducto La Delgadita</t>
  </si>
  <si>
    <t>Vereda Matasano-Sector La Escuela</t>
  </si>
  <si>
    <t>Comité de Acueducto Vereda Matasano –Sector La Escuela</t>
  </si>
  <si>
    <t>Vereda Matasano Parte Alta</t>
  </si>
  <si>
    <t>Asociación de Usuarios Acueducto Veredal Matasano Parte Alta</t>
  </si>
  <si>
    <t xml:space="preserve">Vereda La Lomita </t>
  </si>
  <si>
    <t>Asociación Acueducto Lomitas- Primavera de Barbosa</t>
  </si>
  <si>
    <t>Acueducto Vereda Graciano</t>
  </si>
  <si>
    <t>Asociación de Usuarios del Acueducto y/o Alcantarillado de La Vereda Popalito (ASUAP)-Popalito</t>
  </si>
  <si>
    <t>VeredaTamborcito</t>
  </si>
  <si>
    <t>Asociación de Usuarios del Acueducto Yarumito-Tamborcito</t>
  </si>
  <si>
    <t>Corporación de Acueducto Vereda Aguas Claras Arriba</t>
  </si>
  <si>
    <t>Asociación de Usuarios del Acueducto Multiveredal La Quiebra, Dos Quebradas, Volantín y Tamborcito Barbosa “La Gota de Agua”-La Quiebra</t>
  </si>
  <si>
    <t>Asociación de Usurios del Acueducto El Venado de Las Veredas Chorrohondo y La Meseta</t>
  </si>
  <si>
    <t>Asociación  Acueducto Vereda El Guayabo de Barbosa</t>
  </si>
  <si>
    <t>Vereda La Cuesta</t>
  </si>
  <si>
    <t>Asociación de Usuarios del Acueducto El Peñasco (AUAP)-La Cuesta</t>
  </si>
  <si>
    <t>Vereda Chapa Parte Baja</t>
  </si>
  <si>
    <t>Acueducto de la Vereda El Cortado</t>
  </si>
  <si>
    <t>Acueducto Veredal La Chorrera</t>
  </si>
  <si>
    <t>La Asociación de Usuarios Acueducto Lajas-La Herradura Vereda Las Lajas</t>
  </si>
  <si>
    <t>La Asociación de Usuarios Acueducto Lajas-La Herradura Vereda La Herradura</t>
  </si>
  <si>
    <t>Vereda Pachohondo</t>
  </si>
  <si>
    <t>Comité Pro Acueductos Pachohondo</t>
  </si>
  <si>
    <t>Vereda Cuartas-El Despiste</t>
  </si>
  <si>
    <t>Asociación de Usuarios Acueducto Vereda Cuartas Sector El despiste</t>
  </si>
  <si>
    <t>Vereda Potrerito-Zona Rural</t>
  </si>
  <si>
    <t>Junta de Accion Comunal Vereda Potrerito - Bello Zona Rural.</t>
  </si>
  <si>
    <t>Vereda Tierra Adentro Parte Alta</t>
  </si>
  <si>
    <t>Asociacion de Usuarios de Acueducto y Alcantarillado Vereda Tierradentro Parte Alta</t>
  </si>
  <si>
    <t>Vereda Los Encenillos</t>
  </si>
  <si>
    <t>Junta Administradora Acueducto El Sesenta</t>
  </si>
  <si>
    <t>VeredaLa Chuscala</t>
  </si>
  <si>
    <t>Corrala Parte Baja</t>
  </si>
  <si>
    <t>Comité de Acueducto J.A.C. La Corrala y Corrala Parte Baja</t>
  </si>
  <si>
    <t>VeredaLa Corrala</t>
  </si>
  <si>
    <t>Vereda La Quiebra-San Francisco</t>
  </si>
  <si>
    <t>Vereda La Quiebra-Moraima</t>
  </si>
  <si>
    <t>Vereda La Quiebra-Las Juntas</t>
  </si>
  <si>
    <t>Vereda Maní del Cardal</t>
  </si>
  <si>
    <t>Vereda  Salinas-El 30</t>
  </si>
  <si>
    <t>Junta de Acción Comunal Vereda Salinas-El 30</t>
  </si>
  <si>
    <t>Vereda Salinas-Malpaso</t>
  </si>
  <si>
    <t>Asociación de Usuarios de Acueducto Alcantarillado y Otros Servicios Públicos de la Vereda El Cano E.S.P.</t>
  </si>
  <si>
    <t>El Barro-Sector Piedralisa</t>
  </si>
  <si>
    <t>Vereda El  Barro-Los Muñoz</t>
  </si>
  <si>
    <t>Asociación de Usuarios de Acueducto Vereda El Barro Sector El Salto-Los Muñoz</t>
  </si>
  <si>
    <t>Vereda  El Barro-El Tigre</t>
  </si>
  <si>
    <t>Vereda  Jamundi-Sector Escuela</t>
  </si>
  <si>
    <t>Vereda  Jamundi-Sector Los Rieles</t>
  </si>
  <si>
    <t>La Esperanza - Palmas</t>
  </si>
  <si>
    <t>Acuatel</t>
  </si>
  <si>
    <t>Bosques de la Esperanza</t>
  </si>
  <si>
    <t>Las Brujas</t>
  </si>
  <si>
    <t>Catedral Arenales</t>
  </si>
  <si>
    <t>Chinguí - El Escobero</t>
  </si>
  <si>
    <t xml:space="preserve">El Salado </t>
  </si>
  <si>
    <t>El Socorro</t>
  </si>
  <si>
    <t>San Rafael, La Mina y El Capiro, Las Antillas</t>
  </si>
  <si>
    <t>Asomiel Rodas</t>
  </si>
  <si>
    <t>Las Palmas</t>
  </si>
  <si>
    <t>Morgan</t>
  </si>
  <si>
    <t>Urbanización Palmas Paraiso</t>
  </si>
  <si>
    <t>Asopantanillo</t>
  </si>
  <si>
    <t>El Salado, Chinguí y el Escobero</t>
  </si>
  <si>
    <t>Cristal Peñazul</t>
  </si>
  <si>
    <t>Vereda Perico</t>
  </si>
  <si>
    <t>San Pedro</t>
  </si>
  <si>
    <t>El Chocho</t>
  </si>
  <si>
    <t>Uribe Angel</t>
  </si>
  <si>
    <t>Vereda La Tablaza</t>
  </si>
  <si>
    <t>Empresa de Servicios Publicos Domiciliarios La Estrella S.A E.S.P - Planta Miraflores-La Tablaza</t>
  </si>
  <si>
    <t>Vereda  La Tablaza</t>
  </si>
  <si>
    <t>Empresa de Servicios Publicos Domiciliarios La Estrella S.A E.S.P - Planta La Culebra-La Tablaza</t>
  </si>
  <si>
    <t>Vereda  Montañita</t>
  </si>
  <si>
    <t>Empresa de Servicios Publicos Domiciliarios La Estrella S.A E.S.P - Planta La Muerte-Montañita</t>
  </si>
  <si>
    <t>Vereda  Pueblo Viejo</t>
  </si>
  <si>
    <t>Vereda Sagrada Familia</t>
  </si>
  <si>
    <t>Vereda Tierra Amarilla Parte Alta</t>
  </si>
  <si>
    <t>Asociación Comunitaria de Beneficiarios del Acueducto Vereda Tierra Amarilla Parte Alta</t>
  </si>
  <si>
    <t>Acueducto Comunitario La Corazona</t>
  </si>
  <si>
    <t>Vereda Los Gomez</t>
  </si>
  <si>
    <t>Vereda El Porvenir sector 3 o parte alta</t>
  </si>
  <si>
    <t>Verda Los Gomez (Barrio Nuevo)</t>
  </si>
  <si>
    <t>Verda El Ajizal (Los Florianos)</t>
  </si>
  <si>
    <t>Junta Administradora acueducto vereda El Ajizal sector Los Florianos</t>
  </si>
  <si>
    <t>Vereda El Llano-Corregimiento Santa Elena</t>
  </si>
  <si>
    <t>Vereda El Mazo-Corregimiento Santa Elena</t>
  </si>
  <si>
    <t>Vereda Piedragorda-Corregimiento Santa Elena</t>
  </si>
  <si>
    <t>Verda Media Luna-Corregimiento Santa Elena</t>
  </si>
  <si>
    <t>Verda Piedras blancas-Corregimiento Santa Elena</t>
  </si>
  <si>
    <t>Manantial Ana Diaz-Corregimiento Altavista</t>
  </si>
  <si>
    <t>Vereda San Jose de Manzanillo-Corregimiento Altavista</t>
  </si>
  <si>
    <t>Vereda El Salado-Corregimiento San Antonio de Prado</t>
  </si>
  <si>
    <t>Vereda La Florida-Corregimiento San Antonio de Prado</t>
  </si>
  <si>
    <t>Corregimiento San Cristobal</t>
  </si>
  <si>
    <t>Verda El Llano-Corregimiento San Cristobal</t>
  </si>
  <si>
    <t>Vereda Boqueron-Corregimiento San Cristobal</t>
  </si>
  <si>
    <t>Vereda El Manzanillo-Corregimiento Altavista</t>
  </si>
  <si>
    <t>Corregimiento Palmitas</t>
  </si>
  <si>
    <t>Sopetrán</t>
  </si>
  <si>
    <t>ñ</t>
  </si>
  <si>
    <t>0.0 - 5 %: 
Sin Riesgo</t>
  </si>
  <si>
    <t>5.1  - 14 %:  Riesgo Bajo</t>
  </si>
  <si>
    <t>14.1  -  35 % Riesgo Medio</t>
  </si>
  <si>
    <t>35.1 - 80 %  Alto</t>
  </si>
  <si>
    <t>80.1 -  100 %:  Inviable Sanitariamente</t>
  </si>
  <si>
    <t>Total  Muestras</t>
  </si>
  <si>
    <t xml:space="preserve">Total Muetras </t>
  </si>
  <si>
    <t>Total de Muestras con Riesgo</t>
  </si>
  <si>
    <t>Verda Limón afuera</t>
  </si>
  <si>
    <t>Junta de Acueducto Limón afuera</t>
  </si>
  <si>
    <t>Corregimiento Puerto Venus</t>
  </si>
  <si>
    <t>Asociacion de Usuarios del Acueducto Corregimiento Puerto Venus</t>
  </si>
  <si>
    <t>Vereda La Balsora</t>
  </si>
  <si>
    <t>Junta Administradora Acueducto Balsora</t>
  </si>
  <si>
    <t>Vereda Mangas</t>
  </si>
  <si>
    <t>Junta Administradora Acueducto de Las Mangas</t>
  </si>
  <si>
    <t>Vereda Puente Linda</t>
  </si>
  <si>
    <t>Vereda El Jazmin</t>
  </si>
  <si>
    <t>Junta Administradora Acueducto El Llano</t>
  </si>
  <si>
    <t>Junta Administradora Acueducto La Hermosa</t>
  </si>
  <si>
    <t>Vereda Morro Azul</t>
  </si>
  <si>
    <t>Junta Administradora Acueducto Morro Azul</t>
  </si>
  <si>
    <t>Junta Administradora Acueducto Pedregal- Quebrada Negra</t>
  </si>
  <si>
    <t>Vereda Santa Rosa</t>
  </si>
  <si>
    <t>Junta Administradora Acueducto Santa Rosa</t>
  </si>
  <si>
    <t>Vereda  Guamal</t>
  </si>
  <si>
    <t>Junta de Acción Comunal La Cascada-Comité de Aguas y Acueducto</t>
  </si>
  <si>
    <t>Junta de Acción Comunal  Vereda  Pajonal</t>
  </si>
  <si>
    <t>Junta Administradora de Acueducto El Bosque(En el  2018 no se realizan visitas a acueductos rurales toda vez que no hay técnico de base en este municipio y se priorizo la zona urbana)</t>
  </si>
  <si>
    <t>Junta de Accion Comunal Corregimiento la Susana(En el  2018 no se realizan visitas a acueductos rurales ni toma de muestras)</t>
  </si>
  <si>
    <t>Asociación de Usuarios del Acueducto y/o Alcantarillado VEDSAGUEL Vereda San Miguel(En el  2018 no se realizan visitas a acueductos rurales ni toma de muestras)</t>
  </si>
  <si>
    <t>Parcelacion El Yarumo-Vereda San Miguel(En el  2018 no se realizan visitas a acueductos rurales ni toma de muestras)</t>
  </si>
  <si>
    <t>Asociacion de Usuarios del Acueducto Veredal  El Capiro(En el  2018 no se realizan visitas a acueductos rurales ni toma de muestras)</t>
  </si>
  <si>
    <t>Asociacion de Usuarios Acueducto San Rafael - Los Saltos(En el  2018 no se realizan visitas a acueductos rurales ni toma de muestras)</t>
  </si>
  <si>
    <t>Asociacion de Usuarios del Acueducto Piedras El Salvio (En el  2018 no se realizan visitas a acueductos rurales ni toma de muestras)</t>
  </si>
  <si>
    <t>Asociación Usuarios del Acueducto y Alcantarillado de La Vereda San Nicolas  Planta N 1(En el  2018 no se realizan visitas a acueductos rurales ni toma de muestras)</t>
  </si>
  <si>
    <t>Asociación Usuarios del Acueducto y Alcantarillado de La Vereda San Nicolas  Planta N 2(En el  2018 no se realizan visitas a acueductos rurales ni toma de muestras)</t>
  </si>
  <si>
    <t>Asociación Usuarios del Acueducto y Alcantarillado de La Vereda San Nicolas  Planta N 3(En el  2018 no se realizan visitas a acueductos rurales ni toma de muestras)</t>
  </si>
  <si>
    <t>Asociación de Usuarios del Acueducto y Alcantarillado Cestillal La Palma - Corregimiento San Jose Cestillal(En el  2018 no se realizan visitas a acueductos rurales ni toma de muestras)</t>
  </si>
  <si>
    <t>Asociación de Usuarios del Acueducto y Alcantarillado Cestillal La Palma - Corregimiento San Jose La Palma(En el  2018 no se realizan visitas a acueductos rurales ni toma de muestras)</t>
  </si>
  <si>
    <t>Asociación de Usuarios del Acueduto y Alcantarillado Veramiel (En el  2018 no se realizan visitas a acueductos rurales ni toma de muestras)</t>
  </si>
  <si>
    <t>Junta de Accion Comunal Vereda El Higueron -Los Planes(En el  2018 no se realizan visitas a acueductos rurales ni toma de muestras)</t>
  </si>
  <si>
    <t>Asociacion Acueducto Colmenas (En el  2018 no se realizan visitas a acueductos rurales ni toma de muestras)</t>
  </si>
  <si>
    <t>Parcelacion La Esmeralda(En el  2018 no se realizan visitas a acueductos rurales ni toma de muestras)</t>
  </si>
  <si>
    <t>Asociación de Usuarios del Acueducto La Permfumería de La Vereda El Tambo(En el  2018 no se realizan visitas a acueductos rurales ni toma de muestras)</t>
  </si>
  <si>
    <t>Asociacion de Usuarios del Acueducto Multiveredal Sector La Palma -El Romeral(En el  2018 no se realizan visitas a acueductos rurales ni toma de muestras)</t>
  </si>
  <si>
    <t>Asociacion de Usuarios del Acueducto Vereda San Gerardo(En el  2018 no se realizan visitas a acueductos rurales ni toma de muestras)</t>
  </si>
  <si>
    <t>Asociación de Usuarios Acueducto La Loma(En el  2018 no se realizan visitas a acueductos rurales ni toma de muestras)</t>
  </si>
  <si>
    <t>PROGRAMA VIGILANCIA DE LA CALIDAD DEL AGUA PARA CONSUMO HUMANO Y USO RECREATIVO</t>
  </si>
  <si>
    <t>PROGRAMA VIGILANCIA DE LA CALIDAD DEL AGUA DE CONSUMO HUMANO Y USO RECREATIVO</t>
  </si>
  <si>
    <t>Resume / Nivel de Riesgo</t>
  </si>
  <si>
    <t>N° Muestras con Riesgo</t>
  </si>
  <si>
    <t>Resumen / Nivel de Riesgo</t>
  </si>
  <si>
    <t>Junta Administradora De Acueductos La Mina</t>
  </si>
  <si>
    <t>Junat de Acción Comunal Vereda La Primavera</t>
  </si>
  <si>
    <t>Junta de Administradora de Acuedcucto Chorros Blancos Nº 1</t>
  </si>
  <si>
    <t>Junta Administradora de Acueducto Llanadas</t>
  </si>
  <si>
    <t>Junta de Acción Comunal La Travesía</t>
  </si>
  <si>
    <t>Junta Administradora de Acueducto La Colmena</t>
  </si>
  <si>
    <t>Junta Administradora de Acueductos Plan de Las Rosas</t>
  </si>
  <si>
    <t>Junta Administradora de Acueducto Cañaveral</t>
  </si>
  <si>
    <t>Junta Administradora de Acueducto La Chiquita</t>
  </si>
  <si>
    <t>Junta Administradora de Acueducto El Reposo San José La Gloria</t>
  </si>
  <si>
    <t>Junta De Acción Comunal El Piñal</t>
  </si>
  <si>
    <t>Junta de Acción Comunal Los Ranchos</t>
  </si>
  <si>
    <t>Junta Administradora de Acueducto Los Mangos</t>
  </si>
  <si>
    <t>Resumen/ Nivel de Riesgo</t>
  </si>
  <si>
    <t>Junta de Acción Comunal  Las Lomas</t>
  </si>
  <si>
    <t>Junta de Acción Comunal Los Naipes</t>
  </si>
  <si>
    <t>Junta de Acción Comunal San Julian de Barbacoas</t>
  </si>
  <si>
    <t>Junta de Acción Comunal-La Loma del Sauce</t>
  </si>
  <si>
    <t>Junta de Acción Comunal El Agrio</t>
  </si>
  <si>
    <t>Junta de Acción Comunal Barbacoas</t>
  </si>
  <si>
    <t>Junta de Acción Comunal CTO Los Llanos</t>
  </si>
  <si>
    <t>Junta de Acción Comunal Las Faldas</t>
  </si>
  <si>
    <t>Junta de Acción Comunal San José</t>
  </si>
  <si>
    <t>Junta de Acción Comunal Las Faldas del Café</t>
  </si>
  <si>
    <t>Junta de Acción Comunal San Pablo-La Escuela</t>
  </si>
  <si>
    <t>Junta de Acción Comunal San Pablo-El Filo</t>
  </si>
  <si>
    <t>Junta de Acción Comunal La Antigua</t>
  </si>
  <si>
    <t>Junta de Acción Comunal Romeral</t>
  </si>
  <si>
    <t>Junta de Acción Comunal El Parámo</t>
  </si>
  <si>
    <t>Junta de Acción Comunal Llano del Pueblo</t>
  </si>
  <si>
    <t>Junta de Acción Comunal Italia 90</t>
  </si>
  <si>
    <t>Junta de Acción Comunal San Julián</t>
  </si>
  <si>
    <t>Junta Administradora de Acueducto Jerigua-Escuela</t>
  </si>
  <si>
    <t>Junta Administradora de Acueducto Jerigua-Pojonal</t>
  </si>
  <si>
    <t>Junta de Acción Comunal Guayabal La Falda</t>
  </si>
  <si>
    <t>Junta de Acción Comunal Popal</t>
  </si>
  <si>
    <t>Junta de Acción Comunal La Guadua</t>
  </si>
  <si>
    <t>Junta de Acción Comunal Santa Agueda</t>
  </si>
  <si>
    <t>Junta de Acción Comunal Bellavista</t>
  </si>
  <si>
    <t>Junta de Acción Comunal Renegado Valle</t>
  </si>
  <si>
    <t>Junta de Acción Comunal Guayabal de Pena</t>
  </si>
  <si>
    <t>Junta de Acción Comunal CTO Lomitas</t>
  </si>
  <si>
    <t>Junta Administradora Acueducto La Vega del Inglés</t>
  </si>
  <si>
    <t>Junta de Acción Comunal Toldas</t>
  </si>
  <si>
    <t>Junta de Acción Comunal La Nueva Llanada</t>
  </si>
  <si>
    <t>Junta de Acción Comunal San Juan de Renegado</t>
  </si>
  <si>
    <t>Junta Administradora del Acueducto  Vereda  Cascaron</t>
  </si>
  <si>
    <t>Junta de Acción Comunal Vereda El Pital</t>
  </si>
  <si>
    <t>Junta de Acción Comunal Vereda Sardinas</t>
  </si>
  <si>
    <t>Junta de Acción  Comunal Quebradona</t>
  </si>
  <si>
    <t xml:space="preserve">Junta de Acción Comunal Vereda Santa Isabe </t>
  </si>
  <si>
    <t>Junta de Acción Comunal Vereda Canalones</t>
  </si>
  <si>
    <t>Junta de Acción Comunal Acueducto Vereda El Bagre</t>
  </si>
  <si>
    <t>Junta Administradora del Acueducto Vereda  El 62</t>
  </si>
  <si>
    <t>Junta de Acción Comunal Vereda Canutillo</t>
  </si>
  <si>
    <t>Acueducto La Cuchilla-Vereda Corrales</t>
  </si>
  <si>
    <t>Junta de Acción Comunal Acueducto Asoflan-Corregimiento la Floresta</t>
  </si>
  <si>
    <t>Junta de Acción Comunal Acueducto El Ingenio</t>
  </si>
  <si>
    <t>Acueducto Alto de Dolores</t>
  </si>
  <si>
    <t>Junta Administradora de Acueducto Guardasol</t>
  </si>
  <si>
    <t>N° de Muestras</t>
  </si>
  <si>
    <t xml:space="preserve"> N° de Muestras</t>
  </si>
  <si>
    <t>Barrio Cristo Rey</t>
  </si>
  <si>
    <t>Asociación Comunitaria del Acueducto del Barrio Cristo Rey</t>
  </si>
  <si>
    <t>Vereda Quebrada del Medio</t>
  </si>
  <si>
    <t>Junta de Acción Comunal Vereda Quebrada del Medio</t>
  </si>
  <si>
    <t>Vereda El Respaldo</t>
  </si>
  <si>
    <t>Junta de Acción Comunal Vereda El Respaldo</t>
  </si>
  <si>
    <t>Acueducto Multiveredal Acuerrico</t>
  </si>
  <si>
    <t>Vereda la cabaña</t>
  </si>
  <si>
    <t>Vereda El Alto Del Roble</t>
  </si>
  <si>
    <t>Asociación Usuarios Acueducto Multiveredal La Cristalina-El Alto Del Roble</t>
  </si>
  <si>
    <t>Vereda San Luís</t>
  </si>
  <si>
    <t>Asociación Usuarios Acueducto Multiveredal La Cristalina-San Luís</t>
  </si>
  <si>
    <t>Asociación Usuarios Acueducto Multiveredal La Cristalina-Caracolal</t>
  </si>
  <si>
    <t>Vereda El Café</t>
  </si>
  <si>
    <t>Asociación Usuarios Acueducto Multiveredal La Cristalina-El Café</t>
  </si>
  <si>
    <t>Asociación usuarios Acueducto Multiveredal La Cristalina-Bellavista</t>
  </si>
  <si>
    <t>Asociación Usuarios Acueducto Multiveredal La Cristalina-La Aldea</t>
  </si>
  <si>
    <t>Asociación Usuarios Acueducto Multiveredal La Cristalina-Llano Grande</t>
  </si>
  <si>
    <t>Asociación Usuarios Acueducto Multiveredal La Cristalina-Santa Barbara</t>
  </si>
  <si>
    <t>Vereda La Aguadita</t>
  </si>
  <si>
    <t>Asociación Usuarios Acueducto Multiveredal La Cristalina-La Aguadita</t>
  </si>
  <si>
    <t>Asociación usuarios Acueducto Multiveredal La Cristalina-La Loma</t>
  </si>
  <si>
    <t xml:space="preserve">Vereda Uvital </t>
  </si>
  <si>
    <t>Asociación de Usuarios Acueducto Multiveredal La Berrionda Cestillal-Uvital</t>
  </si>
  <si>
    <t>Junta Administradora Acueducto Corregimiento de Cestillal-cestillal</t>
  </si>
  <si>
    <t>Corremiento Camparrusia</t>
  </si>
  <si>
    <t>Junta de Acción Comunal Corremiento Camparrusia</t>
  </si>
  <si>
    <t xml:space="preserve">Vereda La Florida </t>
  </si>
  <si>
    <t>Junta de Accion Comunal  vereda La Florida</t>
  </si>
  <si>
    <t>Vereda El Encierro</t>
  </si>
  <si>
    <t>Junta de Accion Comunal vereda  El Encierro</t>
  </si>
  <si>
    <t>Vereda Rioverde</t>
  </si>
  <si>
    <t>Junta de Accion Comunal Acueducto Multiveredal San Andrés Murindó-Rioverde</t>
  </si>
  <si>
    <t>sierrita parte baja</t>
  </si>
  <si>
    <t>Junta de Accion  Comunal</t>
  </si>
  <si>
    <t>Vereda el balso p.A.</t>
  </si>
  <si>
    <t>Junta de Accion comunal</t>
  </si>
  <si>
    <t>Acueducto El Crucero</t>
  </si>
  <si>
    <t>Vereda Naranjal Poblanco</t>
  </si>
  <si>
    <t>Asociacion de Usuarios del Acueducto Vereda Naranjal Poblanco planta san mateo el volcan</t>
  </si>
  <si>
    <t>Asociacion de Usuarios del Acueducto Vereda Naranjal Poblanco planta sierra morena</t>
  </si>
  <si>
    <t>Vereda Tacamocho</t>
  </si>
  <si>
    <t>Empresa de Servicios Publicos de Tarso S.A E.S.P. Vereda Tacamocho</t>
  </si>
  <si>
    <t>Vereda El Morro Cauca Viejo</t>
  </si>
  <si>
    <t>Operadores de Servicios S.A E.S.P -El Morro Cauca Viejo</t>
  </si>
  <si>
    <t>Empresa de Servicios Públicos de Tarso S.A E.S.P.-La Arboleda</t>
  </si>
  <si>
    <t>Empresa de Servicios Públicos de Tarso S.A E.S.P.-La Linda</t>
  </si>
  <si>
    <t>Vereda  Parnaso</t>
  </si>
  <si>
    <t>Empresa de Servicios Públicos de Tarso S.A E.S.P.-Parnaso</t>
  </si>
  <si>
    <t>Vereda El Palmar</t>
  </si>
  <si>
    <t>Asociacion Usuarios Acueducto El Palmar</t>
  </si>
  <si>
    <t>Asociacion de Usuarios Acueducto Veredal "El Guayabo"</t>
  </si>
  <si>
    <t>Vereda La Paz</t>
  </si>
  <si>
    <t>Asociacion Usuarios de Servicios Públicos Verda La Paz</t>
  </si>
  <si>
    <t>Localidad Brisas de San Juan</t>
  </si>
  <si>
    <t xml:space="preserve">Asociación de Usuarios del Acueducto Multiveredal </t>
  </si>
  <si>
    <t>Vereda Valle Humbria</t>
  </si>
  <si>
    <t>Asociación de Usuarios del Acueducto Multiveredal del Municipio de Andes - Vereda Valle Humbria</t>
  </si>
  <si>
    <t xml:space="preserve">Asociación de Usuarios del Acueducto Multiveredal del Municipio de Andes - Vereda California </t>
  </si>
  <si>
    <t>ACOMADEPLO- URBANIZACION SAN CAYETANO-PUERTO LOPEZ</t>
  </si>
  <si>
    <t xml:space="preserve">Acueducto vereda la mariela </t>
  </si>
  <si>
    <t xml:space="preserve">Acueducto vereda San Luis </t>
  </si>
  <si>
    <t>Junta de Accion Comunal la Esperanza</t>
  </si>
  <si>
    <t>Vereda La Pó</t>
  </si>
  <si>
    <t>Acueducto Tagual La Pó</t>
  </si>
  <si>
    <t>Sector Las Violetas</t>
  </si>
  <si>
    <t>Junta de Accción Comunal Vereda El Tapón</t>
  </si>
  <si>
    <t>Junta Accion Comunal Vereda El Choco Los Mangos</t>
  </si>
  <si>
    <t>Junta Acción Comunal Vereda El Choico La Aurora</t>
  </si>
  <si>
    <t>Junta Accion Comunal Vereda Morritos</t>
  </si>
  <si>
    <t>Acueducto multiveredal   San Juan La peña</t>
  </si>
  <si>
    <t>Junta Accion Comunal Choco Campo Alegre</t>
  </si>
  <si>
    <t>Vereda Luis Arenas</t>
  </si>
  <si>
    <t>Asociación de Usuarios de Acueducto El Chuscal - Luis Arenas.</t>
  </si>
  <si>
    <t>Vereda el Silencio La Cuchilla</t>
  </si>
  <si>
    <t>Junta de Accion Comunal Vereda El Silencio La Cuchilla</t>
  </si>
  <si>
    <t>vereda la compañía (8005)</t>
  </si>
  <si>
    <t>Acueducto Alto de La Compañía-La Compañía</t>
  </si>
  <si>
    <t>vereda el porvenir (4001)</t>
  </si>
  <si>
    <t>Acueducto Multiveredal Piedragorda, La Cabaña, Peñolcito, Guamal, Potrerito-Porvenir</t>
  </si>
  <si>
    <t>vereda la primavera (4006)</t>
  </si>
  <si>
    <t>Acueducto Multiveredal Piedragorda, La Cabaña, Peñolcito, Guamal, Potrerito-Primavera</t>
  </si>
  <si>
    <t>Vereda Campanito Central</t>
  </si>
  <si>
    <t>Junta de Accion Comunal Campanito Central</t>
  </si>
  <si>
    <t>Brigada 17 KM 1 Via al Mara</t>
  </si>
  <si>
    <t>Brigada 17 Acuedcuto Edospina</t>
  </si>
  <si>
    <t>Brigada 17 Acueducto  Eduardoño</t>
  </si>
  <si>
    <t>Vereda Pio X-Vuelta de la Campana y Las Chambas</t>
  </si>
  <si>
    <t>Junta Administradora Acueducto Vereda Pio X-Vuelta de la Campana y Las Chambas</t>
  </si>
  <si>
    <t xml:space="preserve">Vereda El Chochal </t>
  </si>
  <si>
    <t xml:space="preserve">Asociación de Usuarios del Acueducto Multiveredal Playon-Chochal Vereda El  Chochal </t>
  </si>
  <si>
    <t xml:space="preserve">Vereda Los Pinos </t>
  </si>
  <si>
    <t xml:space="preserve">Asociación de Usuarios del Acueducto Multiveredal Pinos-Cortada Vereda Los Pinos </t>
  </si>
  <si>
    <t xml:space="preserve">El municipio de Salgar no cuentan con informacion del IRCA para el año 2019, por lo cual se dejó la informacion  registrada del año 2018 </t>
  </si>
  <si>
    <t>Asociacion de usuarios del acueducto multiveredal el Tambo, vereda La Pava</t>
  </si>
  <si>
    <t>Vereda Tocaima</t>
  </si>
  <si>
    <t>Asociacion de Ususarios del Acueducto Multiveredal  El Tambo Vereda Tocaima</t>
  </si>
  <si>
    <t>Vereda Piedras Abajo</t>
  </si>
  <si>
    <t>Asociacion de Ususarios del Acueducto Multiveredal  El Tambo Vereda Piedras Abajo.</t>
  </si>
  <si>
    <t>Vereda Rivera La Linda</t>
  </si>
  <si>
    <t>Sector Las Brisas-El quemado</t>
  </si>
  <si>
    <t>Sector Las Brisas-la linda</t>
  </si>
  <si>
    <t>Asociacion de Usuarios del Acueducto Multiveredal La Piedra La Peña y Los Naranjos-Los Naranjos</t>
  </si>
  <si>
    <t>Asociacion de Usuarios del Acueducto Multiveredal La Piedra La Peña y Los Naranjos-La Peña</t>
  </si>
  <si>
    <t>Sin Informacion</t>
  </si>
  <si>
    <t>INFORME MENSUAL DEL INDICE DE RIESGO DE CALIDAD DEL AGUA  ACUEDUCTOS RURALES 2020</t>
  </si>
  <si>
    <t>Asociación de Usuarios de Acueducto y Alcantarillado de La Vereda San Eugenio Municipio de Barbosa Acueducto San Eugenio-La Aguada</t>
  </si>
  <si>
    <t>Asociación de Usuarios de Acueducto y Alcantarillado de La Vereda San Eugenio Municipio de Barbosa Acueducto San Eugenio-El Salado</t>
  </si>
  <si>
    <t>Vallecitos-Dos Quebradas</t>
  </si>
  <si>
    <t>Junta Pro-Acueducto Vallecitos-Dos Quebradas</t>
  </si>
  <si>
    <t>Vereda Platanito Parte Alta</t>
  </si>
  <si>
    <t>Asociación de Usuarios de La Vereda Platanito-Platanito Parte Alta</t>
  </si>
  <si>
    <t>Asociación de Usuarios de La Vereda Platanito-El Salado</t>
  </si>
  <si>
    <t>Asociación de Usuarios del Acueducto Multiveredal Aguas Cristalinas (AUAMAC)-El Cortado</t>
  </si>
  <si>
    <t>Asociación de Usuarios del Acueducto Multiveredal Aguas Cristalinas (AUAMAC)-Isaza</t>
  </si>
  <si>
    <t>Vereda Los Isaza</t>
  </si>
  <si>
    <t>Asociación de Usuarios del Acueducto Multiveredal Aguas Cristalinas (AUAMAC)-Corrientes</t>
  </si>
  <si>
    <t>Asociación de Usuarios del Acueducto Multiveredal Aguas Cristalinas (AUAMAC)-El Salado</t>
  </si>
  <si>
    <t>Asociación de Usuarios de Acueducto y Alcantarillado de La Vereda San Eugenio Municipio de Barbosa Acueducto San Eugenio</t>
  </si>
  <si>
    <t>Asociación de Usuarios del Acueducto Multiveredal Aguas Cristalinas (AUAMAC)-San Eugenio</t>
  </si>
  <si>
    <t>Asociación de Usuarios del Acueducto y/o Alcantarillado del Paraiso Corregimiento del Hatillo - El paraiso</t>
  </si>
  <si>
    <t>sociación de Usuarios del Acueducto y/o Alcantarillado del Paraiso Corregimiento del Hatillo</t>
  </si>
  <si>
    <t>Vereda  El Hoyo</t>
  </si>
  <si>
    <t>Acueducto Multiveredal El Viento y El Hoyo  Parte Alta</t>
  </si>
  <si>
    <t>Vereda  El Viento</t>
  </si>
  <si>
    <t>Vereda  Yarumito</t>
  </si>
  <si>
    <t>Asociación de Usuarios del Acueducto Yarumito-Tamborcito-Vereda  Yarumito</t>
  </si>
  <si>
    <t>Vereda Chorrondo</t>
  </si>
  <si>
    <t>Asociación de Usuarios de La Vereda Platanito-Chorrondo</t>
  </si>
  <si>
    <t>Vereda La Calda</t>
  </si>
  <si>
    <t>Urbanización Villa Roca - Vereda Buenos Aires</t>
  </si>
  <si>
    <t>Comité Empresarial del Acueducto Villa Roca</t>
  </si>
  <si>
    <t>Acueducto- Dos Quebradas</t>
  </si>
  <si>
    <t>Vereda Volantín</t>
  </si>
  <si>
    <t>Asociación de Usuarios del Acueducto Multiveredal La Quiebra, Dos Quebradas, Volantín y Tamborcito Barbosa “La Gota de Agua”-Volantín</t>
  </si>
  <si>
    <t>Vereda Tamborcito</t>
  </si>
  <si>
    <t>Asociación de Usuarios del Acueducto Multiveredal La Quiebra, Dos Quebradas, Volantín y Tamborcito Barbosa “La Gota de Agua”-Tamborcito</t>
  </si>
  <si>
    <t>Acueducto Parcelación Estación Popalito- Quebrada el Guayabo</t>
  </si>
  <si>
    <t>Acueducto Parcelación Estación Popalito- Quebrada el Silencio</t>
  </si>
  <si>
    <t>Acueducto Parcelación Estación Popalito- Quebrada la Despensa Parte Baja</t>
  </si>
  <si>
    <t>Acueducto Parcelación Estación Popalito- Quebrada la  Despensa Parte Alta</t>
  </si>
  <si>
    <t>Vereda El Cabuyal</t>
  </si>
  <si>
    <t>Asociación Comunitaria del Acueducto Vereda El Cabuyal</t>
  </si>
  <si>
    <t>Vereda Peñolcito Parte Media y Alta</t>
  </si>
  <si>
    <t>Asociación Junta Administradora del Acueducto Vereda Peñolcito Parte Media Y Alta</t>
  </si>
  <si>
    <t>Vereda Curazao</t>
  </si>
  <si>
    <t>Asociación de Afiliados del Acueducto Curazao (ASOACUR)</t>
  </si>
  <si>
    <t>Vereda la Veta -El Pinar</t>
  </si>
  <si>
    <t>La Productora Marginal de Spd Acueducto Vereda La Veta-El Pinar</t>
  </si>
  <si>
    <t>Vereda Peñolcito Parte Baja</t>
  </si>
  <si>
    <t>Junta Administradora del Acueducto Vereda de Peñolcito Parte Baja</t>
  </si>
  <si>
    <t>Vereda  Zarzal La Luz</t>
  </si>
  <si>
    <t>Corporación Acueducto Veredal Zarzal La Luz - AVEZA</t>
  </si>
  <si>
    <t>Asociación Junta Administradora Acueducto Vereda Sabaneta</t>
  </si>
  <si>
    <t>Vereda Quebrada Arriba  - Sector Montañuela</t>
  </si>
  <si>
    <t>Junta Administradora de Usuarios del Acueducto La Montañuela</t>
  </si>
  <si>
    <t>Alto de la Virgen de la Vereda Quebrada Arriba</t>
  </si>
  <si>
    <t>Asociación Administradora del Acueducto Maria Santificadora</t>
  </si>
  <si>
    <t>Acueducto La Cuchilla-Quebrada Arriba</t>
  </si>
  <si>
    <t xml:space="preserve">Vereda Quebrada Arriba </t>
  </si>
  <si>
    <t>Asociación de Usuarios de Acueducto Multiveredal  "Jose Antonio Correa ESP"-Quebrada Arriba</t>
  </si>
  <si>
    <t xml:space="preserve">Vereda Quebrada Arriba, La Chuscala </t>
  </si>
  <si>
    <t>Corporación Acueducto Multiveredal La Chuscala-Quebrada Arriba</t>
  </si>
  <si>
    <t>Barrio La Maria-Canoas</t>
  </si>
  <si>
    <t>Productora Marginal de Servicios Públicos Domiciliarios Acueducto Barrio Maria-Canoas</t>
  </si>
  <si>
    <t>Corporación Multiveredal Salinas, El Convento, El Llano Seed - Cabuyal</t>
  </si>
  <si>
    <t>Asociación de Usuarios Acueducto La Tolda-La veta</t>
  </si>
  <si>
    <t>Vereda la Veta</t>
  </si>
  <si>
    <t>Asociación de Usuarios del Acueducto Veredal La Veta  Centro(AVEC )-La Veta </t>
  </si>
  <si>
    <t>Vereda Ancón</t>
  </si>
  <si>
    <t>Caja de Compensación Familiar de Antioquia - Comfama</t>
  </si>
  <si>
    <t>No aplica</t>
  </si>
  <si>
    <t>Vereda Cabuyal Sector Las Margaritas</t>
  </si>
  <si>
    <t>Acueducto Las Margaritas-El Cabuyal</t>
  </si>
  <si>
    <t>Vereda Granizal Parte Baja</t>
  </si>
  <si>
    <t>Junta de Accion Comunal Granizal Parte Baja</t>
  </si>
  <si>
    <t>Carriquí</t>
  </si>
  <si>
    <t>Chinguí N°1</t>
  </si>
  <si>
    <t>El Escobero, los Rodas</t>
  </si>
  <si>
    <t>Los Rodas</t>
  </si>
  <si>
    <t xml:space="preserve">  </t>
  </si>
  <si>
    <t>Vereda San Diego</t>
  </si>
  <si>
    <t>Asociación Comunitaria Acueducto Vereda San Diego</t>
  </si>
  <si>
    <t>Asociación Campesina No Nacional de Usuarios del Acueducto y Alcantarillado de la Vereda Portachuelo</t>
  </si>
  <si>
    <t>Vereda La Holanda Parte Baja</t>
  </si>
  <si>
    <t>Asociación Campesina No Nacional de Usuarios del Acueducto y Alcantarillado de la Vereda Portachuelo Planta La Holanda Parte Baja</t>
  </si>
  <si>
    <t>-</t>
  </si>
  <si>
    <t>Vereda  Manga Arriba-Etapa I</t>
  </si>
  <si>
    <t>Asociación de Usuarios del  Acueducto Comunitario Manga Arriba Etapa I Malpaso</t>
  </si>
  <si>
    <t>Asociación Ecosostenible Vereda La Meseta</t>
  </si>
  <si>
    <t>Asociación de Usuarios Acueducto Vereda La Calera</t>
  </si>
  <si>
    <t>Asociación de Usuarios del Acueducto Vereda Manga Arriba La Loma</t>
  </si>
  <si>
    <t>Vereda Juan Cojo-El Tábano I</t>
  </si>
  <si>
    <t xml:space="preserve">Asociación de Usuarios Acueducto Juan Cojo-Las Cuchillas Planta El Tábano I      </t>
  </si>
  <si>
    <t>Vereda Juan Cojo-El Tigre</t>
  </si>
  <si>
    <t>Asociación de Usuarios Acueducto Juan Cojo-Las Cuchillas Planta El Tigre</t>
  </si>
  <si>
    <t>Asociación de Usuarios Veredal Mercedes Abrego</t>
  </si>
  <si>
    <t>Vereda  El Totumo</t>
  </si>
  <si>
    <t xml:space="preserve">Asociación de Usuarios del Acueducto Multiveredal  José Antonio Correa </t>
  </si>
  <si>
    <t xml:space="preserve">Asociación de Usuarios Acueducto Vereda Encenillos   </t>
  </si>
  <si>
    <t xml:space="preserve">Asociación Comunitaria de Acueducto Vereda La Palma                      </t>
  </si>
  <si>
    <t>Asociación de Usuarios Acueducto Vereda El Cano</t>
  </si>
  <si>
    <t>Asociación de Usuarios de La Vereda San Andrés</t>
  </si>
  <si>
    <t>Asociación de Usuarios de Acueducto y Alcantarillado Multiveredal San Esteban</t>
  </si>
  <si>
    <t>Vereda Juan Cojo-El Tábano II</t>
  </si>
  <si>
    <t xml:space="preserve">Asociación de Usuarios Acueducto Juan Cojo-Las Cuchillas Planta El Tábano II      </t>
  </si>
  <si>
    <t>Vereda Pantano Frio</t>
  </si>
  <si>
    <t>Asociación de Usuarios del Acueducto Multiveredal El Roble- Planta Pantano Frío</t>
  </si>
  <si>
    <t>Asociación  de Usuarios de Acueducto Multiveredal Lomatica</t>
  </si>
  <si>
    <t>Vereda La Toma</t>
  </si>
  <si>
    <t>Asociación de Usuarios del Acueducto Multiveredal El Roble- Planta La Toma</t>
  </si>
  <si>
    <t>Vereda El Paraíso</t>
  </si>
  <si>
    <t>Asociación de Usuarios de La Vereda Paraíso</t>
  </si>
  <si>
    <t>Asociación Comunitaria Acueducto Vereda San Diego Sector 1</t>
  </si>
  <si>
    <t>Vereda Jamundi - El barro</t>
  </si>
  <si>
    <t>Asociacion de Usuarios del Acueducto Multiveredal Jamundi - El barro</t>
  </si>
  <si>
    <t>Acueducto Comunitario Sector Los Yepes vereda Los Gómez</t>
  </si>
  <si>
    <t>Acueducto Veredal Aguas Claras Olivares (AVACO) vereda Los Olivares</t>
  </si>
  <si>
    <t xml:space="preserve">Asociación Administradora de Acueducto La Esperanza vereda El Porvenir-Sector 3 </t>
  </si>
  <si>
    <t>Asociación de Usuarios Acueducto vereda El Pedregal-Parte Alta</t>
  </si>
  <si>
    <t xml:space="preserve">Junta Administradora Acueducto  Sector Los Florianos Vereda Los Gómez.  </t>
  </si>
  <si>
    <t>Junta Administradora de Acueducto Sector Barrio Nuevo vereda Los Gómez</t>
  </si>
  <si>
    <t>Junta Administradora de Acueducto Veredal Comunidad Unida por el Mejoramiento del Agua (CUMA) -vereda Los Olivares</t>
  </si>
  <si>
    <t>Vereda Los Olivares Sector Avaco</t>
  </si>
  <si>
    <t>Vereda Los Olivares Sector Cuma</t>
  </si>
  <si>
    <t>Verda los Gomez sector los florianos</t>
  </si>
  <si>
    <t>Corregimiento Altavista Vereda la perla.</t>
  </si>
  <si>
    <t>Vereda El Yolombo-Corregimiento San Cristobal</t>
  </si>
  <si>
    <t>Verda La Palma-Corregimiento San Cristobal</t>
  </si>
  <si>
    <t>Vereda San Josel-Corregimiento de San Antonio de Prado</t>
  </si>
  <si>
    <t>Vereda El Vergel-Corregimiento San Antonio de Prado</t>
  </si>
  <si>
    <t>Acueducto Las Margaritas</t>
  </si>
  <si>
    <t>Corporacion de Usuarios de Acueducto y Alcantarillado de La Vereda Pan de Azucar del Municipio de Sabaneta</t>
  </si>
  <si>
    <r>
      <t xml:space="preserve">NOTA: </t>
    </r>
    <r>
      <rPr>
        <sz val="12"/>
        <rFont val="Arial"/>
        <family val="2"/>
      </rPr>
      <t>Los municipios de La Estrella y Bello no cuentan con informacion del IRCA para el año  2020, por lo cual se dejó la informacion  registrada del año 2019</t>
    </r>
  </si>
  <si>
    <t xml:space="preserve">Vereda Las Palmas </t>
  </si>
  <si>
    <t>Planta de Tratamiento Las Palmas</t>
  </si>
  <si>
    <t>Asociación Comunitaria Pasion por Casaverde</t>
  </si>
  <si>
    <t>Junta De Acción Comunal Vereda El encanto</t>
  </si>
  <si>
    <t xml:space="preserve">Junta Accion Comunal Barrio Pueblo nuevo </t>
  </si>
  <si>
    <t>Junta Acción Comunal Vereda Eucalipto</t>
  </si>
  <si>
    <t>Junta de Acción Comunal Vereda Nueva Esperanza</t>
  </si>
  <si>
    <t>Junta Acción comunal El Silencio</t>
  </si>
  <si>
    <t>Asociación de Usuarios de Acueducto Multiveredal Las Auras</t>
  </si>
  <si>
    <t>Llanadas</t>
  </si>
  <si>
    <t>Junta de Accion Comunal Llanadas</t>
  </si>
  <si>
    <t>Aguacatal</t>
  </si>
  <si>
    <t>Junta de Accion Comunal Aguacatal</t>
  </si>
  <si>
    <t>CORREGIMIENTO LA HERRUDURA</t>
  </si>
  <si>
    <t>ACUEDUCTO VEREDAL LA HERRADURA</t>
  </si>
  <si>
    <t>VEREDA LA PESCADORA</t>
  </si>
  <si>
    <t>ACUEDUCTO VEREDAL LA PESCADORA</t>
  </si>
  <si>
    <t>VEREDA LA QUIEBRA</t>
  </si>
  <si>
    <t>ASOCIACIÓN DE USUARIOS Y SUSCRIPTORES ACUEDUCTO VEREDA LA QUIEBRA</t>
  </si>
  <si>
    <t>VEREDA LA QUIEBRA (SECTOR LA CUCHILLA Y PATIO BONITO)</t>
  </si>
  <si>
    <t>ACUEDUCTO VEREDAL LA CUCHILLA Y PATIO BONITO</t>
  </si>
  <si>
    <t>Junta de Acción Comunal Vereda lopia-  Anta</t>
  </si>
  <si>
    <t>Junta de Acción Comunal vereda El Mohan - Dabeiba Viejo</t>
  </si>
  <si>
    <t>Junta de Acción Comunal Vereda Llanogrande Chimiado</t>
  </si>
  <si>
    <t xml:space="preserve">Junta de Acción Comunal vereda llano de cruces-Corregimiento Cruces </t>
  </si>
  <si>
    <t>Junta de Acción Comunal Corregimiento San José de Urama</t>
  </si>
  <si>
    <t>Asociación de Usuarios AcueduCorregimiento El Potrero</t>
  </si>
  <si>
    <t>Asociación del Usuarios del AcueduCorregimiento Corregimiento La Merced Del Playón</t>
  </si>
  <si>
    <t>Junta Administradora de AcueduCorregimiento Corregimiento San Diego</t>
  </si>
  <si>
    <t>Junta de Accion  Comunal  La Hacienda</t>
  </si>
  <si>
    <t xml:space="preserve">Asociación de usuarios acueducto Malvazá </t>
  </si>
  <si>
    <t xml:space="preserve">Vereda El ventiadero </t>
  </si>
  <si>
    <t>Junta De Accion Comunal Vereda El Ventiadero</t>
  </si>
  <si>
    <t>Junta de Acción comunal la colchona</t>
  </si>
  <si>
    <t>Vereda San Pablos</t>
  </si>
  <si>
    <t>corregimiento Jeringua</t>
  </si>
  <si>
    <t xml:space="preserve">Junta Accion Comunal de Jerigua  </t>
  </si>
  <si>
    <t xml:space="preserve">Junta de Accion Comunal la Candelaria </t>
  </si>
  <si>
    <t>Vereda la candelaria</t>
  </si>
  <si>
    <t>Villa Nueva</t>
  </si>
  <si>
    <t>Junta Acción comunal p</t>
  </si>
  <si>
    <t>Asociación de Usuarios del Acueducto Multiveredal del Municipio de Andes - Vereda Campamento</t>
  </si>
  <si>
    <t xml:space="preserve">Urbano andes </t>
  </si>
  <si>
    <t>Vereda El Ventiadero</t>
  </si>
  <si>
    <t>Asociacion de usuarios del acueducto El Ventiadero</t>
  </si>
  <si>
    <t>Junta Accion Comunal Choco Choco</t>
  </si>
  <si>
    <t>Junta Accion Comunal Palmirita</t>
  </si>
  <si>
    <t>Junta de Accion Comunal Vereda La Veta</t>
  </si>
  <si>
    <t>Junta Aaccion comunal Buenos Aires</t>
  </si>
  <si>
    <t xml:space="preserve">Vereda San Juan </t>
  </si>
  <si>
    <t>Acueducto Multiveredal  San Juan San Juan</t>
  </si>
  <si>
    <t xml:space="preserve">Junta Accion Comunal Vereda San Antonio </t>
  </si>
  <si>
    <t>Junta Accion Comunal El Higueron</t>
  </si>
  <si>
    <t>Junta de Accion Comunal Vereda La Chorrera</t>
  </si>
  <si>
    <t>Vereda Vahitos - sector manuelito</t>
  </si>
  <si>
    <t>Junta de Acción Comunal Vahitos -  Sector Manuelito</t>
  </si>
  <si>
    <t>Junta Administradora  de Acueducto Vereda Las Milagrosa</t>
  </si>
  <si>
    <t>Asociación de Suscriptores del Acueducto Hondita Hojas Anchas del Municipio de Guarne ASACUHAN –La Honda</t>
  </si>
  <si>
    <t>Junta accion comunal</t>
  </si>
  <si>
    <t>Junta de accion comunal</t>
  </si>
  <si>
    <t>Sector Aeropuerto</t>
  </si>
  <si>
    <t>Asociación de Usuarios del Acueducto Rural Sajonia Alto de Vallejo E.S.P.-ARSA E.S.P.-Aeropuerto</t>
  </si>
  <si>
    <t>Corporacion  Civica Acueducto Santa Teresa-Sistema 1</t>
  </si>
  <si>
    <t>Corporación Aguas del Mirador-La Quiebra</t>
  </si>
  <si>
    <t>Corporacion  Civica Acueducto Santa Teresa-Sistema 2</t>
  </si>
  <si>
    <t>VeredaTablacito</t>
  </si>
  <si>
    <t>Asociación Acueducto Tablacito</t>
  </si>
  <si>
    <t>Vereda Cuatro Esquinas</t>
  </si>
  <si>
    <t>Asociación Junta de Acueducto y Alcantarillado Cuatro Esquinas</t>
  </si>
  <si>
    <t xml:space="preserve"> Vereda La Mosquita</t>
  </si>
  <si>
    <t>Asociación de Suscriptores Aguas La Chorrera-La Mosquita</t>
  </si>
  <si>
    <t>Asociación de Usuarios del Acueducto Pontezuela</t>
  </si>
  <si>
    <t>Vereda Cabeceras</t>
  </si>
  <si>
    <t>Aguas de Llano Grande-Cabeceras</t>
  </si>
  <si>
    <t>Cabecera Planta 1</t>
  </si>
  <si>
    <t>Asociación del Acueducto Cabeceras de Llanogrande-Planta I</t>
  </si>
  <si>
    <t>Cabecera Planta 2</t>
  </si>
  <si>
    <t>Asociación del Acueducto Cabeceras de Llanogrande-Planta II</t>
  </si>
  <si>
    <t>Cabecera Planta 3</t>
  </si>
  <si>
    <t>Asociación del Acueducto Cabeceras de Llanogrande-Planta III</t>
  </si>
  <si>
    <t>Vereda La Convencion</t>
  </si>
  <si>
    <t>Asociación Junta Administradora del Acueducto Vereda La Convención</t>
  </si>
  <si>
    <t>Vereda Santa Ana Ojo de Agua</t>
  </si>
  <si>
    <t>Asociación Libardo Gonzalez E. Acueducto y Alcantarillado (OJO DE AGUA)</t>
  </si>
  <si>
    <t>Vereda Galicia</t>
  </si>
  <si>
    <t>Corporación Acueducto Galicia JHGN</t>
  </si>
  <si>
    <t>Vereda Mampuesto</t>
  </si>
  <si>
    <t>Corporación Acueducto Multiveredal Carmín, Cuchillas, La Mampuesto y Anexos-Mampuesto CAM</t>
  </si>
  <si>
    <t>Corporación Civica Acueducto El Tablazo</t>
  </si>
  <si>
    <t>Barrio San Antonio de Pereira</t>
  </si>
  <si>
    <t>Corporación Cívica Acueducto San Antonio de Pereira</t>
  </si>
  <si>
    <t>Vereda Santa Bárbara</t>
  </si>
  <si>
    <t>Corporación Cívica San Luis - Santa Bárbara</t>
  </si>
  <si>
    <t>Corporación de Usuarios Acueducto El Capiro</t>
  </si>
  <si>
    <t>Vereda La Laja</t>
  </si>
  <si>
    <t>Corporación La Enea-La Laja</t>
  </si>
  <si>
    <t>Vereda Rancherias</t>
  </si>
  <si>
    <t>Junta Administradora del servicio de Agua potable Rancherias</t>
  </si>
  <si>
    <t>Vereda Manizalez</t>
  </si>
  <si>
    <t>vereda santa rita (2001)</t>
  </si>
  <si>
    <t> Acueducto Multiveredal Santa Rita Parte Baja, Perpetuo Socorro, San Antonio, La Porquera y Las Hojas-Santa Rita</t>
  </si>
  <si>
    <t>vereda el perpetuo socorro (2002)</t>
  </si>
  <si>
    <t> Acueducto Multiveredal Santa Rita Parte Baja, Perpetuo Socorro, San Antonio, La Porquera y Las Hojas-Perpetuo Socorro</t>
  </si>
  <si>
    <t>vereda san antonio (2003)</t>
  </si>
  <si>
    <t> Acueducto Multiveredal Santa Rita Parte Baja, Perpetuo Socorro, San Antonio, La Porquera y Las Hojas-San Antonio</t>
  </si>
  <si>
    <t>vereda la porquera (2004)</t>
  </si>
  <si>
    <t> Acueducto Multiveredal Santa Rita Parte Baja, Perpetuo Socorro, San Antonio, La Porquera y Las Hojas-La Porquera</t>
  </si>
  <si>
    <t>vereda las hojas (2005)</t>
  </si>
  <si>
    <t> Acueducto Multiveredal Santa Rita Parte Baja, Perpetuo Socorro, San Antonio, La Porquera y Las Hojas-Las Hojas</t>
  </si>
  <si>
    <t>vereda la compañía (2006)</t>
  </si>
  <si>
    <t> Acueducto Multiveredal Santa Rita Parte Baja, Perpetuo Socorro, San Antonio, La Porquera y Las Hojas-Las Compañía</t>
  </si>
  <si>
    <t>vereda la floresta (1122),(1124)</t>
  </si>
  <si>
    <t>Asociacion de Usuarios del Acueducto Honda, Floresta,  Santa Ana-La Floresta</t>
  </si>
  <si>
    <t>vereda la honda (1125)</t>
  </si>
  <si>
    <t>Asociacion de Usuarios del Acueducto Honda, Floresta,  Santa Ana-La Honda</t>
  </si>
  <si>
    <t>vereda peñolcito (1126)</t>
  </si>
  <si>
    <t>Asociacion de Usuarios del Acueducto Honda, Floresta,  Santa Ana-Peñolcito</t>
  </si>
  <si>
    <t>Vereda Alto de Sanferrer</t>
  </si>
  <si>
    <t>Acueducto Alto de La Compañía-Alto de La Compañía - Alto de San ferrer</t>
  </si>
  <si>
    <t>Asociación de Usuarios del Acueducto Multiveredal San Roque - Frailes</t>
  </si>
  <si>
    <t>Asociación de Usuarios del Acueducto Multiveredal San Roque - La Jota</t>
  </si>
  <si>
    <t>Asociación de Usuarios del Acueducto Multiveredal San Roque - Marbella</t>
  </si>
  <si>
    <t>Asociación de Usuarios del Acueducto Multiveredal San Roque - Patio Bonito</t>
  </si>
  <si>
    <t>Asociación de Usuarios del Acueducto Multiveredal San Roque - Quiebra Honda</t>
  </si>
  <si>
    <t>Asociación de Usuarios del Acueducto Multiveredal San Roque - Villa Nueva</t>
  </si>
  <si>
    <t>Vereda el Tachira</t>
  </si>
  <si>
    <t>Junta de Acción Comunal Vereda el Tachira</t>
  </si>
  <si>
    <t>Asociación de Usuarios del Acueducto Multiveredal San Roque - Corregimiento Cristales</t>
  </si>
  <si>
    <t>300 (para población atendida de 1200 miilitares)</t>
  </si>
  <si>
    <t>Vereda La soledad</t>
  </si>
  <si>
    <t>Junta de Acción Comunal "La Soledad"</t>
  </si>
  <si>
    <t>Corregimiento Puerto Clavel</t>
  </si>
  <si>
    <t>ASUAPUCLA- BARRIO ESPAÑA-CORREGIMIENTO PUERTO CLAVEL</t>
  </si>
  <si>
    <t>Corregiemiento Puerto Lopez</t>
  </si>
  <si>
    <t>CONSOLIDADO REGIONAL ACUEDUCTOS RURALES POR NIVEL DE RIESGO  2020</t>
  </si>
  <si>
    <t xml:space="preserve"> TOTAL ANTIOQUIA 2020</t>
  </si>
  <si>
    <t xml:space="preserve"> TOTAL POR MUESTRAS POR NIVEL DE RIESGO -  ANTIOQUIA 2020</t>
  </si>
  <si>
    <t>ANTIOQUIA - SUBREGION ORIENTE - 2020</t>
  </si>
  <si>
    <t>ANTIOQUIA - SUBREGION NORDESTE - 2020</t>
  </si>
  <si>
    <t>ANTIOQUIA -  SUBREGION  MAGDALENA MEDIO 2020</t>
  </si>
  <si>
    <t>ANTIOQUIA -  SUBREGION  BAJO CAUCA 2020</t>
  </si>
  <si>
    <t>ANTIOQUIA - SUBREGION SUROESTE- 2020</t>
  </si>
  <si>
    <t>ANTIOQUIA - SUBREGION OCCIDENTE - 2020</t>
  </si>
  <si>
    <t>ANTIOQUIA - SUBREGION  NORTE- 2020</t>
  </si>
  <si>
    <t>ANTIOQUIA - SUBREGION URABA - 2020</t>
  </si>
  <si>
    <t>ANTIOQUIA - SUBREGION VALLE DE ABURRA - 2020</t>
  </si>
  <si>
    <t>En el municipio de Barbosa para el año 2020, reportó varios sistemas nuevos, debido al registro independiente de las veredas que hacen parte de los acueductos multiveredales.</t>
  </si>
  <si>
    <t>NOTA: Los municipios de Arboletes y San Juan de Urabá  no reportaron ninguna información para el año 2020, se dejá la información registrada del año 2019. El municipio de Mutatá, solo reportó un solo sistema para el 2020.</t>
  </si>
  <si>
    <r>
      <t xml:space="preserve">NOTA : </t>
    </r>
    <r>
      <rPr>
        <sz val="12"/>
        <rFont val="Arial"/>
        <family val="2"/>
      </rPr>
      <t>Los municipios de Campamento, Gómez Plata y San José de la Montaña no hubo reportes de IRCA para el año 2020.</t>
    </r>
  </si>
  <si>
    <t xml:space="preserve">El municipio de Angostura solo reportó 4 sistemas con IRCAS del 2020. </t>
  </si>
  <si>
    <t>El municipio de Guadalupe reportó solo 3 sistemas con IRCA para el 2020</t>
  </si>
  <si>
    <t>El municipio de Ituango solo reportó 6 para el año 2020</t>
  </si>
  <si>
    <t xml:space="preserve">El municipio de Carolina del Principe solo reportó 3 sistemas con IRCAS del 2020. </t>
  </si>
  <si>
    <t xml:space="preserve">Los municipios de Ebéjico y Frontino solo reportaron 3 sistemas para el año 2020. El municipio de Peque, solo reportó información del 1er semestre. </t>
  </si>
  <si>
    <r>
      <rPr>
        <b/>
        <sz val="12"/>
        <rFont val="Arial"/>
        <family val="2"/>
      </rPr>
      <t>NOTA : L</t>
    </r>
    <r>
      <rPr>
        <sz val="12"/>
        <rFont val="Arial"/>
        <family val="2"/>
      </rPr>
      <t>os municipios de Abriaquí,  Anzá, Heliconia, Sabanalarga y San Jeronimo no se reportó información de IRCAS Rurales para el 2020, por esta situación se deja la información del año 2019.</t>
    </r>
  </si>
  <si>
    <r>
      <t>NOTA: L</t>
    </r>
    <r>
      <rPr>
        <sz val="12"/>
        <rFont val="Arial"/>
        <family val="2"/>
      </rPr>
      <t>os municipios de Betania, Caramanta, Jardín, Tarso y Urrao no reportán nunguna información del año 2020, se deja la información registrada del año 2019.</t>
    </r>
  </si>
  <si>
    <t>Los municipios de Cuidad Bolivar, Andes, Jericó y Tamesis reportaron solo información  del 1er semestre del 2020.</t>
  </si>
  <si>
    <t>El municipio de Concordia solo reportó un sistema en el año 2020</t>
  </si>
  <si>
    <r>
      <rPr>
        <b/>
        <sz val="12"/>
        <rFont val="Arial"/>
        <family val="2"/>
      </rPr>
      <t xml:space="preserve">NOTA: </t>
    </r>
    <r>
      <rPr>
        <sz val="12"/>
        <rFont val="Arial"/>
        <family val="2"/>
      </rPr>
      <t xml:space="preserve"> Los municipios de Nechí y Zaragoza no cuentan con la información del IRCA para el año 2020, para lo cual se dejó registrada la información del año 2019</t>
    </r>
  </si>
  <si>
    <t>El municipio de Caracolí no cuenta con informacion del IRCA para el año 2020, por lo cual se dejó la informacion y comentarios respectivos  registrados del año 2019</t>
  </si>
  <si>
    <r>
      <rPr>
        <b/>
        <sz val="12"/>
        <rFont val="Arial"/>
        <family val="2"/>
      </rPr>
      <t xml:space="preserve">NOTA : El muncipio de </t>
    </r>
    <r>
      <rPr>
        <sz val="12"/>
        <rFont val="Arial"/>
        <family val="2"/>
      </rPr>
      <t>Puerto Nare se hizo el  registro de la  informacion del primer semestre del año 2020, debido a que la informacion del segundo semestre no fue remitida.</t>
    </r>
  </si>
  <si>
    <t>Los municipios de Argelia, La Ceja, y San Fransisco no hay ninguna información del  2020</t>
  </si>
  <si>
    <r>
      <rPr>
        <b/>
        <sz val="12"/>
        <rFont val="Arial"/>
        <family val="2"/>
      </rPr>
      <t xml:space="preserve">NOTA: </t>
    </r>
    <r>
      <rPr>
        <sz val="12"/>
        <rFont val="Arial"/>
        <family val="2"/>
      </rPr>
      <t xml:space="preserve"> Para los municipios de El Peñol, El Retiro, Marinilla y San Rafael,  se hizo el  registro de la  informacion del primer semestre del año 2020, debido a que la informacion del segundo semestre no fue remitida. Mientras que el municipio de Rionegro se hizo el registro de la información del 2do semestre, debido a que la información del 1er semestre no fue remitida. </t>
    </r>
  </si>
  <si>
    <t>El municipio de Abejorral solo reporta un sistema para el 2020.</t>
  </si>
  <si>
    <t>Cobertura del servicio acueducto a nivel rural %</t>
  </si>
  <si>
    <t>El municipio de Remedios solo reportó un sistema para el año 2020</t>
  </si>
  <si>
    <t>NOTA: Los municipios Vegachí y Yalí solo reportaron un sistema en el año 2020.</t>
  </si>
  <si>
    <t>SUBSECRETARIA DE SALUD PUBLICA</t>
  </si>
  <si>
    <t>DIRECION DE SALUD AMBIENTAL Y FACTORES DE RIESGO</t>
  </si>
  <si>
    <t xml:space="preserve">Corporación De Acueducto San Pedro </t>
  </si>
  <si>
    <t xml:space="preserve">Corporación De Acueducto Multiveredal Santa Elena </t>
  </si>
  <si>
    <t xml:space="preserve">Corporación De Asociados  Del Acueducto Mazo </t>
  </si>
  <si>
    <t>Corporación De Acueducto Las Flores</t>
  </si>
  <si>
    <t>Corporación Del Acueducto Media Luna</t>
  </si>
  <si>
    <t xml:space="preserve">Corporación De Acueducto Piedras Blancas </t>
  </si>
  <si>
    <t xml:space="preserve">Junta Administradora Acueducto Manzanillo </t>
  </si>
  <si>
    <t>Corporacion De Acueducto De Altavista - Altavista*</t>
  </si>
  <si>
    <t>Corporacion De Acueducto De Altavista - La Perla*</t>
  </si>
  <si>
    <t>Corporación De Acueducto Altavista-Buga</t>
  </si>
  <si>
    <t>Corporación De Acueducto Altavista-Escolástica</t>
  </si>
  <si>
    <t>Junta Administradora De Acueducto San José De Manzanillo Agua Pura</t>
  </si>
  <si>
    <t>Corporacion De Acueducto El Manantial De Ana Diaz</t>
  </si>
  <si>
    <t>Corporacion De Acueducto El Manantial</t>
  </si>
  <si>
    <t>Junta Administradora De Servicios El Vergel (Jasver)</t>
  </si>
  <si>
    <t>Corporacion De Asociados Del Acueducto Montañita</t>
  </si>
  <si>
    <t>Junta Administradora Acueducto La Sorbetana</t>
  </si>
  <si>
    <t>Corporación Acueducto San Jose</t>
  </si>
  <si>
    <t>Corporación De Acuedcuto Multiveredal Arco Iris</t>
  </si>
  <si>
    <t>Junta Administradora Acueducto Multiveredal El Hato</t>
  </si>
  <si>
    <t>Corporación De Acueducto Multiveredal La Acuarela</t>
  </si>
  <si>
    <t>Junta Administradora Acueducto Multiveredal La Iguana</t>
  </si>
  <si>
    <t xml:space="preserve">Empresas Públicas De Medellín Esp San Antonio De Prado </t>
  </si>
  <si>
    <t>Empresas Públicas De Medellín Esp San Cristóbal</t>
  </si>
  <si>
    <t>Empresas Públicas De Medellín Esp Aguas Frias</t>
  </si>
  <si>
    <t>Empresas Públicas De Medellín Esp Palmitas</t>
  </si>
  <si>
    <t>Corporación De Asociados Del Acueducto Isaac Gaviria</t>
  </si>
  <si>
    <t>Corporación De Acueducto Multiveredal Palmitas La China</t>
  </si>
  <si>
    <t>Vvereda Antado sector El Rodeo</t>
  </si>
  <si>
    <t>Asociacion de Usuarios del Acueducto  La Cabuyala</t>
  </si>
  <si>
    <r>
      <t xml:space="preserve">SUBREGION: </t>
    </r>
    <r>
      <rPr>
        <sz val="14"/>
        <rFont val="Arial"/>
        <family val="2"/>
      </rPr>
      <t>ORIENTE</t>
    </r>
  </si>
  <si>
    <r>
      <t xml:space="preserve">SUBREGION: </t>
    </r>
    <r>
      <rPr>
        <sz val="14"/>
        <rFont val="Arial"/>
        <family val="2"/>
      </rPr>
      <t>NORDESTE</t>
    </r>
  </si>
  <si>
    <r>
      <t xml:space="preserve">SUBREGION: </t>
    </r>
    <r>
      <rPr>
        <sz val="14"/>
        <rFont val="Arial"/>
        <family val="2"/>
      </rPr>
      <t>BAJO CAUCA</t>
    </r>
  </si>
  <si>
    <r>
      <t xml:space="preserve">SUBREGION: </t>
    </r>
    <r>
      <rPr>
        <sz val="14"/>
        <rFont val="Arial"/>
        <family val="2"/>
      </rPr>
      <t>SUROESTE</t>
    </r>
  </si>
  <si>
    <r>
      <t xml:space="preserve">SUBREGION: </t>
    </r>
    <r>
      <rPr>
        <sz val="14"/>
        <rFont val="Arial"/>
        <family val="2"/>
      </rPr>
      <t>OCCIDENTE</t>
    </r>
  </si>
  <si>
    <r>
      <t xml:space="preserve">SUBREGION: </t>
    </r>
    <r>
      <rPr>
        <sz val="14"/>
        <rFont val="Arial"/>
        <family val="2"/>
      </rPr>
      <t>NORTE</t>
    </r>
  </si>
  <si>
    <r>
      <t xml:space="preserve">SUBREGION: </t>
    </r>
    <r>
      <rPr>
        <sz val="14"/>
        <rFont val="Arial"/>
        <family val="2"/>
      </rPr>
      <t>URABA</t>
    </r>
  </si>
  <si>
    <r>
      <t>SUBREGION:</t>
    </r>
    <r>
      <rPr>
        <sz val="14"/>
        <rFont val="Arial"/>
        <family val="2"/>
      </rPr>
      <t xml:space="preserve"> VALLE DE ABURRA</t>
    </r>
  </si>
  <si>
    <r>
      <t xml:space="preserve">SUBREGION: </t>
    </r>
    <r>
      <rPr>
        <sz val="14"/>
        <rFont val="Arial"/>
        <family val="2"/>
      </rPr>
      <t>MAGDALENA MEDIO</t>
    </r>
  </si>
  <si>
    <t>CONSOLIDADO ACUEDUCTOS RURALES 2020</t>
  </si>
  <si>
    <t>DIRECCION DE SALUD AMBIENTAL Y FACTORES DE RIESGOS</t>
  </si>
  <si>
    <t>NUMERO DE VIVIENDAS RURALES CON ACUEDUCTO - ANUARIO ESTADISTICO  ANTIOQUIA        2019</t>
  </si>
  <si>
    <t>DIRECCION DE SALUD AMBIENTAL Y FACTORES DE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</si>
</sst>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0.0"/>
    <numFmt numFmtId="166" formatCode="_ [$€-2]\ * #,##0.00_ ;_ [$€-2]\ * \-#,##0.00_ ;_ [$€-2]\ * &quot;-&quot;??_ "/>
  </numFmts>
  <fonts count="51" x14ac:knownFonts="1">
    <font>
      <sz val="10"/>
      <name val="Arial"/>
    </font>
    <font>
      <sz val="10"/>
      <name val="Arial"/>
      <family val="2"/>
    </font>
    <font>
      <sz val="8"/>
      <name val="Arial"/>
      <family val="2"/>
    </font>
    <font>
      <sz val="10"/>
      <name val="Arial"/>
      <family val="2"/>
    </font>
    <font>
      <b/>
      <sz val="10"/>
      <name val="Arial"/>
      <family val="2"/>
    </font>
    <font>
      <sz val="10"/>
      <name val="Verdana"/>
      <family val="2"/>
    </font>
    <font>
      <b/>
      <sz val="12"/>
      <name val="Verdana"/>
      <family val="2"/>
    </font>
    <font>
      <sz val="11"/>
      <name val="Verdana"/>
      <family val="2"/>
    </font>
    <font>
      <b/>
      <sz val="12"/>
      <name val="Arial"/>
      <family val="2"/>
    </font>
    <font>
      <sz val="12"/>
      <name val="Verdana"/>
      <family val="2"/>
    </font>
    <font>
      <sz val="12"/>
      <name val="Arial"/>
      <family val="2"/>
    </font>
    <font>
      <b/>
      <sz val="10"/>
      <name val="Verdana"/>
      <family val="2"/>
    </font>
    <font>
      <sz val="11"/>
      <name val="Arial"/>
      <family val="2"/>
    </font>
    <font>
      <b/>
      <sz val="14"/>
      <name val="Arial"/>
      <family val="2"/>
    </font>
    <font>
      <sz val="14"/>
      <name val="Arial"/>
      <family val="2"/>
    </font>
    <font>
      <b/>
      <sz val="11"/>
      <name val="Arial"/>
      <family val="2"/>
    </font>
    <font>
      <sz val="10"/>
      <name val="Arial"/>
      <family val="2"/>
    </font>
    <font>
      <b/>
      <sz val="11"/>
      <color indexed="8"/>
      <name val="Verdana"/>
      <family val="2"/>
    </font>
    <font>
      <sz val="9"/>
      <name val="Arial"/>
      <family val="2"/>
    </font>
    <font>
      <b/>
      <sz val="18"/>
      <name val="Arial"/>
      <family val="2"/>
    </font>
    <font>
      <b/>
      <sz val="11"/>
      <color indexed="8"/>
      <name val="Arial"/>
      <family val="2"/>
    </font>
    <font>
      <b/>
      <sz val="11"/>
      <color indexed="9"/>
      <name val="Arial"/>
      <family val="2"/>
    </font>
    <font>
      <sz val="11"/>
      <color indexed="9"/>
      <name val="Arial"/>
      <family val="2"/>
    </font>
    <font>
      <sz val="10"/>
      <name val="Arial"/>
      <family val="2"/>
    </font>
    <font>
      <sz val="11"/>
      <color indexed="8"/>
      <name val="Arial"/>
      <family val="2"/>
    </font>
    <font>
      <sz val="11"/>
      <color theme="1"/>
      <name val="Calibri"/>
      <family val="2"/>
      <scheme val="minor"/>
    </font>
    <font>
      <sz val="11"/>
      <color theme="0"/>
      <name val="Calibri"/>
      <family val="2"/>
      <scheme val="minor"/>
    </font>
    <font>
      <sz val="11"/>
      <color theme="1"/>
      <name val="Arial"/>
      <family val="2"/>
    </font>
    <font>
      <b/>
      <sz val="11"/>
      <color theme="0"/>
      <name val="Arial"/>
      <family val="2"/>
    </font>
    <font>
      <sz val="10"/>
      <name val="Arial"/>
      <family val="2"/>
    </font>
    <font>
      <b/>
      <sz val="12"/>
      <name val="Arial"/>
      <family val="2"/>
    </font>
    <font>
      <sz val="9"/>
      <color indexed="81"/>
      <name val="Tahoma"/>
      <family val="2"/>
    </font>
    <font>
      <b/>
      <sz val="9"/>
      <color indexed="81"/>
      <name val="Tahoma"/>
      <family val="2"/>
    </font>
    <font>
      <b/>
      <sz val="18"/>
      <name val="Arial Narrow"/>
      <family val="2"/>
    </font>
    <font>
      <b/>
      <sz val="12"/>
      <name val="Arial Narrow"/>
      <family val="2"/>
    </font>
    <font>
      <b/>
      <sz val="11"/>
      <name val="Arial Narrow"/>
      <family val="2"/>
    </font>
    <font>
      <sz val="12"/>
      <name val="Arial Narrow"/>
      <family val="2"/>
    </font>
    <font>
      <b/>
      <sz val="16"/>
      <name val="Arial Narrow"/>
      <family val="2"/>
    </font>
    <font>
      <b/>
      <sz val="15"/>
      <name val="Arial Narrow"/>
      <family val="2"/>
    </font>
    <font>
      <b/>
      <sz val="10"/>
      <color indexed="81"/>
      <name val="Tahoma"/>
      <family val="2"/>
    </font>
    <font>
      <sz val="10"/>
      <color indexed="81"/>
      <name val="Tahoma"/>
      <family val="2"/>
    </font>
    <font>
      <b/>
      <sz val="10"/>
      <color indexed="81"/>
      <name val="Arial"/>
      <family val="2"/>
    </font>
    <font>
      <sz val="10"/>
      <color indexed="81"/>
      <name val="Arial"/>
      <family val="2"/>
    </font>
    <font>
      <sz val="11"/>
      <color indexed="81"/>
      <name val="Arial"/>
      <family val="2"/>
    </font>
    <font>
      <sz val="10"/>
      <name val="Arial"/>
      <family val="2"/>
    </font>
    <font>
      <sz val="10"/>
      <color rgb="FFFF0000"/>
      <name val="Arial"/>
      <family val="2"/>
    </font>
    <font>
      <sz val="12"/>
      <color theme="1"/>
      <name val="Arial"/>
      <family val="2"/>
    </font>
    <font>
      <sz val="12"/>
      <color theme="1"/>
      <name val="Verdana"/>
      <family val="2"/>
    </font>
    <font>
      <sz val="12"/>
      <color rgb="FF000000"/>
      <name val="Arial"/>
      <family val="2"/>
    </font>
    <font>
      <sz val="12"/>
      <color indexed="8"/>
      <name val="Arial"/>
      <family val="2"/>
    </font>
    <font>
      <b/>
      <sz val="12"/>
      <color theme="1"/>
      <name val="Arial"/>
      <family val="2"/>
    </font>
  </fonts>
  <fills count="37">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indexed="44"/>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50"/>
        <bgColor indexed="64"/>
      </patternFill>
    </fill>
    <fill>
      <patternFill patternType="solid">
        <fgColor theme="5" tint="0.39997558519241921"/>
        <bgColor indexed="65"/>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theme="0"/>
        <bgColor indexed="26"/>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249977111117893"/>
        <bgColor indexed="64"/>
      </patternFill>
    </fill>
    <fill>
      <patternFill patternType="solid">
        <fgColor rgb="FFFF0000"/>
        <bgColor indexed="64"/>
      </patternFill>
    </fill>
    <fill>
      <patternFill patternType="solid">
        <fgColor rgb="FF92D050"/>
        <bgColor indexed="64"/>
      </patternFill>
    </fill>
    <fill>
      <patternFill patternType="solid">
        <fgColor rgb="FFFF0000"/>
        <bgColor indexed="26"/>
      </patternFill>
    </fill>
    <fill>
      <patternFill patternType="solid">
        <fgColor theme="0" tint="-0.249977111117893"/>
        <bgColor indexed="26"/>
      </patternFill>
    </fill>
    <fill>
      <patternFill patternType="solid">
        <fgColor theme="6" tint="-0.249977111117893"/>
        <bgColor indexed="64"/>
      </patternFill>
    </fill>
    <fill>
      <patternFill patternType="solid">
        <fgColor theme="6" tint="-0.249977111117893"/>
        <bgColor indexed="26"/>
      </patternFill>
    </fill>
    <fill>
      <patternFill patternType="solid">
        <fgColor rgb="FF92D050"/>
        <bgColor indexed="26"/>
      </patternFill>
    </fill>
    <fill>
      <patternFill patternType="solid">
        <fgColor rgb="FFFFFF00"/>
        <bgColor indexed="26"/>
      </patternFill>
    </fill>
    <fill>
      <patternFill patternType="solid">
        <fgColor theme="9" tint="-0.249977111117893"/>
        <bgColor indexed="26"/>
      </patternFill>
    </fill>
    <fill>
      <patternFill patternType="solid">
        <fgColor theme="3" tint="0.59999389629810485"/>
        <bgColor indexed="26"/>
      </patternFill>
    </fill>
    <fill>
      <patternFill patternType="solid">
        <fgColor rgb="FFFFFFFF"/>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4"/>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00B050"/>
        <bgColor indexed="64"/>
      </patternFill>
    </fill>
    <fill>
      <patternFill patternType="solid">
        <fgColor theme="5" tint="0.79998168889431442"/>
        <bgColor indexed="64"/>
      </patternFill>
    </fill>
    <fill>
      <patternFill patternType="solid">
        <fgColor theme="9" tint="0.7999816888943144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style="thin">
        <color indexed="23"/>
      </top>
      <bottom style="thin">
        <color indexed="23"/>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bottom style="thin">
        <color indexed="23"/>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23"/>
      </top>
      <bottom style="thin">
        <color indexed="23"/>
      </bottom>
      <diagonal/>
    </border>
    <border>
      <left style="thin">
        <color indexed="23"/>
      </left>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3"/>
      </left>
      <right/>
      <top style="thin">
        <color indexed="23"/>
      </top>
      <bottom style="thin">
        <color indexed="64"/>
      </bottom>
      <diagonal/>
    </border>
    <border>
      <left style="thin">
        <color indexed="23"/>
      </left>
      <right style="thin">
        <color indexed="23"/>
      </right>
      <top style="thin">
        <color indexed="23"/>
      </top>
      <bottom/>
      <diagonal/>
    </border>
    <border>
      <left style="thin">
        <color indexed="64"/>
      </left>
      <right/>
      <top/>
      <bottom/>
      <diagonal/>
    </border>
  </borders>
  <cellStyleXfs count="48">
    <xf numFmtId="0" fontId="0" fillId="0" borderId="0"/>
    <xf numFmtId="0" fontId="26" fillId="9" borderId="0" applyNumberFormat="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16" fillId="0" borderId="0"/>
    <xf numFmtId="0" fontId="3" fillId="0" borderId="0"/>
    <xf numFmtId="0" fontId="3" fillId="0" borderId="0"/>
    <xf numFmtId="0" fontId="3" fillId="0" borderId="0"/>
    <xf numFmtId="0" fontId="3" fillId="0" borderId="0"/>
    <xf numFmtId="0" fontId="25" fillId="0" borderId="0"/>
    <xf numFmtId="0" fontId="25" fillId="0" borderId="0"/>
    <xf numFmtId="0" fontId="25" fillId="0" borderId="0"/>
    <xf numFmtId="0" fontId="3" fillId="0" borderId="0"/>
    <xf numFmtId="0" fontId="25"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10" borderId="20" applyNumberFormat="0" applyFont="0" applyAlignment="0" applyProtection="0"/>
    <xf numFmtId="0" fontId="25" fillId="10" borderId="20" applyNumberFormat="0" applyFont="0" applyAlignment="0" applyProtection="0"/>
    <xf numFmtId="0" fontId="25" fillId="10" borderId="20" applyNumberFormat="0" applyFont="0" applyAlignment="0" applyProtection="0"/>
    <xf numFmtId="0" fontId="25" fillId="10" borderId="20" applyNumberFormat="0" applyFont="0" applyAlignment="0" applyProtection="0"/>
    <xf numFmtId="0" fontId="25" fillId="10" borderId="20" applyNumberFormat="0" applyFont="0" applyAlignment="0" applyProtection="0"/>
    <xf numFmtId="0" fontId="25" fillId="10" borderId="20"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9" fillId="10" borderId="20" applyNumberFormat="0" applyFont="0" applyAlignment="0" applyProtection="0"/>
    <xf numFmtId="43" fontId="44" fillId="0" borderId="0" applyFont="0" applyFill="0" applyBorder="0" applyAlignment="0" applyProtection="0"/>
  </cellStyleXfs>
  <cellXfs count="511">
    <xf numFmtId="0" fontId="0" fillId="0" borderId="0" xfId="0"/>
    <xf numFmtId="0" fontId="0" fillId="0" borderId="0" xfId="0" applyBorder="1" applyAlignment="1">
      <alignment wrapText="1"/>
    </xf>
    <xf numFmtId="0" fontId="0" fillId="0" borderId="0" xfId="0" applyBorder="1" applyAlignment="1">
      <alignment horizontal="left" wrapText="1"/>
    </xf>
    <xf numFmtId="0" fontId="6" fillId="0" borderId="0" xfId="0" applyFont="1" applyBorder="1" applyAlignment="1">
      <alignment vertical="center" wrapText="1"/>
    </xf>
    <xf numFmtId="0" fontId="0" fillId="0" borderId="0" xfId="0" applyBorder="1"/>
    <xf numFmtId="0" fontId="9" fillId="0" borderId="0" xfId="0" applyFont="1" applyBorder="1"/>
    <xf numFmtId="0" fontId="9" fillId="0" borderId="0" xfId="0" applyFont="1" applyBorder="1" applyAlignment="1">
      <alignment vertical="top"/>
    </xf>
    <xf numFmtId="0" fontId="9" fillId="0" borderId="0" xfId="0" applyFont="1"/>
    <xf numFmtId="0" fontId="9" fillId="0" borderId="0" xfId="0" applyFont="1" applyBorder="1" applyAlignment="1">
      <alignment horizontal="left"/>
    </xf>
    <xf numFmtId="0" fontId="9" fillId="0" borderId="0" xfId="0" applyFont="1" applyAlignment="1">
      <alignment horizontal="left"/>
    </xf>
    <xf numFmtId="0" fontId="10" fillId="0" borderId="0" xfId="0" applyFont="1"/>
    <xf numFmtId="0" fontId="8" fillId="0" borderId="0" xfId="0" applyFont="1" applyBorder="1" applyAlignment="1">
      <alignment horizontal="center" vertical="center" wrapText="1"/>
    </xf>
    <xf numFmtId="0" fontId="0" fillId="0" borderId="0" xfId="0" applyAlignment="1">
      <alignment wrapText="1"/>
    </xf>
    <xf numFmtId="0" fontId="3" fillId="0" borderId="0" xfId="0" applyFont="1"/>
    <xf numFmtId="0" fontId="3" fillId="0" borderId="0" xfId="0" applyFont="1" applyAlignment="1">
      <alignment horizontal="left"/>
    </xf>
    <xf numFmtId="0" fontId="3" fillId="0" borderId="0" xfId="0" applyFont="1" applyBorder="1" applyAlignment="1">
      <alignment wrapText="1"/>
    </xf>
    <xf numFmtId="0" fontId="3" fillId="0" borderId="0" xfId="0" applyFont="1" applyBorder="1" applyAlignment="1">
      <alignment horizontal="left" wrapText="1"/>
    </xf>
    <xf numFmtId="0" fontId="3" fillId="0" borderId="0" xfId="0" applyFont="1" applyFill="1" applyBorder="1" applyAlignment="1">
      <alignment horizontal="left" wrapText="1"/>
    </xf>
    <xf numFmtId="0" fontId="3" fillId="0" borderId="0" xfId="0" applyFont="1" applyFill="1"/>
    <xf numFmtId="0" fontId="3" fillId="0" borderId="0" xfId="0" applyFont="1" applyAlignment="1">
      <alignment wrapText="1"/>
    </xf>
    <xf numFmtId="2" fontId="3" fillId="2" borderId="0" xfId="0" applyNumberFormat="1" applyFont="1" applyFill="1" applyBorder="1" applyAlignment="1">
      <alignment horizontal="center" vertical="top"/>
    </xf>
    <xf numFmtId="0" fontId="3" fillId="0" borderId="2" xfId="0" applyFont="1" applyBorder="1" applyAlignment="1">
      <alignment horizontal="left" wrapText="1"/>
    </xf>
    <xf numFmtId="0" fontId="3" fillId="0" borderId="2" xfId="0" applyFont="1" applyBorder="1"/>
    <xf numFmtId="0" fontId="4" fillId="0" borderId="0" xfId="0" applyFont="1"/>
    <xf numFmtId="0" fontId="0" fillId="0" borderId="0" xfId="0" applyFill="1" applyBorder="1"/>
    <xf numFmtId="0" fontId="4" fillId="0" borderId="0" xfId="0" applyFont="1" applyBorder="1"/>
    <xf numFmtId="0" fontId="4" fillId="0" borderId="0" xfId="0" applyFont="1" applyFill="1" applyBorder="1"/>
    <xf numFmtId="0" fontId="0" fillId="11" borderId="0" xfId="0" applyFill="1" applyBorder="1"/>
    <xf numFmtId="0" fontId="0" fillId="11" borderId="0" xfId="0" applyFill="1"/>
    <xf numFmtId="0" fontId="8" fillId="0" borderId="3" xfId="0" applyFont="1" applyFill="1" applyBorder="1" applyAlignment="1">
      <alignment horizontal="center" vertical="center"/>
    </xf>
    <xf numFmtId="0" fontId="3" fillId="12" borderId="0" xfId="0" applyFont="1" applyFill="1" applyBorder="1" applyAlignment="1">
      <alignment horizontal="left" wrapText="1"/>
    </xf>
    <xf numFmtId="0" fontId="3" fillId="12" borderId="0" xfId="0" applyFont="1" applyFill="1"/>
    <xf numFmtId="0" fontId="0" fillId="0" borderId="0" xfId="0" applyProtection="1">
      <protection locked="0"/>
    </xf>
    <xf numFmtId="0" fontId="0" fillId="0" borderId="0" xfId="0" applyFill="1"/>
    <xf numFmtId="0" fontId="3" fillId="0" borderId="0" xfId="0" applyFont="1" applyFill="1" applyAlignment="1">
      <alignment horizontal="center" vertical="center" wrapText="1"/>
    </xf>
    <xf numFmtId="0" fontId="0" fillId="0" borderId="0" xfId="0" applyFill="1" applyAlignment="1">
      <alignment horizontal="center" vertical="center" wrapText="1"/>
    </xf>
    <xf numFmtId="165" fontId="5" fillId="2" borderId="4" xfId="0" applyNumberFormat="1" applyFont="1" applyFill="1" applyBorder="1" applyAlignment="1" applyProtection="1">
      <alignment horizontal="center" vertical="top"/>
      <protection locked="0"/>
    </xf>
    <xf numFmtId="0" fontId="0" fillId="0" borderId="0" xfId="0" applyAlignment="1"/>
    <xf numFmtId="0" fontId="0" fillId="0" borderId="5" xfId="0" applyBorder="1" applyAlignment="1"/>
    <xf numFmtId="0" fontId="7" fillId="0" borderId="6" xfId="0" applyFont="1" applyBorder="1" applyAlignment="1">
      <alignment vertical="top"/>
    </xf>
    <xf numFmtId="0" fontId="7" fillId="0" borderId="7" xfId="0" applyFont="1" applyBorder="1" applyAlignment="1">
      <alignment vertical="top"/>
    </xf>
    <xf numFmtId="0" fontId="0" fillId="0" borderId="5" xfId="0" applyBorder="1" applyProtection="1">
      <protection locked="0"/>
    </xf>
    <xf numFmtId="0" fontId="17" fillId="11" borderId="0" xfId="0" applyFont="1" applyFill="1" applyBorder="1" applyAlignment="1" applyProtection="1">
      <alignment vertical="center"/>
      <protection locked="0"/>
    </xf>
    <xf numFmtId="0" fontId="11" fillId="11" borderId="0" xfId="0" applyFont="1" applyFill="1" applyBorder="1" applyAlignment="1" applyProtection="1">
      <alignment vertical="center" wrapText="1"/>
      <protection locked="0"/>
    </xf>
    <xf numFmtId="0" fontId="8"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165" fontId="10" fillId="2" borderId="3" xfId="0" applyNumberFormat="1" applyFont="1" applyFill="1" applyBorder="1" applyAlignment="1">
      <alignment horizontal="center" vertical="center"/>
    </xf>
    <xf numFmtId="165" fontId="10" fillId="2" borderId="3" xfId="0" applyNumberFormat="1" applyFont="1" applyFill="1" applyBorder="1" applyAlignment="1" applyProtection="1">
      <alignment horizontal="center" vertical="center"/>
      <protection locked="0"/>
    </xf>
    <xf numFmtId="165" fontId="10" fillId="0" borderId="3" xfId="0" applyNumberFormat="1" applyFont="1" applyFill="1" applyBorder="1" applyAlignment="1">
      <alignment horizontal="center" vertical="center"/>
    </xf>
    <xf numFmtId="0" fontId="8" fillId="2" borderId="8" xfId="0" applyFont="1" applyFill="1" applyBorder="1" applyAlignment="1">
      <alignment vertical="center"/>
    </xf>
    <xf numFmtId="0" fontId="8" fillId="2" borderId="9" xfId="0" applyFont="1" applyFill="1" applyBorder="1" applyAlignment="1">
      <alignment vertical="center"/>
    </xf>
    <xf numFmtId="0" fontId="8" fillId="2" borderId="2" xfId="0" applyFont="1" applyFill="1" applyBorder="1" applyAlignment="1">
      <alignment vertical="center"/>
    </xf>
    <xf numFmtId="165" fontId="10" fillId="13" borderId="3" xfId="0" applyNumberFormat="1" applyFont="1" applyFill="1" applyBorder="1" applyAlignment="1">
      <alignment horizontal="center" vertical="center"/>
    </xf>
    <xf numFmtId="165" fontId="9" fillId="13" borderId="3" xfId="0" applyNumberFormat="1" applyFont="1" applyFill="1" applyBorder="1" applyAlignment="1">
      <alignment horizontal="center" vertical="top"/>
    </xf>
    <xf numFmtId="165"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0" fillId="0" borderId="3" xfId="0" applyBorder="1" applyAlignment="1">
      <alignment wrapText="1"/>
    </xf>
    <xf numFmtId="0" fontId="0" fillId="0" borderId="3" xfId="0" applyBorder="1" applyAlignment="1">
      <alignment horizontal="left" wrapText="1"/>
    </xf>
    <xf numFmtId="0" fontId="10" fillId="0" borderId="3" xfId="0" applyFont="1" applyFill="1" applyBorder="1" applyAlignment="1">
      <alignment horizontal="justify" vertical="top" wrapText="1"/>
    </xf>
    <xf numFmtId="0" fontId="4" fillId="0" borderId="3" xfId="0" applyFont="1" applyFill="1" applyBorder="1" applyAlignment="1">
      <alignment horizontal="center" vertical="center" wrapText="1"/>
    </xf>
    <xf numFmtId="0" fontId="14" fillId="0" borderId="0" xfId="0" applyFont="1"/>
    <xf numFmtId="0" fontId="13" fillId="0" borderId="0" xfId="0" applyFont="1"/>
    <xf numFmtId="0" fontId="4" fillId="0" borderId="0" xfId="0" applyFont="1" applyFill="1"/>
    <xf numFmtId="0" fontId="10" fillId="0" borderId="0" xfId="0" applyFont="1" applyFill="1"/>
    <xf numFmtId="0" fontId="8" fillId="0" borderId="0" xfId="0" applyFont="1" applyFill="1"/>
    <xf numFmtId="0" fontId="19" fillId="0" borderId="0" xfId="0" applyFont="1" applyFill="1" applyBorder="1" applyAlignment="1">
      <alignment vertical="center" wrapText="1"/>
    </xf>
    <xf numFmtId="0" fontId="13" fillId="0" borderId="0" xfId="0" applyFont="1" applyFill="1" applyBorder="1" applyAlignment="1">
      <alignment vertical="center" wrapText="1"/>
    </xf>
    <xf numFmtId="0" fontId="8" fillId="14" borderId="3" xfId="0" applyFont="1" applyFill="1" applyBorder="1" applyAlignment="1">
      <alignment horizontal="center" vertical="center" wrapText="1"/>
    </xf>
    <xf numFmtId="0" fontId="8" fillId="14" borderId="3" xfId="0" applyFont="1" applyFill="1" applyBorder="1" applyAlignment="1">
      <alignment horizontal="center" vertical="center" textRotation="90" wrapText="1"/>
    </xf>
    <xf numFmtId="165" fontId="8" fillId="14" borderId="3" xfId="0" applyNumberFormat="1" applyFont="1" applyFill="1" applyBorder="1" applyAlignment="1">
      <alignment horizontal="center" vertical="center" wrapText="1"/>
    </xf>
    <xf numFmtId="0" fontId="8" fillId="14" borderId="3" xfId="0" applyFont="1" applyFill="1" applyBorder="1" applyAlignment="1">
      <alignment vertical="center" wrapText="1"/>
    </xf>
    <xf numFmtId="0" fontId="8" fillId="14" borderId="3" xfId="0" applyFont="1" applyFill="1" applyBorder="1" applyAlignment="1">
      <alignment vertical="center"/>
    </xf>
    <xf numFmtId="0" fontId="8" fillId="14" borderId="3" xfId="0" applyFont="1" applyFill="1" applyBorder="1" applyAlignment="1">
      <alignment horizontal="center" vertical="center"/>
    </xf>
    <xf numFmtId="165" fontId="8" fillId="14" borderId="3" xfId="0" applyNumberFormat="1" applyFont="1" applyFill="1" applyBorder="1" applyAlignment="1">
      <alignment horizontal="center" vertical="center"/>
    </xf>
    <xf numFmtId="0" fontId="10" fillId="0" borderId="3" xfId="0" applyFont="1" applyFill="1" applyBorder="1" applyAlignment="1">
      <alignment horizontal="left" vertical="center"/>
    </xf>
    <xf numFmtId="165" fontId="12" fillId="2" borderId="3" xfId="0" applyNumberFormat="1" applyFont="1" applyFill="1" applyBorder="1" applyAlignment="1">
      <alignment horizontal="center" vertical="center"/>
    </xf>
    <xf numFmtId="0" fontId="3" fillId="0" borderId="3" xfId="0" applyFont="1" applyBorder="1"/>
    <xf numFmtId="165" fontId="12" fillId="2" borderId="12" xfId="0" applyNumberFormat="1" applyFont="1" applyFill="1" applyBorder="1" applyAlignment="1">
      <alignment horizontal="center" vertical="center"/>
    </xf>
    <xf numFmtId="165" fontId="12" fillId="0" borderId="0" xfId="0" applyNumberFormat="1" applyFont="1" applyFill="1" applyBorder="1" applyAlignment="1">
      <alignment horizontal="center" vertical="center"/>
    </xf>
    <xf numFmtId="165" fontId="12" fillId="2"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xf numFmtId="165" fontId="10" fillId="0" borderId="0" xfId="17" applyNumberFormat="1" applyFont="1" applyFill="1" applyBorder="1" applyAlignment="1">
      <alignment horizontal="center" vertical="center"/>
    </xf>
    <xf numFmtId="165" fontId="9" fillId="0" borderId="0" xfId="0" applyNumberFormat="1" applyFont="1" applyFill="1" applyBorder="1" applyAlignment="1">
      <alignment horizontal="center" vertical="center" wrapText="1"/>
    </xf>
    <xf numFmtId="165" fontId="10" fillId="0" borderId="0"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3" fillId="0" borderId="14" xfId="0" applyFont="1" applyFill="1" applyBorder="1" applyAlignment="1">
      <alignment vertical="center" wrapText="1"/>
    </xf>
    <xf numFmtId="0" fontId="13" fillId="0" borderId="15" xfId="0" applyFont="1" applyFill="1" applyBorder="1" applyAlignment="1">
      <alignment vertical="center" wrapText="1"/>
    </xf>
    <xf numFmtId="0" fontId="14" fillId="0" borderId="5" xfId="0" applyFont="1" applyFill="1" applyBorder="1" applyAlignment="1">
      <alignment vertical="center" wrapText="1"/>
    </xf>
    <xf numFmtId="0" fontId="13" fillId="0" borderId="5" xfId="0" applyFont="1" applyFill="1" applyBorder="1" applyAlignment="1">
      <alignment vertical="center" wrapText="1"/>
    </xf>
    <xf numFmtId="0" fontId="3" fillId="0" borderId="0" xfId="0" applyFont="1" applyBorder="1" applyAlignment="1">
      <alignment horizontal="left"/>
    </xf>
    <xf numFmtId="0" fontId="3" fillId="0" borderId="0" xfId="0" applyFont="1" applyBorder="1"/>
    <xf numFmtId="0" fontId="17" fillId="11"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12" fillId="0" borderId="3" xfId="0" applyFont="1" applyFill="1" applyBorder="1" applyAlignment="1">
      <alignment horizontal="center" vertical="center" wrapText="1"/>
    </xf>
    <xf numFmtId="0" fontId="12" fillId="0" borderId="3" xfId="0" applyFont="1" applyFill="1" applyBorder="1" applyAlignment="1" applyProtection="1">
      <alignment horizontal="center" vertical="center"/>
      <protection locked="0"/>
    </xf>
    <xf numFmtId="0" fontId="12" fillId="0" borderId="0" xfId="0" applyFont="1"/>
    <xf numFmtId="0" fontId="15" fillId="2" borderId="9" xfId="0" applyFont="1" applyFill="1" applyBorder="1" applyAlignment="1">
      <alignment vertical="center"/>
    </xf>
    <xf numFmtId="0" fontId="12" fillId="2" borderId="3" xfId="0" applyFont="1" applyFill="1" applyBorder="1" applyAlignment="1" applyProtection="1">
      <alignment horizontal="center" vertical="center"/>
      <protection locked="0"/>
    </xf>
    <xf numFmtId="0" fontId="12" fillId="0" borderId="3" xfId="0" applyFont="1" applyBorder="1" applyAlignment="1">
      <alignment horizontal="center" vertical="center"/>
    </xf>
    <xf numFmtId="0" fontId="12" fillId="0" borderId="0" xfId="0" applyFont="1" applyAlignment="1">
      <alignment wrapText="1"/>
    </xf>
    <xf numFmtId="0" fontId="15" fillId="2" borderId="2" xfId="0" applyFont="1" applyFill="1" applyBorder="1" applyAlignment="1">
      <alignment vertical="center"/>
    </xf>
    <xf numFmtId="0" fontId="15" fillId="2" borderId="8" xfId="0" applyFont="1" applyFill="1" applyBorder="1" applyAlignment="1">
      <alignment vertical="center"/>
    </xf>
    <xf numFmtId="165" fontId="12" fillId="2" borderId="3" xfId="0" applyNumberFormat="1" applyFont="1" applyFill="1" applyBorder="1" applyAlignment="1" applyProtection="1">
      <alignment horizontal="center" vertical="top"/>
      <protection locked="0"/>
    </xf>
    <xf numFmtId="0" fontId="12" fillId="0" borderId="3" xfId="0" applyFont="1" applyFill="1" applyBorder="1" applyAlignment="1">
      <alignment horizontal="left" vertical="center" wrapText="1"/>
    </xf>
    <xf numFmtId="0" fontId="20" fillId="11" borderId="0" xfId="0" applyFont="1" applyFill="1" applyBorder="1" applyAlignment="1" applyProtection="1">
      <alignment horizontal="center" vertical="center"/>
      <protection locked="0"/>
    </xf>
    <xf numFmtId="0" fontId="15" fillId="2" borderId="9" xfId="0" applyFont="1" applyFill="1" applyBorder="1" applyAlignment="1">
      <alignment horizontal="center" vertical="center"/>
    </xf>
    <xf numFmtId="0" fontId="12"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15" fillId="11" borderId="0" xfId="0" applyFont="1" applyFill="1" applyBorder="1" applyAlignment="1" applyProtection="1">
      <alignment vertical="center" wrapText="1"/>
      <protection locked="0"/>
    </xf>
    <xf numFmtId="0" fontId="15" fillId="0" borderId="0" xfId="0" applyFont="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Border="1" applyAlignment="1">
      <alignment wrapText="1"/>
    </xf>
    <xf numFmtId="0" fontId="12" fillId="0" borderId="0" xfId="0" applyFont="1" applyBorder="1" applyAlignment="1">
      <alignment vertical="center"/>
    </xf>
    <xf numFmtId="0" fontId="12" fillId="0" borderId="0" xfId="0" applyFont="1" applyAlignment="1">
      <alignment vertical="center"/>
    </xf>
    <xf numFmtId="0" fontId="12" fillId="0" borderId="0" xfId="0" applyFont="1" applyBorder="1" applyAlignment="1">
      <alignment horizontal="left" vertical="center"/>
    </xf>
    <xf numFmtId="0" fontId="12" fillId="0" borderId="0" xfId="0" applyFont="1" applyAlignment="1">
      <alignment horizontal="center" vertical="center"/>
    </xf>
    <xf numFmtId="0" fontId="12" fillId="0" borderId="0" xfId="0" applyFont="1" applyAlignment="1" applyProtection="1">
      <alignment vertical="center"/>
      <protection locked="0"/>
    </xf>
    <xf numFmtId="0" fontId="12" fillId="0" borderId="5" xfId="0" applyFont="1" applyBorder="1" applyAlignment="1" applyProtection="1">
      <alignment vertical="center"/>
      <protection locked="0"/>
    </xf>
    <xf numFmtId="0" fontId="12" fillId="0" borderId="3" xfId="0" applyFont="1" applyBorder="1" applyAlignment="1">
      <alignment vertical="center" wrapText="1"/>
    </xf>
    <xf numFmtId="0" fontId="12" fillId="0" borderId="3" xfId="0" applyFont="1" applyBorder="1" applyAlignment="1">
      <alignment horizontal="left" vertical="center" wrapText="1"/>
    </xf>
    <xf numFmtId="0" fontId="12" fillId="0" borderId="3" xfId="0" applyFont="1" applyFill="1" applyBorder="1" applyAlignment="1">
      <alignment vertical="center" wrapText="1"/>
    </xf>
    <xf numFmtId="0" fontId="12" fillId="0" borderId="0" xfId="0" applyFont="1" applyBorder="1" applyAlignment="1">
      <alignment horizontal="left"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20" fillId="11" borderId="0" xfId="0" applyFont="1" applyFill="1" applyBorder="1" applyAlignment="1" applyProtection="1">
      <alignment vertical="center" wrapText="1"/>
      <protection locked="0"/>
    </xf>
    <xf numFmtId="0" fontId="15" fillId="2" borderId="9" xfId="0" applyFont="1" applyFill="1" applyBorder="1" applyAlignment="1">
      <alignment vertical="center" wrapText="1"/>
    </xf>
    <xf numFmtId="0" fontId="12" fillId="0" borderId="8" xfId="0" applyFont="1" applyBorder="1" applyAlignment="1">
      <alignment horizontal="left" vertical="center" wrapText="1"/>
    </xf>
    <xf numFmtId="0" fontId="12" fillId="0" borderId="8" xfId="0" applyFont="1" applyBorder="1" applyAlignment="1">
      <alignment horizontal="center" vertical="center" wrapText="1"/>
    </xf>
    <xf numFmtId="165" fontId="12" fillId="2" borderId="3" xfId="0" applyNumberFormat="1" applyFont="1" applyFill="1" applyBorder="1" applyAlignment="1" applyProtection="1">
      <alignment horizontal="center" vertical="top"/>
    </xf>
    <xf numFmtId="165" fontId="12" fillId="3" borderId="3" xfId="0" applyNumberFormat="1" applyFont="1" applyFill="1" applyBorder="1" applyAlignment="1" applyProtection="1">
      <alignment horizontal="center" vertical="top"/>
    </xf>
    <xf numFmtId="165" fontId="27" fillId="3" borderId="3" xfId="0" applyNumberFormat="1" applyFont="1" applyFill="1" applyBorder="1" applyAlignment="1" applyProtection="1">
      <alignment horizontal="center" vertical="top"/>
    </xf>
    <xf numFmtId="165" fontId="12" fillId="2" borderId="0" xfId="17" applyNumberFormat="1" applyFont="1" applyFill="1" applyBorder="1" applyAlignment="1">
      <alignment horizontal="center" vertical="center"/>
    </xf>
    <xf numFmtId="165" fontId="12" fillId="3" borderId="0" xfId="0" applyNumberFormat="1" applyFont="1" applyFill="1" applyBorder="1" applyAlignment="1">
      <alignment horizontal="center" vertical="center"/>
    </xf>
    <xf numFmtId="165" fontId="24" fillId="3" borderId="0" xfId="0" applyNumberFormat="1" applyFont="1" applyFill="1" applyBorder="1" applyAlignment="1">
      <alignment horizontal="center" vertical="center"/>
    </xf>
    <xf numFmtId="165" fontId="12" fillId="2" borderId="0" xfId="0" applyNumberFormat="1" applyFont="1" applyFill="1" applyBorder="1" applyAlignment="1" applyProtection="1">
      <alignment horizontal="center" vertical="center"/>
    </xf>
    <xf numFmtId="165" fontId="12" fillId="3" borderId="0" xfId="0" applyNumberFormat="1" applyFont="1" applyFill="1" applyBorder="1" applyAlignment="1" applyProtection="1">
      <alignment horizontal="center" vertical="center"/>
    </xf>
    <xf numFmtId="165" fontId="27" fillId="3" borderId="0" xfId="0" applyNumberFormat="1" applyFont="1" applyFill="1" applyBorder="1" applyAlignment="1" applyProtection="1">
      <alignment horizontal="center" vertical="center"/>
    </xf>
    <xf numFmtId="0" fontId="10" fillId="0" borderId="3" xfId="0" applyFont="1" applyBorder="1" applyAlignment="1">
      <alignment wrapText="1"/>
    </xf>
    <xf numFmtId="0" fontId="10" fillId="0" borderId="3" xfId="0" applyFont="1" applyBorder="1"/>
    <xf numFmtId="0" fontId="12" fillId="0" borderId="0" xfId="0" applyFont="1" applyAlignment="1">
      <alignment horizontal="left"/>
    </xf>
    <xf numFmtId="165" fontId="7" fillId="2" borderId="4" xfId="0" applyNumberFormat="1" applyFont="1" applyFill="1" applyBorder="1" applyAlignment="1" applyProtection="1">
      <alignment horizontal="center" vertical="top"/>
      <protection locked="0"/>
    </xf>
    <xf numFmtId="0" fontId="12" fillId="0" borderId="3" xfId="0" applyFont="1" applyBorder="1" applyAlignment="1">
      <alignment wrapText="1"/>
    </xf>
    <xf numFmtId="0" fontId="12" fillId="0" borderId="3" xfId="0" applyFont="1" applyBorder="1"/>
    <xf numFmtId="0" fontId="12" fillId="0" borderId="3" xfId="0" applyFont="1" applyBorder="1" applyAlignment="1">
      <alignment horizontal="center" wrapText="1"/>
    </xf>
    <xf numFmtId="0" fontId="12" fillId="0" borderId="3" xfId="0" applyFont="1" applyBorder="1" applyAlignment="1">
      <alignment horizontal="center"/>
    </xf>
    <xf numFmtId="0" fontId="12" fillId="0" borderId="3" xfId="0" applyFont="1" applyBorder="1" applyAlignment="1">
      <alignment horizontal="left" wrapText="1"/>
    </xf>
    <xf numFmtId="0" fontId="12" fillId="0" borderId="0" xfId="0" applyFont="1" applyBorder="1" applyAlignment="1">
      <alignment horizontal="left" wrapText="1"/>
    </xf>
    <xf numFmtId="0" fontId="10" fillId="0" borderId="3" xfId="0" applyFont="1" applyBorder="1" applyAlignment="1">
      <alignment horizontal="center" vertical="top"/>
    </xf>
    <xf numFmtId="0" fontId="12" fillId="0" borderId="0" xfId="0" applyFont="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2" fillId="0" borderId="2" xfId="0" applyFont="1" applyBorder="1" applyAlignment="1">
      <alignment vertical="center"/>
    </xf>
    <xf numFmtId="0" fontId="12" fillId="2" borderId="3" xfId="0" applyFont="1" applyFill="1" applyBorder="1" applyAlignment="1">
      <alignment horizontal="center" vertical="center" wrapText="1"/>
    </xf>
    <xf numFmtId="0" fontId="15" fillId="2" borderId="2" xfId="0" applyFont="1" applyFill="1" applyBorder="1" applyAlignment="1">
      <alignment horizontal="left" vertical="center"/>
    </xf>
    <xf numFmtId="0" fontId="27" fillId="0" borderId="3" xfId="46" applyFont="1" applyFill="1" applyBorder="1" applyAlignment="1">
      <alignment horizontal="left" vertical="center" wrapText="1"/>
    </xf>
    <xf numFmtId="0" fontId="12" fillId="0" borderId="3" xfId="0" applyFont="1" applyBorder="1" applyProtection="1">
      <protection locked="0"/>
    </xf>
    <xf numFmtId="165" fontId="12" fillId="18" borderId="3" xfId="0" applyNumberFormat="1" applyFont="1" applyFill="1" applyBorder="1" applyAlignment="1" applyProtection="1">
      <alignment horizontal="center" vertical="top"/>
      <protection locked="0"/>
    </xf>
    <xf numFmtId="165" fontId="12" fillId="15" borderId="3" xfId="0" applyNumberFormat="1" applyFont="1" applyFill="1" applyBorder="1" applyAlignment="1" applyProtection="1">
      <alignment horizontal="center" vertical="top"/>
      <protection locked="0"/>
    </xf>
    <xf numFmtId="165" fontId="12" fillId="15" borderId="3" xfId="0" applyNumberFormat="1" applyFont="1" applyFill="1" applyBorder="1" applyAlignment="1" applyProtection="1">
      <alignment horizontal="center" vertical="top"/>
    </xf>
    <xf numFmtId="165" fontId="27" fillId="27" borderId="3" xfId="0" applyNumberFormat="1" applyFont="1" applyFill="1" applyBorder="1" applyAlignment="1" applyProtection="1">
      <alignment horizontal="center" vertical="top"/>
    </xf>
    <xf numFmtId="165" fontId="12" fillId="18" borderId="3" xfId="0" applyNumberFormat="1" applyFont="1" applyFill="1" applyBorder="1" applyAlignment="1" applyProtection="1">
      <alignment horizontal="center" vertical="top"/>
    </xf>
    <xf numFmtId="165" fontId="12" fillId="21" borderId="3" xfId="0" applyNumberFormat="1" applyFont="1" applyFill="1" applyBorder="1" applyAlignment="1" applyProtection="1">
      <alignment horizontal="center" vertical="top"/>
    </xf>
    <xf numFmtId="165" fontId="27" fillId="20" borderId="3" xfId="0" applyNumberFormat="1" applyFont="1" applyFill="1" applyBorder="1" applyAlignment="1" applyProtection="1">
      <alignment horizontal="center" vertical="top"/>
    </xf>
    <xf numFmtId="165" fontId="12" fillId="17" borderId="3" xfId="0" applyNumberFormat="1" applyFont="1" applyFill="1" applyBorder="1" applyAlignment="1" applyProtection="1">
      <alignment horizontal="center" vertical="top"/>
      <protection locked="0"/>
    </xf>
    <xf numFmtId="165" fontId="12" fillId="17" borderId="3" xfId="0" applyNumberFormat="1" applyFont="1" applyFill="1" applyBorder="1" applyAlignment="1" applyProtection="1">
      <alignment horizontal="center" vertical="top"/>
    </xf>
    <xf numFmtId="165" fontId="27" fillId="26" borderId="3" xfId="0" applyNumberFormat="1" applyFont="1" applyFill="1" applyBorder="1" applyAlignment="1" applyProtection="1">
      <alignment horizontal="center" vertical="top"/>
    </xf>
    <xf numFmtId="165" fontId="12" fillId="16" borderId="3" xfId="0" applyNumberFormat="1" applyFont="1" applyFill="1" applyBorder="1" applyAlignment="1" applyProtection="1">
      <alignment horizontal="center" vertical="top"/>
      <protection locked="0"/>
    </xf>
    <xf numFmtId="165" fontId="12" fillId="16" borderId="3" xfId="0" applyNumberFormat="1" applyFont="1" applyFill="1" applyBorder="1" applyAlignment="1" applyProtection="1">
      <alignment horizontal="center" vertical="top"/>
    </xf>
    <xf numFmtId="165" fontId="27" fillId="25" borderId="3" xfId="0" applyNumberFormat="1" applyFont="1" applyFill="1" applyBorder="1" applyAlignment="1" applyProtection="1">
      <alignment horizontal="center" vertical="top"/>
    </xf>
    <xf numFmtId="165" fontId="12" fillId="19" borderId="3" xfId="0" applyNumberFormat="1" applyFont="1" applyFill="1" applyBorder="1" applyAlignment="1" applyProtection="1">
      <alignment horizontal="center" vertical="top"/>
    </xf>
    <xf numFmtId="165" fontId="27" fillId="24" borderId="3" xfId="0" applyNumberFormat="1" applyFont="1" applyFill="1" applyBorder="1" applyAlignment="1" applyProtection="1">
      <alignment horizontal="center" vertical="top"/>
    </xf>
    <xf numFmtId="165" fontId="12" fillId="27" borderId="3" xfId="0" applyNumberFormat="1" applyFont="1" applyFill="1" applyBorder="1" applyAlignment="1" applyProtection="1">
      <alignment horizontal="center" vertical="top"/>
    </xf>
    <xf numFmtId="0" fontId="15" fillId="0" borderId="0" xfId="0" applyFont="1" applyFill="1" applyBorder="1" applyAlignment="1" applyProtection="1">
      <alignment vertical="center"/>
      <protection locked="0"/>
    </xf>
    <xf numFmtId="0" fontId="15" fillId="2" borderId="8" xfId="0" applyFont="1" applyFill="1" applyBorder="1" applyAlignment="1">
      <alignment horizontal="center" vertical="center"/>
    </xf>
    <xf numFmtId="0" fontId="15" fillId="2" borderId="9" xfId="0" applyFont="1" applyFill="1" applyBorder="1" applyAlignment="1">
      <alignment horizontal="left" vertical="center"/>
    </xf>
    <xf numFmtId="0" fontId="12" fillId="2" borderId="11" xfId="0" applyFont="1" applyFill="1" applyBorder="1" applyAlignment="1">
      <alignment horizontal="center" vertical="center" wrapText="1"/>
    </xf>
    <xf numFmtId="0" fontId="0" fillId="0" borderId="0" xfId="0"/>
    <xf numFmtId="0" fontId="12" fillId="2" borderId="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0" fillId="0" borderId="3" xfId="0" applyBorder="1" applyAlignment="1">
      <alignment vertical="center" wrapText="1"/>
    </xf>
    <xf numFmtId="0" fontId="0" fillId="0" borderId="0" xfId="0" applyAlignment="1" applyProtection="1">
      <alignment vertical="center"/>
      <protection locked="0"/>
    </xf>
    <xf numFmtId="0" fontId="10" fillId="0" borderId="0" xfId="0" applyFont="1" applyAlignment="1">
      <alignment vertical="center"/>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xf>
    <xf numFmtId="0" fontId="0" fillId="0" borderId="0" xfId="0" applyAlignment="1">
      <alignment vertical="center"/>
    </xf>
    <xf numFmtId="0" fontId="0" fillId="0" borderId="0" xfId="0" applyAlignment="1">
      <alignment vertical="center" wrapText="1"/>
    </xf>
    <xf numFmtId="0" fontId="15" fillId="2" borderId="2" xfId="0" applyFont="1" applyFill="1" applyBorder="1" applyAlignment="1">
      <alignment horizontal="center" vertical="center"/>
    </xf>
    <xf numFmtId="0" fontId="12"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left" wrapText="1"/>
    </xf>
    <xf numFmtId="0" fontId="0" fillId="0" borderId="11" xfId="0" applyBorder="1" applyAlignment="1">
      <alignment wrapText="1"/>
    </xf>
    <xf numFmtId="0" fontId="27" fillId="0" borderId="0" xfId="46" applyFont="1" applyFill="1" applyBorder="1" applyAlignment="1">
      <alignment horizontal="left" vertical="center" wrapText="1"/>
    </xf>
    <xf numFmtId="0" fontId="12" fillId="0" borderId="0" xfId="0" applyFont="1" applyFill="1" applyBorder="1" applyAlignment="1" applyProtection="1">
      <alignment horizontal="center" vertical="center"/>
      <protection locked="0"/>
    </xf>
    <xf numFmtId="165" fontId="12" fillId="0" borderId="0" xfId="0" applyNumberFormat="1" applyFont="1" applyFill="1" applyBorder="1" applyAlignment="1" applyProtection="1">
      <alignment horizontal="center" vertical="top"/>
      <protection locked="0"/>
    </xf>
    <xf numFmtId="165" fontId="12" fillId="0" borderId="0" xfId="0" applyNumberFormat="1" applyFont="1" applyFill="1" applyBorder="1" applyAlignment="1" applyProtection="1">
      <alignment horizontal="center" vertical="top"/>
    </xf>
    <xf numFmtId="165" fontId="27" fillId="0" borderId="0" xfId="0" applyNumberFormat="1" applyFont="1" applyFill="1" applyBorder="1" applyAlignment="1" applyProtection="1">
      <alignment horizontal="center" vertical="top"/>
    </xf>
    <xf numFmtId="0" fontId="12" fillId="0" borderId="0" xfId="0" applyFont="1" applyFill="1" applyBorder="1" applyProtection="1">
      <protection locked="0"/>
    </xf>
    <xf numFmtId="0" fontId="0" fillId="0" borderId="0" xfId="0"/>
    <xf numFmtId="0" fontId="8" fillId="11" borderId="9"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3" fillId="0" borderId="8" xfId="0" applyFont="1" applyBorder="1"/>
    <xf numFmtId="0" fontId="10" fillId="0" borderId="0" xfId="0" applyFont="1" applyFill="1" applyBorder="1" applyAlignment="1">
      <alignment vertical="center" wrapText="1"/>
    </xf>
    <xf numFmtId="0" fontId="10" fillId="0" borderId="0" xfId="0" applyFont="1" applyBorder="1" applyAlignment="1">
      <alignment horizontal="center" vertical="center"/>
    </xf>
    <xf numFmtId="165" fontId="10" fillId="2" borderId="0" xfId="0" applyNumberFormat="1" applyFont="1" applyFill="1" applyBorder="1" applyAlignment="1">
      <alignment horizontal="center" vertical="center"/>
    </xf>
    <xf numFmtId="165" fontId="10" fillId="0" borderId="0" xfId="0" applyNumberFormat="1" applyFont="1" applyFill="1" applyBorder="1" applyAlignment="1">
      <alignment horizontal="center" vertical="center"/>
    </xf>
    <xf numFmtId="165" fontId="9" fillId="0" borderId="0" xfId="0" applyNumberFormat="1" applyFont="1" applyFill="1" applyBorder="1" applyAlignment="1">
      <alignment horizontal="center" vertical="center"/>
    </xf>
    <xf numFmtId="165" fontId="9" fillId="2" borderId="0" xfId="0" applyNumberFormat="1" applyFont="1" applyFill="1" applyBorder="1" applyAlignment="1" applyProtection="1">
      <alignment horizontal="center" vertical="center"/>
      <protection locked="0"/>
    </xf>
    <xf numFmtId="165" fontId="9" fillId="0" borderId="0" xfId="0" applyNumberFormat="1" applyFont="1" applyFill="1" applyBorder="1" applyAlignment="1" applyProtection="1">
      <alignment horizontal="center" vertical="center"/>
      <protection locked="0"/>
    </xf>
    <xf numFmtId="0" fontId="10" fillId="0" borderId="0" xfId="0" applyFont="1" applyFill="1" applyBorder="1" applyAlignment="1">
      <alignment horizontal="center" vertical="center" wrapText="1"/>
    </xf>
    <xf numFmtId="165" fontId="10" fillId="0" borderId="0" xfId="21" applyNumberFormat="1" applyFont="1" applyFill="1" applyBorder="1" applyAlignment="1">
      <alignment horizontal="center" vertical="center"/>
    </xf>
    <xf numFmtId="165" fontId="10" fillId="0" borderId="0" xfId="21" applyNumberFormat="1" applyFont="1" applyFill="1" applyBorder="1" applyAlignment="1" applyProtection="1">
      <alignment horizontal="center" vertical="center"/>
      <protection locked="0"/>
    </xf>
    <xf numFmtId="0" fontId="12" fillId="12" borderId="0" xfId="0" applyFont="1" applyFill="1" applyBorder="1" applyAlignment="1">
      <alignment horizontal="center" vertical="center" wrapText="1"/>
    </xf>
    <xf numFmtId="0" fontId="12" fillId="12" borderId="0" xfId="0" applyFont="1" applyFill="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30"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10" fillId="11" borderId="3" xfId="0" applyFont="1" applyFill="1" applyBorder="1" applyAlignment="1">
      <alignment horizontal="left" vertical="center" wrapText="1"/>
    </xf>
    <xf numFmtId="0" fontId="8" fillId="11" borderId="3" xfId="0" applyFont="1" applyFill="1" applyBorder="1" applyAlignment="1">
      <alignment horizontal="center" vertical="center" wrapText="1"/>
    </xf>
    <xf numFmtId="165" fontId="10" fillId="11"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11" borderId="1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12" fillId="0" borderId="0" xfId="0" applyFont="1" applyProtection="1">
      <protection locked="0"/>
    </xf>
    <xf numFmtId="0" fontId="12" fillId="11" borderId="0" xfId="0" applyFont="1" applyFill="1" applyBorder="1" applyAlignment="1">
      <alignment horizontal="center" vertical="center" wrapText="1"/>
    </xf>
    <xf numFmtId="0" fontId="12" fillId="2" borderId="0" xfId="0" applyFont="1" applyFill="1" applyBorder="1" applyAlignment="1" applyProtection="1">
      <alignment horizontal="center" vertical="center"/>
      <protection locked="0"/>
    </xf>
    <xf numFmtId="165" fontId="12" fillId="2" borderId="0" xfId="0" applyNumberFormat="1" applyFont="1" applyFill="1" applyBorder="1" applyAlignment="1" applyProtection="1">
      <alignment horizontal="center" vertical="center"/>
      <protection locked="0"/>
    </xf>
    <xf numFmtId="0" fontId="27" fillId="0" borderId="0" xfId="46" applyFont="1" applyFill="1" applyBorder="1" applyAlignment="1">
      <alignment horizontal="left" vertical="center"/>
    </xf>
    <xf numFmtId="165" fontId="12" fillId="11" borderId="0" xfId="0" applyNumberFormat="1" applyFont="1" applyFill="1" applyBorder="1" applyAlignment="1" applyProtection="1">
      <alignment horizontal="center" vertical="center"/>
      <protection locked="0"/>
    </xf>
    <xf numFmtId="165" fontId="24" fillId="3" borderId="0" xfId="0" applyNumberFormat="1" applyFont="1" applyFill="1" applyBorder="1" applyAlignment="1" applyProtection="1">
      <alignment horizontal="center" vertical="center"/>
    </xf>
    <xf numFmtId="0" fontId="24" fillId="0" borderId="0" xfId="0" applyFont="1" applyBorder="1" applyAlignment="1">
      <alignment horizontal="left" vertical="center"/>
    </xf>
    <xf numFmtId="0" fontId="8" fillId="14"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16" borderId="3" xfId="0" applyFont="1" applyFill="1" applyBorder="1" applyAlignment="1">
      <alignment horizontal="center" vertical="center" wrapText="1"/>
    </xf>
    <xf numFmtId="0" fontId="8" fillId="15" borderId="3" xfId="0" applyFont="1" applyFill="1" applyBorder="1" applyAlignment="1">
      <alignment horizontal="center" vertical="center" textRotation="90" wrapText="1"/>
    </xf>
    <xf numFmtId="0" fontId="8" fillId="19" borderId="3" xfId="0" applyFont="1" applyFill="1" applyBorder="1" applyAlignment="1">
      <alignment horizontal="center" vertical="center" textRotation="90" wrapText="1"/>
    </xf>
    <xf numFmtId="0" fontId="8" fillId="16" borderId="3" xfId="0" applyFont="1" applyFill="1" applyBorder="1" applyAlignment="1">
      <alignment horizontal="center" vertical="center" textRotation="90" wrapText="1"/>
    </xf>
    <xf numFmtId="0" fontId="8" fillId="17" borderId="3" xfId="0" applyFont="1" applyFill="1" applyBorder="1" applyAlignment="1">
      <alignment horizontal="center" vertical="center" textRotation="90" wrapText="1"/>
    </xf>
    <xf numFmtId="0" fontId="8" fillId="18" borderId="3" xfId="0" applyFont="1" applyFill="1" applyBorder="1" applyAlignment="1">
      <alignment horizontal="center" vertical="center" textRotation="90" wrapText="1"/>
    </xf>
    <xf numFmtId="165" fontId="12" fillId="0" borderId="0" xfId="0" applyNumberFormat="1" applyFont="1" applyFill="1" applyBorder="1" applyAlignment="1" applyProtection="1">
      <alignment horizontal="center" vertical="center"/>
    </xf>
    <xf numFmtId="165" fontId="27" fillId="0" borderId="0" xfId="0" applyNumberFormat="1" applyFont="1" applyFill="1" applyBorder="1" applyAlignment="1" applyProtection="1">
      <alignment horizontal="center" vertical="center"/>
    </xf>
    <xf numFmtId="165" fontId="34" fillId="15" borderId="3" xfId="0" applyNumberFormat="1" applyFont="1" applyFill="1" applyBorder="1" applyAlignment="1" applyProtection="1">
      <alignment horizontal="left" vertical="center"/>
      <protection locked="0"/>
    </xf>
    <xf numFmtId="0" fontId="34" fillId="19" borderId="3" xfId="0" applyFont="1" applyFill="1" applyBorder="1" applyAlignment="1">
      <alignment horizontal="left" vertical="center" wrapText="1"/>
    </xf>
    <xf numFmtId="0" fontId="34" fillId="16" borderId="3" xfId="0" applyFont="1" applyFill="1" applyBorder="1" applyAlignment="1">
      <alignment horizontal="left" vertical="center" wrapText="1"/>
    </xf>
    <xf numFmtId="0" fontId="34" fillId="17" borderId="3" xfId="0" applyFont="1" applyFill="1" applyBorder="1" applyAlignment="1">
      <alignment horizontal="left" vertical="center" wrapText="1"/>
    </xf>
    <xf numFmtId="0" fontId="34" fillId="18" borderId="3" xfId="0" applyFont="1" applyFill="1" applyBorder="1" applyAlignment="1">
      <alignment horizontal="left" vertical="center" wrapText="1"/>
    </xf>
    <xf numFmtId="0" fontId="33" fillId="14" borderId="8" xfId="0" applyFont="1" applyFill="1" applyBorder="1" applyAlignment="1">
      <alignment horizontal="center" vertical="center" wrapText="1"/>
    </xf>
    <xf numFmtId="0" fontId="33" fillId="14" borderId="3" xfId="0" applyFont="1" applyFill="1" applyBorder="1" applyAlignment="1">
      <alignment vertical="center" wrapText="1"/>
    </xf>
    <xf numFmtId="0" fontId="34" fillId="14" borderId="3" xfId="0" applyFont="1" applyFill="1" applyBorder="1" applyAlignment="1">
      <alignment horizontal="left" vertical="center" wrapText="1"/>
    </xf>
    <xf numFmtId="0" fontId="34" fillId="0" borderId="3" xfId="0" applyFont="1" applyBorder="1" applyAlignment="1">
      <alignment horizontal="center" vertical="center"/>
    </xf>
    <xf numFmtId="0" fontId="34" fillId="14" borderId="3" xfId="0" applyFont="1" applyFill="1" applyBorder="1" applyAlignment="1">
      <alignment horizontal="center" vertical="center"/>
    </xf>
    <xf numFmtId="0" fontId="37" fillId="14" borderId="3" xfId="0" applyFont="1" applyFill="1" applyBorder="1" applyAlignment="1">
      <alignment horizontal="center" vertical="center" wrapText="1"/>
    </xf>
    <xf numFmtId="0" fontId="36" fillId="0" borderId="3" xfId="0" applyFont="1" applyBorder="1" applyAlignment="1">
      <alignment horizontal="center" vertical="center"/>
    </xf>
    <xf numFmtId="0" fontId="36" fillId="0" borderId="3" xfId="0" applyFont="1" applyBorder="1" applyAlignment="1">
      <alignment horizontal="center" vertical="center" wrapText="1"/>
    </xf>
    <xf numFmtId="0" fontId="34" fillId="0" borderId="3" xfId="0" applyFont="1" applyBorder="1" applyAlignment="1">
      <alignment horizontal="center" vertical="center" wrapText="1"/>
    </xf>
    <xf numFmtId="165" fontId="34" fillId="15" borderId="12" xfId="0" applyNumberFormat="1" applyFont="1" applyFill="1" applyBorder="1" applyAlignment="1" applyProtection="1">
      <alignment horizontal="left" vertical="center"/>
      <protection locked="0"/>
    </xf>
    <xf numFmtId="0" fontId="36" fillId="0" borderId="12" xfId="0" applyFont="1" applyBorder="1" applyAlignment="1">
      <alignment horizontal="center" vertical="center"/>
    </xf>
    <xf numFmtId="0" fontId="34" fillId="0" borderId="12" xfId="0" applyFont="1" applyBorder="1" applyAlignment="1">
      <alignment horizontal="center" vertical="center"/>
    </xf>
    <xf numFmtId="0" fontId="35" fillId="14" borderId="3" xfId="0" applyFont="1" applyFill="1" applyBorder="1" applyAlignment="1">
      <alignment horizontal="center" vertical="center"/>
    </xf>
    <xf numFmtId="0" fontId="38" fillId="0" borderId="12" xfId="0" applyFont="1" applyBorder="1" applyAlignment="1">
      <alignment horizontal="center" vertical="center"/>
    </xf>
    <xf numFmtId="0" fontId="38" fillId="0" borderId="3" xfId="0" applyFont="1" applyBorder="1" applyAlignment="1">
      <alignment horizontal="center" vertical="center" wrapText="1"/>
    </xf>
    <xf numFmtId="0" fontId="38" fillId="0" borderId="3" xfId="0" applyFont="1" applyBorder="1" applyAlignment="1">
      <alignment horizontal="center" vertical="center"/>
    </xf>
    <xf numFmtId="0" fontId="34" fillId="12" borderId="3" xfId="0" applyFont="1" applyFill="1" applyBorder="1" applyAlignment="1">
      <alignment horizontal="left" vertical="center" wrapText="1"/>
    </xf>
    <xf numFmtId="0" fontId="34" fillId="12" borderId="3" xfId="0" applyFont="1" applyFill="1" applyBorder="1" applyAlignment="1">
      <alignment horizontal="center" vertical="center"/>
    </xf>
    <xf numFmtId="0" fontId="34" fillId="29" borderId="3" xfId="0" applyFont="1" applyFill="1" applyBorder="1" applyAlignment="1">
      <alignment horizontal="left" vertical="center" wrapText="1"/>
    </xf>
    <xf numFmtId="0" fontId="34" fillId="29" borderId="3" xfId="0" applyFont="1" applyFill="1" applyBorder="1" applyAlignment="1">
      <alignment horizontal="center" vertical="center"/>
    </xf>
    <xf numFmtId="0" fontId="35" fillId="29" borderId="3" xfId="0" applyFont="1" applyFill="1" applyBorder="1" applyAlignment="1">
      <alignment horizontal="center" vertical="center"/>
    </xf>
    <xf numFmtId="1" fontId="10" fillId="29" borderId="3" xfId="0" applyNumberFormat="1" applyFont="1" applyFill="1" applyBorder="1" applyAlignment="1">
      <alignment horizontal="center" vertical="center" wrapText="1"/>
    </xf>
    <xf numFmtId="165" fontId="10" fillId="29" borderId="3" xfId="0" applyNumberFormat="1" applyFont="1" applyFill="1" applyBorder="1" applyAlignment="1">
      <alignment horizontal="center" vertical="center"/>
    </xf>
    <xf numFmtId="0" fontId="10" fillId="29" borderId="3" xfId="0" applyFont="1" applyFill="1" applyBorder="1" applyAlignment="1">
      <alignment horizontal="center" vertical="center"/>
    </xf>
    <xf numFmtId="1" fontId="10" fillId="29" borderId="3" xfId="0" applyNumberFormat="1" applyFont="1" applyFill="1" applyBorder="1" applyAlignment="1">
      <alignment horizontal="center" vertical="center"/>
    </xf>
    <xf numFmtId="3" fontId="10" fillId="29" borderId="3" xfId="0" applyNumberFormat="1" applyFont="1" applyFill="1" applyBorder="1" applyAlignment="1">
      <alignment horizontal="center" vertical="center"/>
    </xf>
    <xf numFmtId="0" fontId="10" fillId="0" borderId="3"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35" fillId="0" borderId="3" xfId="0" applyFont="1" applyFill="1" applyBorder="1" applyAlignment="1">
      <alignment horizontal="center" vertical="center" wrapText="1"/>
    </xf>
    <xf numFmtId="0" fontId="35" fillId="29" borderId="3" xfId="0" applyFont="1" applyFill="1" applyBorder="1" applyAlignment="1">
      <alignment horizontal="center" vertical="center" wrapText="1"/>
    </xf>
    <xf numFmtId="165" fontId="10" fillId="2" borderId="0" xfId="21" applyNumberFormat="1" applyFont="1" applyFill="1" applyBorder="1" applyAlignment="1" applyProtection="1">
      <alignment vertical="center"/>
      <protection locked="0"/>
    </xf>
    <xf numFmtId="0" fontId="12" fillId="0" borderId="3" xfId="0" applyFont="1" applyBorder="1" applyAlignment="1">
      <alignment horizontal="left" vertical="center" wrapText="1"/>
    </xf>
    <xf numFmtId="0" fontId="0" fillId="0" borderId="0" xfId="0" applyBorder="1" applyAlignment="1">
      <alignment vertical="center" wrapText="1"/>
    </xf>
    <xf numFmtId="0" fontId="24" fillId="11" borderId="0" xfId="0" applyFont="1" applyFill="1" applyBorder="1" applyAlignment="1">
      <alignment horizontal="center" vertical="center" wrapText="1"/>
    </xf>
    <xf numFmtId="0" fontId="12" fillId="11" borderId="0" xfId="0" applyFont="1" applyFill="1" applyBorder="1" applyAlignment="1" applyProtection="1">
      <alignment horizontal="center" vertical="center"/>
      <protection locked="0"/>
    </xf>
    <xf numFmtId="0" fontId="8" fillId="14" borderId="3" xfId="0" applyFont="1" applyFill="1" applyBorder="1" applyAlignment="1">
      <alignment horizontal="left" vertical="center"/>
    </xf>
    <xf numFmtId="0" fontId="45" fillId="0" borderId="0" xfId="0" applyFont="1" applyAlignment="1">
      <alignment horizontal="left"/>
    </xf>
    <xf numFmtId="0" fontId="45" fillId="0" borderId="0" xfId="0" applyFont="1"/>
    <xf numFmtId="165" fontId="5" fillId="2" borderId="0" xfId="0" applyNumberFormat="1" applyFont="1" applyFill="1" applyBorder="1" applyAlignment="1" applyProtection="1">
      <alignment horizontal="center" vertical="top"/>
      <protection locked="0"/>
    </xf>
    <xf numFmtId="0" fontId="10" fillId="0" borderId="0" xfId="0" applyFont="1" applyBorder="1" applyAlignment="1">
      <alignment horizontal="left" vertical="center"/>
    </xf>
    <xf numFmtId="0" fontId="10" fillId="0" borderId="0" xfId="0" applyFont="1" applyBorder="1" applyAlignment="1">
      <alignment horizontal="left"/>
    </xf>
    <xf numFmtId="0" fontId="10" fillId="0" borderId="23" xfId="0" applyFont="1" applyBorder="1" applyAlignment="1">
      <alignment vertical="center" wrapTex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1" fontId="8" fillId="0" borderId="3" xfId="0" applyNumberFormat="1" applyFont="1" applyFill="1" applyBorder="1" applyAlignment="1">
      <alignment horizontal="center" vertical="center" wrapText="1"/>
    </xf>
    <xf numFmtId="0" fontId="13" fillId="0" borderId="0" xfId="0" applyFont="1" applyAlignment="1"/>
    <xf numFmtId="0" fontId="28" fillId="7" borderId="3" xfId="0" applyFont="1" applyFill="1" applyBorder="1" applyAlignment="1" applyProtection="1">
      <alignment horizontal="center" vertical="center" wrapText="1"/>
      <protection locked="0"/>
    </xf>
    <xf numFmtId="0" fontId="15" fillId="4" borderId="3" xfId="0" applyFont="1" applyFill="1" applyBorder="1" applyAlignment="1" applyProtection="1">
      <alignment horizontal="center" vertical="center" wrapText="1"/>
      <protection locked="0"/>
    </xf>
    <xf numFmtId="0" fontId="15" fillId="2" borderId="3" xfId="0" applyFont="1" applyFill="1" applyBorder="1" applyAlignment="1">
      <alignment horizontal="center" vertical="center"/>
    </xf>
    <xf numFmtId="0" fontId="18" fillId="2"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15" fillId="5" borderId="3" xfId="0" applyFont="1" applyFill="1" applyBorder="1" applyAlignment="1" applyProtection="1">
      <alignment horizontal="center" vertical="center" wrapText="1"/>
      <protection locked="0"/>
    </xf>
    <xf numFmtId="0" fontId="15" fillId="11" borderId="3" xfId="0"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0" fontId="15" fillId="8" borderId="3" xfId="0" applyFont="1" applyFill="1" applyBorder="1" applyAlignment="1" applyProtection="1">
      <alignment horizontal="center" vertical="center" wrapText="1"/>
      <protection locked="0"/>
    </xf>
    <xf numFmtId="0" fontId="8" fillId="0" borderId="23" xfId="0" applyFont="1" applyBorder="1" applyAlignment="1">
      <alignment vertical="center" wrapText="1"/>
    </xf>
    <xf numFmtId="0" fontId="8" fillId="0" borderId="0" xfId="0" applyFont="1" applyBorder="1" applyAlignment="1">
      <alignment vertical="center" wrapText="1"/>
    </xf>
    <xf numFmtId="0" fontId="10" fillId="0" borderId="23" xfId="0" applyFont="1" applyBorder="1" applyAlignment="1">
      <alignment vertical="center" wrapText="1"/>
    </xf>
    <xf numFmtId="0" fontId="10" fillId="0" borderId="0" xfId="0" applyFont="1" applyBorder="1" applyAlignment="1">
      <alignment vertical="center" wrapTex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15" fillId="2" borderId="3" xfId="0" applyFont="1" applyFill="1" applyBorder="1" applyAlignment="1">
      <alignment horizontal="center" vertical="center" wrapText="1"/>
    </xf>
    <xf numFmtId="0" fontId="11" fillId="2" borderId="2" xfId="0" applyFont="1" applyFill="1" applyBorder="1" applyAlignment="1">
      <alignment horizontal="left" vertical="center"/>
    </xf>
    <xf numFmtId="0" fontId="15" fillId="0" borderId="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5" fillId="6" borderId="3" xfId="0" applyFont="1" applyFill="1" applyBorder="1" applyAlignment="1" applyProtection="1">
      <alignment horizontal="center" vertical="center" wrapText="1"/>
      <protection locked="0"/>
    </xf>
    <xf numFmtId="0" fontId="12" fillId="2"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2" fillId="11"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2" borderId="11" xfId="0" applyFont="1" applyFill="1" applyBorder="1" applyAlignment="1">
      <alignment horizontal="center" vertical="center" wrapText="1"/>
    </xf>
    <xf numFmtId="43" fontId="10" fillId="0" borderId="23" xfId="47" applyFont="1" applyBorder="1" applyAlignment="1">
      <alignment vertical="center" wrapText="1"/>
    </xf>
    <xf numFmtId="43" fontId="10" fillId="0" borderId="0" xfId="47" applyFont="1" applyBorder="1" applyAlignment="1">
      <alignment vertical="center" wrapText="1"/>
    </xf>
    <xf numFmtId="0" fontId="12" fillId="0" borderId="11" xfId="0" applyFont="1" applyBorder="1" applyAlignment="1">
      <alignment horizontal="center" vertical="center" wrapText="1"/>
    </xf>
    <xf numFmtId="0" fontId="15" fillId="2" borderId="2" xfId="0" applyFont="1" applyFill="1" applyBorder="1" applyAlignment="1">
      <alignment horizontal="left" vertical="center"/>
    </xf>
    <xf numFmtId="0" fontId="15" fillId="2" borderId="0" xfId="0" applyFont="1" applyFill="1" applyBorder="1" applyAlignment="1">
      <alignment horizontal="left" vertical="center"/>
    </xf>
    <xf numFmtId="0" fontId="13" fillId="0" borderId="0" xfId="0" applyFont="1" applyAlignment="1"/>
    <xf numFmtId="0" fontId="8"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Border="1" applyAlignment="1"/>
    <xf numFmtId="0" fontId="8" fillId="0" borderId="3" xfId="0" applyFont="1" applyFill="1" applyBorder="1" applyAlignment="1">
      <alignment horizontal="center" vertical="center"/>
    </xf>
    <xf numFmtId="0" fontId="8" fillId="11" borderId="3" xfId="0" applyFont="1" applyFill="1" applyBorder="1" applyAlignment="1">
      <alignment horizontal="center" vertical="center"/>
    </xf>
    <xf numFmtId="0" fontId="8" fillId="11" borderId="16" xfId="0" applyFont="1" applyFill="1" applyBorder="1" applyAlignment="1">
      <alignment horizontal="center" vertical="center"/>
    </xf>
    <xf numFmtId="0" fontId="10" fillId="11" borderId="9" xfId="0" applyFont="1" applyFill="1" applyBorder="1" applyAlignment="1">
      <alignment horizontal="center" vertical="center"/>
    </xf>
    <xf numFmtId="0" fontId="10" fillId="11" borderId="8" xfId="0" applyFont="1" applyFill="1" applyBorder="1" applyAlignment="1">
      <alignment horizontal="center" vertical="center"/>
    </xf>
    <xf numFmtId="0" fontId="8" fillId="11" borderId="9" xfId="0" applyFont="1" applyFill="1" applyBorder="1" applyAlignment="1">
      <alignment horizontal="center" vertical="center"/>
    </xf>
    <xf numFmtId="0" fontId="8" fillId="11" borderId="8" xfId="0" applyFont="1" applyFill="1" applyBorder="1" applyAlignment="1">
      <alignment horizontal="center" vertical="center"/>
    </xf>
    <xf numFmtId="0" fontId="20" fillId="0" borderId="17"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46" fillId="11" borderId="3" xfId="0" applyFont="1" applyFill="1" applyBorder="1" applyAlignment="1">
      <alignment horizontal="left" vertical="center" wrapText="1"/>
    </xf>
    <xf numFmtId="0" fontId="46" fillId="11" borderId="3" xfId="46" applyFont="1" applyFill="1" applyBorder="1" applyAlignment="1">
      <alignment horizontal="left" vertical="center" wrapText="1"/>
    </xf>
    <xf numFmtId="0" fontId="46" fillId="11" borderId="3" xfId="46" applyFont="1" applyFill="1" applyBorder="1" applyAlignment="1">
      <alignment horizontal="left" vertical="center"/>
    </xf>
    <xf numFmtId="0" fontId="46" fillId="11" borderId="3" xfId="0" applyFont="1" applyFill="1" applyBorder="1" applyAlignment="1" applyProtection="1">
      <alignment horizontal="center" vertical="center"/>
      <protection locked="0"/>
    </xf>
    <xf numFmtId="165" fontId="46" fillId="11" borderId="3" xfId="0" applyNumberFormat="1" applyFont="1" applyFill="1" applyBorder="1" applyAlignment="1" applyProtection="1">
      <alignment horizontal="center" vertical="center"/>
      <protection locked="0"/>
    </xf>
    <xf numFmtId="165" fontId="46" fillId="11" borderId="3" xfId="0" applyNumberFormat="1" applyFont="1" applyFill="1" applyBorder="1" applyAlignment="1" applyProtection="1">
      <alignment horizontal="center" vertical="center"/>
    </xf>
    <xf numFmtId="165" fontId="46" fillId="13" borderId="3" xfId="0" applyNumberFormat="1" applyFont="1" applyFill="1" applyBorder="1" applyAlignment="1" applyProtection="1">
      <alignment horizontal="center" vertical="center"/>
    </xf>
    <xf numFmtId="165" fontId="47" fillId="11" borderId="3" xfId="0" applyNumberFormat="1" applyFont="1" applyFill="1" applyBorder="1" applyAlignment="1" applyProtection="1">
      <alignment horizontal="center" vertical="center"/>
      <protection locked="0"/>
    </xf>
    <xf numFmtId="165" fontId="47" fillId="11" borderId="3" xfId="0" applyNumberFormat="1" applyFont="1" applyFill="1" applyBorder="1" applyAlignment="1" applyProtection="1">
      <alignment horizontal="center" vertical="center"/>
    </xf>
    <xf numFmtId="165" fontId="47" fillId="13" borderId="3" xfId="0" applyNumberFormat="1" applyFont="1" applyFill="1" applyBorder="1" applyAlignment="1" applyProtection="1">
      <alignment horizontal="center" vertical="center"/>
    </xf>
    <xf numFmtId="0" fontId="46" fillId="11" borderId="3" xfId="0" applyFont="1" applyFill="1" applyBorder="1" applyAlignment="1">
      <alignment horizontal="center" vertical="center" wrapText="1"/>
    </xf>
    <xf numFmtId="0" fontId="46" fillId="11" borderId="3" xfId="0" applyFont="1" applyFill="1" applyBorder="1" applyAlignment="1">
      <alignment horizontal="center" vertical="center"/>
    </xf>
    <xf numFmtId="0" fontId="46" fillId="11" borderId="3" xfId="46" applyFont="1" applyFill="1" applyBorder="1" applyAlignment="1">
      <alignment vertical="center" wrapText="1"/>
    </xf>
    <xf numFmtId="165" fontId="10" fillId="2" borderId="3" xfId="0" applyNumberFormat="1" applyFont="1" applyFill="1" applyBorder="1" applyAlignment="1" applyProtection="1">
      <alignment horizontal="center" vertical="center"/>
    </xf>
    <xf numFmtId="165" fontId="10" fillId="3" borderId="3" xfId="0" applyNumberFormat="1" applyFont="1" applyFill="1" applyBorder="1" applyAlignment="1" applyProtection="1">
      <alignment horizontal="center" vertical="center"/>
    </xf>
    <xf numFmtId="165" fontId="46" fillId="3" borderId="3" xfId="0" applyNumberFormat="1" applyFont="1" applyFill="1" applyBorder="1" applyAlignment="1" applyProtection="1">
      <alignment horizontal="center" vertical="center"/>
    </xf>
    <xf numFmtId="0" fontId="46" fillId="11" borderId="3" xfId="0" applyFont="1" applyFill="1" applyBorder="1" applyAlignment="1" applyProtection="1">
      <alignment horizontal="center" vertical="center" wrapText="1"/>
      <protection locked="0"/>
    </xf>
    <xf numFmtId="0" fontId="46" fillId="11" borderId="3" xfId="0" applyFont="1" applyFill="1" applyBorder="1" applyAlignment="1">
      <alignment vertical="center" wrapText="1"/>
    </xf>
    <xf numFmtId="0" fontId="46" fillId="11" borderId="3" xfId="0" applyFont="1" applyFill="1" applyBorder="1" applyAlignment="1" applyProtection="1">
      <alignment horizontal="left" vertical="center"/>
      <protection locked="0"/>
    </xf>
    <xf numFmtId="0" fontId="46" fillId="11" borderId="3" xfId="0" applyFont="1" applyFill="1" applyBorder="1" applyAlignment="1" applyProtection="1">
      <alignment vertical="center" wrapText="1"/>
      <protection locked="0"/>
    </xf>
    <xf numFmtId="165" fontId="10" fillId="21" borderId="3" xfId="0" applyNumberFormat="1" applyFont="1" applyFill="1" applyBorder="1" applyAlignment="1" applyProtection="1">
      <alignment horizontal="center" vertical="center"/>
    </xf>
    <xf numFmtId="165" fontId="10" fillId="0" borderId="3" xfId="0" applyNumberFormat="1" applyFont="1" applyFill="1" applyBorder="1" applyAlignment="1" applyProtection="1">
      <alignment horizontal="center" vertical="center"/>
    </xf>
    <xf numFmtId="165" fontId="10" fillId="33" borderId="3" xfId="0" applyNumberFormat="1" applyFont="1" applyFill="1" applyBorder="1" applyAlignment="1">
      <alignment horizontal="center" vertical="center"/>
    </xf>
    <xf numFmtId="165" fontId="10" fillId="33" borderId="3" xfId="0" applyNumberFormat="1" applyFont="1" applyFill="1" applyBorder="1" applyAlignment="1" applyProtection="1">
      <alignment horizontal="center" vertical="center"/>
    </xf>
    <xf numFmtId="0" fontId="46" fillId="11" borderId="3" xfId="0" applyFont="1" applyFill="1" applyBorder="1" applyAlignment="1">
      <alignment horizontal="left" vertical="center"/>
    </xf>
    <xf numFmtId="165" fontId="10" fillId="19" borderId="3" xfId="0" applyNumberFormat="1" applyFont="1" applyFill="1" applyBorder="1" applyAlignment="1" applyProtection="1">
      <alignment horizontal="center" vertical="center"/>
    </xf>
    <xf numFmtId="0" fontId="46" fillId="11" borderId="3" xfId="0" applyFont="1" applyFill="1" applyBorder="1" applyAlignment="1" applyProtection="1">
      <alignment vertical="top"/>
      <protection locked="0"/>
    </xf>
    <xf numFmtId="0" fontId="46" fillId="11" borderId="3" xfId="0" applyFont="1" applyFill="1" applyBorder="1" applyAlignment="1" applyProtection="1">
      <alignment horizontal="left" vertical="top"/>
      <protection locked="0"/>
    </xf>
    <xf numFmtId="165" fontId="10" fillId="16" borderId="3" xfId="0" applyNumberFormat="1" applyFont="1" applyFill="1" applyBorder="1" applyAlignment="1" applyProtection="1">
      <alignment horizontal="center" vertical="center"/>
    </xf>
    <xf numFmtId="0" fontId="46" fillId="11" borderId="3" xfId="0" applyFont="1" applyFill="1" applyBorder="1" applyAlignment="1">
      <alignment vertical="center"/>
    </xf>
    <xf numFmtId="165" fontId="10" fillId="0" borderId="3" xfId="17" applyNumberFormat="1" applyFont="1" applyFill="1" applyBorder="1" applyAlignment="1">
      <alignment horizontal="center" vertical="center"/>
    </xf>
    <xf numFmtId="0" fontId="46" fillId="11" borderId="3" xfId="0" applyFont="1" applyFill="1" applyBorder="1" applyAlignment="1" applyProtection="1">
      <alignment horizontal="left" vertical="center" wrapText="1"/>
    </xf>
    <xf numFmtId="1" fontId="46" fillId="11" borderId="3" xfId="0" applyNumberFormat="1" applyFont="1" applyFill="1" applyBorder="1" applyAlignment="1">
      <alignment horizontal="center" vertical="center"/>
    </xf>
    <xf numFmtId="165" fontId="10" fillId="16" borderId="3" xfId="0" applyNumberFormat="1" applyFont="1" applyFill="1" applyBorder="1" applyAlignment="1">
      <alignment horizontal="center" vertical="center"/>
    </xf>
    <xf numFmtId="165" fontId="10" fillId="3" borderId="3" xfId="0" applyNumberFormat="1" applyFont="1" applyFill="1" applyBorder="1" applyAlignment="1">
      <alignment horizontal="center" vertical="center"/>
    </xf>
    <xf numFmtId="165" fontId="10" fillId="34" borderId="3" xfId="0" applyNumberFormat="1" applyFont="1" applyFill="1" applyBorder="1" applyAlignment="1">
      <alignment horizontal="center" vertical="center"/>
    </xf>
    <xf numFmtId="0" fontId="46" fillId="11" borderId="3" xfId="46" applyFont="1" applyFill="1" applyBorder="1" applyAlignment="1" applyProtection="1">
      <alignment horizontal="left" vertical="center" wrapText="1"/>
    </xf>
    <xf numFmtId="0" fontId="46" fillId="11" borderId="3" xfId="0" applyFont="1" applyFill="1" applyBorder="1" applyAlignment="1" applyProtection="1">
      <alignment horizontal="center" vertical="center"/>
    </xf>
    <xf numFmtId="0" fontId="46" fillId="11" borderId="16" xfId="0" applyFont="1" applyFill="1" applyBorder="1" applyAlignment="1">
      <alignment vertical="center" wrapText="1"/>
    </xf>
    <xf numFmtId="0" fontId="46" fillId="11" borderId="16" xfId="0" applyFont="1" applyFill="1" applyBorder="1" applyAlignment="1">
      <alignment horizontal="left" vertical="center" wrapText="1"/>
    </xf>
    <xf numFmtId="1" fontId="46" fillId="11" borderId="8" xfId="0" applyNumberFormat="1" applyFont="1" applyFill="1" applyBorder="1" applyAlignment="1">
      <alignment horizontal="center" vertical="center"/>
    </xf>
    <xf numFmtId="0" fontId="46" fillId="11" borderId="11" xfId="46" applyFont="1" applyFill="1" applyBorder="1" applyAlignment="1">
      <alignment horizontal="left" vertical="center" wrapText="1"/>
    </xf>
    <xf numFmtId="0" fontId="46" fillId="11" borderId="12" xfId="46" applyFont="1" applyFill="1" applyBorder="1" applyAlignment="1" applyProtection="1">
      <alignment horizontal="left" vertical="center" wrapText="1"/>
    </xf>
    <xf numFmtId="0" fontId="48" fillId="28" borderId="3" xfId="0" applyFont="1" applyFill="1" applyBorder="1" applyAlignment="1">
      <alignment vertical="center" wrapText="1"/>
    </xf>
    <xf numFmtId="165" fontId="10" fillId="11" borderId="3" xfId="0" applyNumberFormat="1" applyFont="1" applyFill="1" applyBorder="1" applyAlignment="1" applyProtection="1">
      <alignment horizontal="center" vertical="center"/>
      <protection locked="0"/>
    </xf>
    <xf numFmtId="0" fontId="46" fillId="11" borderId="3" xfId="34" applyFont="1" applyFill="1" applyBorder="1" applyAlignment="1">
      <alignment horizontal="left" vertical="center" wrapText="1"/>
    </xf>
    <xf numFmtId="0" fontId="46" fillId="11" borderId="13" xfId="0" applyFont="1" applyFill="1" applyBorder="1" applyAlignment="1" applyProtection="1">
      <alignment horizontal="center" vertical="center"/>
      <protection locked="0"/>
    </xf>
    <xf numFmtId="165" fontId="10" fillId="0" borderId="13" xfId="0" applyNumberFormat="1" applyFont="1" applyFill="1" applyBorder="1" applyAlignment="1" applyProtection="1">
      <alignment horizontal="center" vertical="center"/>
    </xf>
    <xf numFmtId="0" fontId="46" fillId="11" borderId="1" xfId="0" applyFont="1" applyFill="1" applyBorder="1" applyAlignment="1" applyProtection="1">
      <alignment horizontal="center" vertical="center"/>
      <protection locked="0"/>
    </xf>
    <xf numFmtId="165" fontId="10" fillId="0" borderId="1" xfId="0" applyNumberFormat="1" applyFont="1" applyFill="1" applyBorder="1" applyAlignment="1" applyProtection="1">
      <alignment horizontal="center" vertical="center"/>
    </xf>
    <xf numFmtId="165" fontId="10" fillId="18" borderId="3" xfId="0" applyNumberFormat="1" applyFont="1" applyFill="1" applyBorder="1" applyAlignment="1" applyProtection="1">
      <alignment horizontal="center" vertical="center"/>
      <protection locked="0"/>
    </xf>
    <xf numFmtId="0" fontId="46" fillId="11" borderId="3" xfId="17" applyFont="1" applyFill="1" applyBorder="1" applyAlignment="1">
      <alignment horizontal="left" vertical="center" wrapText="1"/>
    </xf>
    <xf numFmtId="0" fontId="46" fillId="11" borderId="3" xfId="17"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165" fontId="10" fillId="2" borderId="3" xfId="17" applyNumberFormat="1" applyFont="1" applyFill="1" applyBorder="1" applyAlignment="1" applyProtection="1">
      <alignment horizontal="center" vertical="center"/>
      <protection locked="0"/>
    </xf>
    <xf numFmtId="165" fontId="10" fillId="2" borderId="8" xfId="0" applyNumberFormat="1" applyFont="1" applyFill="1" applyBorder="1" applyAlignment="1" applyProtection="1">
      <alignment horizontal="center" vertical="center"/>
    </xf>
    <xf numFmtId="165" fontId="49" fillId="3" borderId="3" xfId="0" applyNumberFormat="1" applyFont="1" applyFill="1" applyBorder="1" applyAlignment="1" applyProtection="1">
      <alignment horizontal="center" vertical="center"/>
    </xf>
    <xf numFmtId="0" fontId="46" fillId="11" borderId="3" xfId="17" applyFont="1" applyFill="1" applyBorder="1" applyAlignment="1" applyProtection="1">
      <alignment vertical="center" wrapText="1"/>
    </xf>
    <xf numFmtId="0" fontId="46" fillId="11" borderId="3" xfId="17" applyFont="1" applyFill="1" applyBorder="1" applyAlignment="1">
      <alignment vertical="center" wrapText="1"/>
    </xf>
    <xf numFmtId="0" fontId="46" fillId="11" borderId="3" xfId="34" applyFont="1" applyFill="1" applyBorder="1" applyAlignment="1">
      <alignment vertical="center" wrapText="1"/>
    </xf>
    <xf numFmtId="0" fontId="46" fillId="11" borderId="3" xfId="17" applyFont="1" applyFill="1" applyBorder="1" applyAlignment="1" applyProtection="1">
      <alignment horizontal="left" vertical="center" wrapText="1"/>
    </xf>
    <xf numFmtId="165" fontId="10" fillId="18" borderId="3" xfId="17" applyNumberFormat="1" applyFont="1" applyFill="1" applyBorder="1" applyAlignment="1" applyProtection="1">
      <alignment horizontal="center" vertical="center"/>
      <protection locked="0"/>
    </xf>
    <xf numFmtId="2" fontId="10" fillId="2" borderId="8" xfId="0" applyNumberFormat="1" applyFont="1" applyFill="1" applyBorder="1" applyAlignment="1" applyProtection="1">
      <alignment horizontal="center" vertical="center"/>
    </xf>
    <xf numFmtId="165" fontId="10" fillId="17" borderId="3" xfId="17" applyNumberFormat="1" applyFont="1" applyFill="1" applyBorder="1" applyAlignment="1" applyProtection="1">
      <alignment horizontal="center" vertical="center"/>
      <protection locked="0"/>
    </xf>
    <xf numFmtId="165" fontId="10" fillId="16" borderId="3" xfId="17" applyNumberFormat="1" applyFont="1" applyFill="1" applyBorder="1" applyAlignment="1" applyProtection="1">
      <alignment horizontal="center" vertical="center"/>
      <protection locked="0"/>
    </xf>
    <xf numFmtId="0" fontId="46" fillId="11" borderId="3" xfId="0" applyFont="1" applyFill="1" applyBorder="1" applyAlignment="1" applyProtection="1">
      <alignment vertical="center" wrapText="1"/>
    </xf>
    <xf numFmtId="3" fontId="46" fillId="11" borderId="3" xfId="0" applyNumberFormat="1" applyFont="1" applyFill="1" applyBorder="1" applyAlignment="1" applyProtection="1">
      <alignment horizontal="center" vertical="center"/>
      <protection locked="0"/>
    </xf>
    <xf numFmtId="3" fontId="46" fillId="11" borderId="3" xfId="17" applyNumberFormat="1" applyFont="1" applyFill="1" applyBorder="1" applyAlignment="1" applyProtection="1">
      <alignment horizontal="center" vertical="center"/>
      <protection locked="0"/>
    </xf>
    <xf numFmtId="2" fontId="10" fillId="16" borderId="3" xfId="17" applyNumberFormat="1" applyFont="1" applyFill="1" applyBorder="1" applyAlignment="1" applyProtection="1">
      <alignment horizontal="center" vertical="center"/>
      <protection locked="0"/>
    </xf>
    <xf numFmtId="0" fontId="46" fillId="11" borderId="3" xfId="0" applyNumberFormat="1" applyFont="1" applyFill="1" applyBorder="1" applyAlignment="1" applyProtection="1">
      <alignment horizontal="center" vertical="center"/>
      <protection locked="0"/>
    </xf>
    <xf numFmtId="0" fontId="46" fillId="11" borderId="3" xfId="17" applyNumberFormat="1" applyFont="1" applyFill="1" applyBorder="1" applyAlignment="1" applyProtection="1">
      <alignment horizontal="center" vertical="center"/>
      <protection locked="0"/>
    </xf>
    <xf numFmtId="0" fontId="46" fillId="11" borderId="3" xfId="17" applyNumberFormat="1" applyFont="1" applyFill="1" applyBorder="1" applyAlignment="1" applyProtection="1">
      <alignment horizontal="left" vertical="center"/>
      <protection locked="0"/>
    </xf>
    <xf numFmtId="0" fontId="46" fillId="11" borderId="3" xfId="17" applyFont="1" applyFill="1" applyBorder="1" applyAlignment="1">
      <alignment horizontal="center" vertical="center" wrapText="1"/>
    </xf>
    <xf numFmtId="165" fontId="10" fillId="21" borderId="3" xfId="0" applyNumberFormat="1" applyFont="1" applyFill="1" applyBorder="1" applyAlignment="1">
      <alignment horizontal="center" vertical="center"/>
    </xf>
    <xf numFmtId="0" fontId="46" fillId="11" borderId="3" xfId="17" applyFont="1" applyFill="1" applyBorder="1" applyAlignment="1" applyProtection="1">
      <alignment horizontal="left" vertical="center" wrapText="1"/>
      <protection locked="0"/>
    </xf>
    <xf numFmtId="0" fontId="46" fillId="11" borderId="3" xfId="17" applyFont="1" applyFill="1" applyBorder="1" applyAlignment="1" applyProtection="1">
      <alignment vertical="center" wrapText="1"/>
      <protection locked="0"/>
    </xf>
    <xf numFmtId="0" fontId="46" fillId="11" borderId="3" xfId="17" applyFont="1" applyFill="1" applyBorder="1" applyAlignment="1">
      <alignment horizontal="left" vertical="center"/>
    </xf>
    <xf numFmtId="0" fontId="46" fillId="11" borderId="10" xfId="0" applyFont="1" applyFill="1" applyBorder="1" applyAlignment="1">
      <alignment horizontal="left" vertical="center" wrapText="1"/>
    </xf>
    <xf numFmtId="0" fontId="15" fillId="11" borderId="9" xfId="0" applyFont="1" applyFill="1" applyBorder="1" applyAlignment="1" applyProtection="1">
      <alignment horizontal="center" vertical="center" wrapText="1"/>
      <protection locked="0"/>
    </xf>
    <xf numFmtId="165" fontId="10" fillId="2" borderId="3" xfId="17" applyNumberFormat="1" applyFont="1" applyFill="1" applyBorder="1" applyAlignment="1">
      <alignment horizontal="center" vertical="center"/>
    </xf>
    <xf numFmtId="165" fontId="9" fillId="3" borderId="3" xfId="0" applyNumberFormat="1" applyFont="1" applyFill="1" applyBorder="1" applyAlignment="1">
      <alignment horizontal="center" vertical="center" wrapText="1"/>
    </xf>
    <xf numFmtId="165" fontId="47" fillId="3" borderId="1" xfId="0" applyNumberFormat="1" applyFont="1" applyFill="1" applyBorder="1" applyAlignment="1" applyProtection="1">
      <alignment horizontal="center" vertical="center"/>
    </xf>
    <xf numFmtId="0" fontId="50" fillId="11" borderId="3" xfId="17" applyFont="1" applyFill="1" applyBorder="1" applyAlignment="1" applyProtection="1">
      <alignment horizontal="left" vertical="center" wrapText="1"/>
      <protection locked="0"/>
    </xf>
    <xf numFmtId="2" fontId="10" fillId="2" borderId="3" xfId="0" applyNumberFormat="1" applyFont="1" applyFill="1" applyBorder="1" applyAlignment="1" applyProtection="1">
      <alignment horizontal="center" vertical="center"/>
      <protection locked="0"/>
    </xf>
    <xf numFmtId="0" fontId="46" fillId="11" borderId="3" xfId="34" applyFont="1" applyFill="1" applyBorder="1" applyAlignment="1">
      <alignment horizontal="left" vertical="center"/>
    </xf>
    <xf numFmtId="165" fontId="10" fillId="3" borderId="3" xfId="0" applyNumberFormat="1" applyFont="1" applyFill="1" applyBorder="1" applyAlignment="1" applyProtection="1">
      <alignment horizontal="center" vertical="top"/>
    </xf>
    <xf numFmtId="0" fontId="46" fillId="11" borderId="11" xfId="17" applyFont="1" applyFill="1" applyBorder="1" applyAlignment="1">
      <alignment horizontal="left" vertical="center" wrapText="1"/>
    </xf>
    <xf numFmtId="0" fontId="46" fillId="11" borderId="11" xfId="34" applyFont="1" applyFill="1" applyBorder="1" applyAlignment="1">
      <alignment horizontal="left" vertical="center"/>
    </xf>
    <xf numFmtId="0" fontId="46" fillId="11" borderId="11" xfId="0" applyFont="1" applyFill="1" applyBorder="1" applyAlignment="1" applyProtection="1">
      <alignment horizontal="center" vertical="center"/>
      <protection locked="0"/>
    </xf>
    <xf numFmtId="165" fontId="10" fillId="2" borderId="11" xfId="0" applyNumberFormat="1" applyFont="1" applyFill="1" applyBorder="1" applyAlignment="1" applyProtection="1">
      <alignment horizontal="center" vertical="center"/>
      <protection locked="0"/>
    </xf>
    <xf numFmtId="165" fontId="10" fillId="2" borderId="11" xfId="17" applyNumberFormat="1" applyFont="1" applyFill="1" applyBorder="1" applyAlignment="1">
      <alignment horizontal="center" vertical="center"/>
    </xf>
    <xf numFmtId="165" fontId="10" fillId="21" borderId="11" xfId="0" applyNumberFormat="1" applyFont="1" applyFill="1" applyBorder="1" applyAlignment="1">
      <alignment horizontal="center" vertical="center"/>
    </xf>
    <xf numFmtId="165" fontId="47" fillId="3" borderId="22" xfId="0" applyNumberFormat="1" applyFont="1" applyFill="1" applyBorder="1" applyAlignment="1" applyProtection="1">
      <alignment horizontal="center" vertical="center"/>
    </xf>
    <xf numFmtId="0" fontId="46" fillId="11" borderId="12" xfId="34" applyFont="1" applyFill="1" applyBorder="1" applyAlignment="1">
      <alignment horizontal="left" vertical="center" wrapText="1"/>
    </xf>
    <xf numFmtId="0" fontId="46" fillId="11" borderId="3" xfId="17" applyFont="1" applyFill="1" applyBorder="1" applyAlignment="1" applyProtection="1">
      <alignment horizontal="center" vertical="center" wrapText="1"/>
    </xf>
    <xf numFmtId="0" fontId="46" fillId="11" borderId="11" xfId="17" applyFont="1" applyFill="1" applyBorder="1" applyAlignment="1">
      <alignment horizontal="center" vertical="center" wrapText="1"/>
    </xf>
    <xf numFmtId="0" fontId="46" fillId="11" borderId="12" xfId="17" applyFont="1" applyFill="1" applyBorder="1" applyAlignment="1">
      <alignment horizontal="left" vertical="center" wrapText="1"/>
    </xf>
    <xf numFmtId="0" fontId="46" fillId="11" borderId="12" xfId="17" applyFont="1" applyFill="1" applyBorder="1" applyAlignment="1">
      <alignment horizontal="center" vertical="center" wrapText="1"/>
    </xf>
    <xf numFmtId="0" fontId="47" fillId="11" borderId="3" xfId="0" applyFont="1" applyFill="1" applyBorder="1" applyAlignment="1" applyProtection="1">
      <alignment horizontal="center" vertical="top"/>
      <protection locked="0"/>
    </xf>
    <xf numFmtId="165" fontId="10" fillId="2" borderId="3" xfId="17" applyNumberFormat="1" applyFont="1" applyFill="1" applyBorder="1" applyAlignment="1" applyProtection="1">
      <alignment horizontal="center" vertical="center" wrapText="1"/>
      <protection locked="0"/>
    </xf>
    <xf numFmtId="165" fontId="10" fillId="2" borderId="11" xfId="0" applyNumberFormat="1" applyFont="1" applyFill="1" applyBorder="1" applyAlignment="1" applyProtection="1">
      <alignment horizontal="center" vertical="center"/>
    </xf>
    <xf numFmtId="165" fontId="10" fillId="3" borderId="11" xfId="0" applyNumberFormat="1" applyFont="1" applyFill="1" applyBorder="1" applyAlignment="1" applyProtection="1">
      <alignment horizontal="center" vertical="center"/>
    </xf>
    <xf numFmtId="165" fontId="10" fillId="36" borderId="3" xfId="17" applyNumberFormat="1" applyFont="1" applyFill="1" applyBorder="1" applyAlignment="1" applyProtection="1">
      <alignment horizontal="center" vertical="center" wrapText="1"/>
      <protection locked="0"/>
    </xf>
    <xf numFmtId="165" fontId="10" fillId="2" borderId="12" xfId="17" applyNumberFormat="1" applyFont="1" applyFill="1" applyBorder="1" applyAlignment="1">
      <alignment horizontal="center" vertical="center"/>
    </xf>
    <xf numFmtId="165" fontId="10" fillId="3" borderId="12" xfId="0" applyNumberFormat="1" applyFont="1" applyFill="1" applyBorder="1" applyAlignment="1">
      <alignment horizontal="center" vertical="center"/>
    </xf>
    <xf numFmtId="2" fontId="10" fillId="2" borderId="3" xfId="17" applyNumberFormat="1" applyFont="1" applyFill="1" applyBorder="1" applyAlignment="1" applyProtection="1">
      <alignment horizontal="center" vertical="center" wrapText="1"/>
      <protection locked="0"/>
    </xf>
    <xf numFmtId="2" fontId="10" fillId="2" borderId="3" xfId="0" applyNumberFormat="1" applyFont="1" applyFill="1" applyBorder="1" applyAlignment="1" applyProtection="1">
      <alignment horizontal="center" vertical="center"/>
    </xf>
    <xf numFmtId="165" fontId="10" fillId="17" borderId="3" xfId="0" applyNumberFormat="1" applyFont="1" applyFill="1" applyBorder="1" applyAlignment="1" applyProtection="1">
      <alignment horizontal="center" vertical="center"/>
    </xf>
    <xf numFmtId="165" fontId="10" fillId="18" borderId="3" xfId="0" applyNumberFormat="1" applyFont="1" applyFill="1" applyBorder="1" applyAlignment="1" applyProtection="1">
      <alignment horizontal="center" vertical="center"/>
    </xf>
    <xf numFmtId="165" fontId="10" fillId="32" borderId="3" xfId="0" applyNumberFormat="1" applyFont="1" applyFill="1" applyBorder="1" applyAlignment="1" applyProtection="1">
      <alignment horizontal="center" vertical="center"/>
    </xf>
    <xf numFmtId="0" fontId="46" fillId="11" borderId="3" xfId="0" applyFont="1" applyFill="1" applyBorder="1" applyAlignment="1" applyProtection="1">
      <alignment horizontal="left" vertical="center"/>
    </xf>
    <xf numFmtId="0" fontId="46" fillId="11" borderId="3" xfId="0" applyFont="1" applyFill="1" applyBorder="1" applyAlignment="1" applyProtection="1">
      <alignment horizontal="left" vertical="center" wrapText="1"/>
      <protection locked="0"/>
    </xf>
    <xf numFmtId="0" fontId="46" fillId="11" borderId="3" xfId="0" applyFont="1" applyFill="1" applyBorder="1" applyAlignment="1" applyProtection="1">
      <alignment horizontal="centerContinuous" vertical="center"/>
      <protection locked="0"/>
    </xf>
    <xf numFmtId="165" fontId="10" fillId="2" borderId="3" xfId="0" applyNumberFormat="1" applyFont="1" applyFill="1" applyBorder="1" applyAlignment="1" applyProtection="1">
      <alignment horizontal="center" vertical="top"/>
      <protection locked="0"/>
    </xf>
    <xf numFmtId="165" fontId="9" fillId="2" borderId="3" xfId="0" applyNumberFormat="1" applyFont="1" applyFill="1" applyBorder="1" applyAlignment="1" applyProtection="1">
      <alignment horizontal="center" vertical="center"/>
    </xf>
    <xf numFmtId="165" fontId="9" fillId="3" borderId="3" xfId="0" applyNumberFormat="1" applyFont="1" applyFill="1" applyBorder="1" applyAlignment="1" applyProtection="1">
      <alignment horizontal="center" vertical="center"/>
    </xf>
    <xf numFmtId="0" fontId="46" fillId="11" borderId="3" xfId="34" applyFont="1" applyFill="1" applyBorder="1" applyAlignment="1" applyProtection="1">
      <alignment horizontal="left" vertical="center" wrapText="1"/>
    </xf>
    <xf numFmtId="0" fontId="46" fillId="11" borderId="8" xfId="0" applyFont="1" applyFill="1" applyBorder="1" applyAlignment="1" applyProtection="1">
      <alignment vertical="center" wrapText="1"/>
      <protection locked="0"/>
    </xf>
    <xf numFmtId="0" fontId="46" fillId="11" borderId="3" xfId="0" applyFont="1" applyFill="1" applyBorder="1" applyAlignment="1" applyProtection="1">
      <alignment vertical="center"/>
      <protection locked="0"/>
    </xf>
    <xf numFmtId="0" fontId="46" fillId="11" borderId="12" xfId="0" applyFont="1" applyFill="1" applyBorder="1" applyAlignment="1" applyProtection="1">
      <alignment vertical="center"/>
      <protection locked="0"/>
    </xf>
    <xf numFmtId="0" fontId="46" fillId="11" borderId="12" xfId="0" applyFont="1" applyFill="1" applyBorder="1" applyAlignment="1" applyProtection="1">
      <alignment horizontal="left" vertical="center" wrapText="1"/>
      <protection locked="0"/>
    </xf>
    <xf numFmtId="0" fontId="46" fillId="11" borderId="12" xfId="0" applyFont="1" applyFill="1" applyBorder="1" applyAlignment="1" applyProtection="1">
      <alignment horizontal="center" vertical="center"/>
      <protection locked="0"/>
    </xf>
    <xf numFmtId="0" fontId="46" fillId="11" borderId="3" xfId="46" applyFont="1" applyFill="1" applyBorder="1" applyAlignment="1" applyProtection="1">
      <alignment horizontal="left" vertical="center"/>
    </xf>
    <xf numFmtId="0" fontId="46" fillId="11" borderId="3" xfId="34" applyFont="1" applyFill="1" applyBorder="1" applyAlignment="1" applyProtection="1">
      <alignment horizontal="left" vertical="center"/>
    </xf>
    <xf numFmtId="0" fontId="46" fillId="11" borderId="18" xfId="0" applyFont="1" applyFill="1" applyBorder="1" applyAlignment="1">
      <alignment horizontal="center" vertical="center"/>
    </xf>
    <xf numFmtId="0" fontId="46" fillId="11" borderId="0" xfId="0" applyFont="1" applyFill="1" applyAlignment="1">
      <alignment horizontal="center" vertical="center"/>
    </xf>
    <xf numFmtId="0" fontId="46" fillId="11" borderId="18" xfId="0" applyFont="1" applyFill="1" applyBorder="1" applyAlignment="1" applyProtection="1">
      <alignment horizontal="center" vertical="center"/>
    </xf>
    <xf numFmtId="0" fontId="46" fillId="11" borderId="19" xfId="0" applyFont="1" applyFill="1" applyBorder="1" applyAlignment="1" applyProtection="1">
      <alignment horizontal="center" vertical="center"/>
      <protection locked="0"/>
    </xf>
    <xf numFmtId="0" fontId="46" fillId="11" borderId="21" xfId="0" applyFont="1" applyFill="1" applyBorder="1" applyAlignment="1" applyProtection="1">
      <alignment horizontal="center" vertical="center"/>
      <protection locked="0"/>
    </xf>
    <xf numFmtId="165" fontId="10" fillId="30" borderId="3" xfId="0" applyNumberFormat="1" applyFont="1" applyFill="1" applyBorder="1" applyAlignment="1" applyProtection="1">
      <alignment horizontal="center" vertical="center"/>
      <protection locked="0"/>
    </xf>
    <xf numFmtId="0" fontId="10" fillId="11" borderId="0" xfId="0" applyFont="1" applyFill="1"/>
    <xf numFmtId="165" fontId="10" fillId="31" borderId="3" xfId="0" applyNumberFormat="1"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 xfId="0" applyFont="1" applyBorder="1" applyAlignment="1" applyProtection="1">
      <alignment vertical="center"/>
      <protection locked="0"/>
    </xf>
    <xf numFmtId="165" fontId="10" fillId="35" borderId="3" xfId="0" applyNumberFormat="1" applyFont="1" applyFill="1" applyBorder="1" applyAlignment="1" applyProtection="1">
      <alignment horizontal="center" vertical="center"/>
      <protection locked="0"/>
    </xf>
    <xf numFmtId="0" fontId="10" fillId="35" borderId="3" xfId="0" applyFont="1" applyFill="1" applyBorder="1" applyAlignment="1" applyProtection="1">
      <alignment horizontal="center" vertical="center"/>
      <protection locked="0"/>
    </xf>
    <xf numFmtId="165" fontId="10" fillId="22" borderId="3" xfId="0" applyNumberFormat="1" applyFont="1" applyFill="1" applyBorder="1" applyAlignment="1" applyProtection="1">
      <alignment horizontal="center" vertical="center"/>
      <protection locked="0"/>
    </xf>
    <xf numFmtId="165" fontId="10" fillId="23" borderId="3" xfId="0" applyNumberFormat="1" applyFont="1" applyFill="1" applyBorder="1" applyAlignment="1" applyProtection="1">
      <alignment horizontal="center" vertical="center"/>
    </xf>
    <xf numFmtId="165" fontId="46" fillId="22" borderId="3" xfId="0" applyNumberFormat="1" applyFont="1" applyFill="1" applyBorder="1" applyAlignment="1" applyProtection="1">
      <alignment horizontal="center" vertical="center"/>
      <protection locked="0"/>
    </xf>
    <xf numFmtId="165" fontId="46" fillId="23" borderId="3" xfId="0" applyNumberFormat="1" applyFont="1" applyFill="1" applyBorder="1" applyAlignment="1" applyProtection="1">
      <alignment horizontal="center" vertical="center"/>
    </xf>
    <xf numFmtId="165" fontId="10" fillId="13" borderId="3" xfId="0" applyNumberFormat="1" applyFont="1" applyFill="1" applyBorder="1" applyAlignment="1" applyProtection="1">
      <alignment horizontal="center" vertical="center"/>
    </xf>
    <xf numFmtId="0" fontId="10" fillId="0" borderId="3" xfId="0" applyFont="1" applyBorder="1" applyAlignment="1" applyProtection="1">
      <alignment horizontal="center" vertical="center"/>
      <protection locked="0"/>
    </xf>
    <xf numFmtId="0" fontId="13" fillId="2" borderId="10" xfId="0" applyFont="1" applyFill="1" applyBorder="1" applyAlignment="1">
      <alignment horizontal="left" vertical="center"/>
    </xf>
    <xf numFmtId="0" fontId="13" fillId="2" borderId="10" xfId="0" applyFont="1" applyFill="1" applyBorder="1" applyAlignment="1">
      <alignment vertical="center"/>
    </xf>
    <xf numFmtId="0" fontId="13" fillId="2" borderId="10" xfId="0" applyFont="1" applyFill="1" applyBorder="1" applyAlignment="1">
      <alignment horizontal="center" vertical="center"/>
    </xf>
    <xf numFmtId="0" fontId="13" fillId="2" borderId="16" xfId="0" applyFont="1" applyFill="1" applyBorder="1" applyAlignment="1">
      <alignment horizontal="left" vertical="center"/>
    </xf>
    <xf numFmtId="0" fontId="13" fillId="2" borderId="9" xfId="0" applyFont="1" applyFill="1" applyBorder="1" applyAlignment="1">
      <alignment horizontal="left" vertical="center"/>
    </xf>
    <xf numFmtId="2" fontId="8" fillId="0" borderId="3" xfId="0" applyNumberFormat="1" applyFont="1" applyFill="1" applyBorder="1" applyAlignment="1">
      <alignment horizontal="center" vertical="center"/>
    </xf>
    <xf numFmtId="0" fontId="10" fillId="0" borderId="23" xfId="0" applyFont="1" applyBorder="1" applyAlignment="1">
      <alignment horizontal="left" vertical="center" wrapText="1"/>
    </xf>
    <xf numFmtId="0" fontId="10" fillId="0" borderId="0" xfId="0" applyFont="1" applyBorder="1" applyAlignment="1">
      <alignment horizontal="left" vertical="center" wrapText="1"/>
    </xf>
  </cellXfs>
  <cellStyles count="48">
    <cellStyle name="60% - Énfasis2 2" xfId="1"/>
    <cellStyle name="Euro" xfId="2"/>
    <cellStyle name="Euro 2" xfId="3"/>
    <cellStyle name="Euro 2 2" xfId="4"/>
    <cellStyle name="Euro 3" xfId="5"/>
    <cellStyle name="Euro 4" xfId="6"/>
    <cellStyle name="Euro 4 2" xfId="7"/>
    <cellStyle name="Millares" xfId="47" builtinId="3"/>
    <cellStyle name="Millares 2" xfId="8"/>
    <cellStyle name="Millares 3" xfId="9"/>
    <cellStyle name="Millares 4" xfId="10"/>
    <cellStyle name="Millares 4 2" xfId="11"/>
    <cellStyle name="Millares 5" xfId="12"/>
    <cellStyle name="Millares 5 2" xfId="13"/>
    <cellStyle name="Millares 6" xfId="14"/>
    <cellStyle name="Millares 6 2" xfId="15"/>
    <cellStyle name="Normal" xfId="0" builtinId="0"/>
    <cellStyle name="Normal 2" xfId="16"/>
    <cellStyle name="Normal 2 2" xfId="17"/>
    <cellStyle name="Normal 2 2 2" xfId="18"/>
    <cellStyle name="Normal 2 3" xfId="19"/>
    <cellStyle name="Normal 2 4" xfId="20"/>
    <cellStyle name="Normal 3" xfId="21"/>
    <cellStyle name="Normal 3 2" xfId="22"/>
    <cellStyle name="Normal 3 2 2" xfId="23"/>
    <cellStyle name="Normal 3 3" xfId="24"/>
    <cellStyle name="Normal 3 4" xfId="25"/>
    <cellStyle name="Normal 4" xfId="26"/>
    <cellStyle name="Normal 4 2" xfId="27"/>
    <cellStyle name="Normal 5" xfId="28"/>
    <cellStyle name="Normal 5 2" xfId="29"/>
    <cellStyle name="Normal 6" xfId="30"/>
    <cellStyle name="Normal 6 2" xfId="31"/>
    <cellStyle name="Normal 7" xfId="32"/>
    <cellStyle name="Normal 7 2" xfId="33"/>
    <cellStyle name="Notas" xfId="46" builtinId="10"/>
    <cellStyle name="Notas 2" xfId="34"/>
    <cellStyle name="Notas 2 2" xfId="35"/>
    <cellStyle name="Notas 3" xfId="36"/>
    <cellStyle name="Notas 3 2" xfId="37"/>
    <cellStyle name="Notas 4" xfId="38"/>
    <cellStyle name="Notas 4 2" xfId="39"/>
    <cellStyle name="Porcentaje 2" xfId="40"/>
    <cellStyle name="Porcentaje 2 2" xfId="41"/>
    <cellStyle name="Porcentaje 3" xfId="42"/>
    <cellStyle name="Porcentaje 3 2" xfId="43"/>
    <cellStyle name="Porcentaje 4" xfId="44"/>
    <cellStyle name="Porcentaje 4 2" xfId="45"/>
  </cellStyles>
  <dxfs count="8979">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indexed="22"/>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indexed="22"/>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10"/>
        </patternFill>
      </fill>
    </dxf>
    <dxf>
      <fill>
        <patternFill>
          <bgColor indexed="22"/>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indexed="1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indexed="10"/>
        </patternFill>
      </fill>
    </dxf>
    <dxf>
      <fill>
        <patternFill>
          <bgColor indexed="22"/>
        </patternFill>
      </fill>
    </dxf>
    <dxf>
      <fill>
        <patternFill>
          <bgColor indexed="22"/>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indexed="10"/>
        </patternFill>
      </fill>
    </dxf>
    <dxf>
      <fill>
        <patternFill>
          <bgColor indexed="22"/>
        </patternFill>
      </fill>
    </dxf>
    <dxf>
      <fill>
        <patternFill>
          <bgColor indexed="22"/>
        </patternFill>
      </fill>
    </dxf>
    <dxf>
      <fill>
        <patternFill>
          <bgColor indexed="22"/>
        </patternFill>
      </fill>
    </dxf>
    <dxf>
      <fill>
        <patternFill>
          <bgColor theme="3" tint="0.59996337778862885"/>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3" tint="0.59996337778862885"/>
        </patternFill>
      </fill>
    </dxf>
    <dxf>
      <fill>
        <patternFill>
          <bgColor indexed="1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1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8" tint="0.39994506668294322"/>
        </patternFill>
      </fill>
    </dxf>
    <dxf>
      <fill>
        <patternFill>
          <bgColor rgb="FF92D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indexed="10"/>
        </patternFill>
      </fill>
    </dxf>
    <dxf>
      <fill>
        <patternFill>
          <bgColor indexed="22"/>
        </patternFill>
      </fill>
    </dxf>
    <dxf>
      <fill>
        <patternFill>
          <bgColor indexed="22"/>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indexed="22"/>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indexed="22"/>
        </patternFill>
      </fill>
    </dxf>
    <dxf>
      <fill>
        <patternFill>
          <bgColor indexed="22"/>
        </patternFill>
      </fill>
    </dxf>
    <dxf>
      <fill>
        <patternFill>
          <bgColor indexed="22"/>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0"/>
        </patternFill>
      </fill>
    </dxf>
    <dxf>
      <fill>
        <patternFill>
          <bgColor theme="3" tint="0.59996337778862885"/>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theme="3" tint="0.59996337778862885"/>
        </patternFill>
      </fill>
    </dxf>
    <dxf>
      <fill>
        <patternFill>
          <bgColor theme="8"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indexed="10"/>
        </patternFill>
      </fill>
    </dxf>
    <dxf>
      <fill>
        <patternFill>
          <bgColor indexed="22"/>
        </patternFill>
      </fill>
    </dxf>
  </dxfs>
  <tableStyles count="0" defaultTableStyle="TableStyleMedium9" defaultPivotStyle="PivotStyleLight16"/>
  <colors>
    <mruColors>
      <color rgb="FFB08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2. </a:t>
            </a:r>
            <a:r>
              <a:rPr lang="es-CO" sz="1200" b="0" i="0" u="none" strike="noStrike" baseline="0">
                <a:solidFill>
                  <a:srgbClr val="000000"/>
                </a:solidFill>
                <a:latin typeface="Arial"/>
                <a:cs typeface="Arial"/>
              </a:rPr>
              <a:t>Numero y porcentaje de acueductos rurales por  nivel de riesgo sanitario .Antioquia  -  Colombia  2020</a:t>
            </a:r>
          </a:p>
        </c:rich>
      </c:tx>
      <c:layout/>
      <c:overlay val="1"/>
      <c:spPr>
        <a:scene3d>
          <a:camera prst="orthographicFront"/>
          <a:lightRig rig="threePt" dir="t"/>
        </a:scene3d>
        <a:sp3d>
          <a:bevelB/>
        </a:sp3d>
      </c:spPr>
    </c:title>
    <c:autoTitleDeleted val="0"/>
    <c:plotArea>
      <c:layout>
        <c:manualLayout>
          <c:layoutTarget val="inner"/>
          <c:xMode val="edge"/>
          <c:yMode val="edge"/>
          <c:x val="0.21014317301823926"/>
          <c:y val="0.2080573725184732"/>
          <c:w val="0.69094811687293856"/>
          <c:h val="0.66975581216643609"/>
        </c:manualLayout>
      </c:layout>
      <c:barChart>
        <c:barDir val="bar"/>
        <c:grouping val="stacked"/>
        <c:varyColors val="0"/>
        <c:ser>
          <c:idx val="1"/>
          <c:order val="1"/>
          <c:tx>
            <c:strRef>
              <c:f>'CONSOLIDADO-ACUEDUCTOSRURALES2'!$B$7</c:f>
              <c:strCache>
                <c:ptCount val="1"/>
                <c:pt idx="0">
                  <c:v>Número de Sistemas</c:v>
                </c:pt>
              </c:strCache>
            </c:strRef>
          </c:tx>
          <c:spPr>
            <a:solidFill>
              <a:schemeClr val="bg1">
                <a:lumMod val="85000"/>
              </a:schemeClr>
            </a:solidFill>
          </c:spPr>
          <c:invertIfNegative val="0"/>
          <c:dLbls>
            <c:dLbl>
              <c:idx val="0"/>
              <c:layout>
                <c:manualLayout>
                  <c:x val="0.18636171113934774"/>
                  <c:y val="5.055451505672625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9C9-467A-9691-805E6294C450}"/>
                </c:ext>
              </c:extLst>
            </c:dLbl>
            <c:dLbl>
              <c:idx val="1"/>
              <c:layout>
                <c:manualLayout>
                  <c:x val="7.1156289707750925E-2"/>
                  <c:y val="2.564807329451925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9C9-467A-9691-805E6294C450}"/>
                </c:ext>
              </c:extLst>
            </c:dLbl>
            <c:dLbl>
              <c:idx val="2"/>
              <c:layout>
                <c:manualLayout>
                  <c:x val="6.9462092333756886E-2"/>
                  <c:y val="7.694374442298075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9C9-467A-9691-805E6294C450}"/>
                </c:ext>
              </c:extLst>
            </c:dLbl>
            <c:dLbl>
              <c:idx val="3"/>
              <c:layout>
                <c:manualLayout>
                  <c:x val="0.19991515672993232"/>
                  <c:y val="2.42711877702700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9C9-467A-9691-805E6294C450}"/>
                </c:ext>
              </c:extLst>
            </c:dLbl>
            <c:dLbl>
              <c:idx val="4"/>
              <c:layout>
                <c:manualLayout>
                  <c:x val="0.3625582380347312"/>
                  <c:y val="2.638922936625449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9C9-467A-9691-805E6294C450}"/>
                </c:ext>
              </c:extLst>
            </c:dLbl>
            <c:dLbl>
              <c:idx val="5"/>
              <c:layout>
                <c:manualLayout>
                  <c:x val="0.23809689608366935"/>
                  <c:y val="2.480265931889273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9C9-467A-9691-805E6294C450}"/>
                </c:ext>
              </c:extLst>
            </c:dLbl>
            <c:spPr>
              <a:noFill/>
              <a:ln>
                <a:noFill/>
              </a:ln>
              <a:effectLst/>
            </c:spPr>
            <c:txPr>
              <a:bodyPr/>
              <a:lstStyle/>
              <a:p>
                <a:pPr>
                  <a:defRPr sz="1100" b="0"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('CONSOLIDADO-ACUEDUCTOSRURALES2'!$D$7,'CONSOLIDADO-ACUEDUCTOSRURALES2'!$F$7,'CONSOLIDADO-ACUEDUCTOSRURALES2'!$H$7,'CONSOLIDADO-ACUEDUCTOSRURALES2'!$J$7,'CONSOLIDADO-ACUEDUCTOSRURALES2'!$L$7,'CONSOLIDADO-ACUEDUCTOSRURALES2'!$N$7)</c:f>
              <c:strCache>
                <c:ptCount val="6"/>
                <c:pt idx="0">
                  <c:v>Sin Riesgo</c:v>
                </c:pt>
                <c:pt idx="1">
                  <c:v>Bajo</c:v>
                </c:pt>
                <c:pt idx="2">
                  <c:v>Medio</c:v>
                </c:pt>
                <c:pt idx="3">
                  <c:v>Alto</c:v>
                </c:pt>
                <c:pt idx="4">
                  <c:v>Inviable Sanitariamente</c:v>
                </c:pt>
                <c:pt idx="5">
                  <c:v>Sin Dato</c:v>
                </c:pt>
              </c:strCache>
            </c:strRef>
          </c:cat>
          <c:val>
            <c:numRef>
              <c:f>('CONSOLIDADO-ACUEDUCTOSRURALES2'!$D$17,'CONSOLIDADO-ACUEDUCTOSRURALES2'!$F$17,'CONSOLIDADO-ACUEDUCTOSRURALES2'!$H$17,'CONSOLIDADO-ACUEDUCTOSRURALES2'!$J$17,'CONSOLIDADO-ACUEDUCTOSRURALES2'!$L$17,'CONSOLIDADO-ACUEDUCTOSRURALES2'!$N$17)</c:f>
              <c:numCache>
                <c:formatCode>General</c:formatCode>
                <c:ptCount val="6"/>
                <c:pt idx="0">
                  <c:v>399</c:v>
                </c:pt>
                <c:pt idx="1">
                  <c:v>82</c:v>
                </c:pt>
                <c:pt idx="2">
                  <c:v>134</c:v>
                </c:pt>
                <c:pt idx="3">
                  <c:v>454</c:v>
                </c:pt>
                <c:pt idx="4">
                  <c:v>980</c:v>
                </c:pt>
                <c:pt idx="5">
                  <c:v>394</c:v>
                </c:pt>
              </c:numCache>
            </c:numRef>
          </c:val>
          <c:extLst>
            <c:ext xmlns:c16="http://schemas.microsoft.com/office/drawing/2014/chart" uri="{C3380CC4-5D6E-409C-BE32-E72D297353CC}">
              <c16:uniqueId val="{00000006-99C9-467A-9691-805E6294C450}"/>
            </c:ext>
          </c:extLst>
        </c:ser>
        <c:dLbls>
          <c:showLegendKey val="0"/>
          <c:showVal val="0"/>
          <c:showCatName val="0"/>
          <c:showSerName val="0"/>
          <c:showPercent val="0"/>
          <c:showBubbleSize val="0"/>
        </c:dLbls>
        <c:gapWidth val="136"/>
        <c:overlap val="-5"/>
        <c:axId val="179637072"/>
        <c:axId val="179637632"/>
      </c:barChart>
      <c:barChart>
        <c:barDir val="bar"/>
        <c:grouping val="stacked"/>
        <c:varyColors val="0"/>
        <c:ser>
          <c:idx val="0"/>
          <c:order val="0"/>
          <c:tx>
            <c:strRef>
              <c:f>'CONSOLIDADO-ACUEDUCTOSRURALES2'!$C$7</c:f>
              <c:strCache>
                <c:ptCount val="1"/>
                <c:pt idx="0">
                  <c:v>%</c:v>
                </c:pt>
              </c:strCache>
            </c:strRef>
          </c:tx>
          <c:spPr>
            <a:scene3d>
              <a:camera prst="orthographicFront"/>
              <a:lightRig rig="threePt" dir="t"/>
            </a:scene3d>
            <a:sp3d/>
          </c:spPr>
          <c:invertIfNegative val="0"/>
          <c:dPt>
            <c:idx val="0"/>
            <c:invertIfNegative val="0"/>
            <c:bubble3D val="0"/>
            <c:spPr>
              <a:solidFill>
                <a:schemeClr val="tx2">
                  <a:lumMod val="60000"/>
                  <a:lumOff val="40000"/>
                </a:schemeClr>
              </a:solidFill>
              <a:scene3d>
                <a:camera prst="orthographicFront"/>
                <a:lightRig rig="threePt" dir="t"/>
              </a:scene3d>
              <a:sp3d/>
            </c:spPr>
            <c:extLst>
              <c:ext xmlns:c16="http://schemas.microsoft.com/office/drawing/2014/chart" uri="{C3380CC4-5D6E-409C-BE32-E72D297353CC}">
                <c16:uniqueId val="{00000008-99C9-467A-9691-805E6294C450}"/>
              </c:ext>
            </c:extLst>
          </c:dPt>
          <c:dPt>
            <c:idx val="1"/>
            <c:invertIfNegative val="0"/>
            <c:bubble3D val="0"/>
            <c:spPr>
              <a:solidFill>
                <a:srgbClr val="92D050"/>
              </a:solidFill>
              <a:scene3d>
                <a:camera prst="orthographicFront"/>
                <a:lightRig rig="threePt" dir="t"/>
              </a:scene3d>
              <a:sp3d/>
            </c:spPr>
            <c:extLst>
              <c:ext xmlns:c16="http://schemas.microsoft.com/office/drawing/2014/chart" uri="{C3380CC4-5D6E-409C-BE32-E72D297353CC}">
                <c16:uniqueId val="{0000000A-99C9-467A-9691-805E6294C450}"/>
              </c:ext>
            </c:extLst>
          </c:dPt>
          <c:dPt>
            <c:idx val="2"/>
            <c:invertIfNegative val="0"/>
            <c:bubble3D val="0"/>
            <c:spPr>
              <a:solidFill>
                <a:srgbClr val="FFFF00"/>
              </a:solidFill>
              <a:scene3d>
                <a:camera prst="orthographicFront"/>
                <a:lightRig rig="threePt" dir="t"/>
              </a:scene3d>
              <a:sp3d/>
            </c:spPr>
            <c:extLst>
              <c:ext xmlns:c16="http://schemas.microsoft.com/office/drawing/2014/chart" uri="{C3380CC4-5D6E-409C-BE32-E72D297353CC}">
                <c16:uniqueId val="{0000000C-99C9-467A-9691-805E6294C450}"/>
              </c:ext>
            </c:extLst>
          </c:dPt>
          <c:dPt>
            <c:idx val="3"/>
            <c:invertIfNegative val="0"/>
            <c:bubble3D val="0"/>
            <c:spPr>
              <a:solidFill>
                <a:schemeClr val="accent6">
                  <a:lumMod val="75000"/>
                </a:schemeClr>
              </a:solidFill>
              <a:scene3d>
                <a:camera prst="orthographicFront"/>
                <a:lightRig rig="threePt" dir="t"/>
              </a:scene3d>
              <a:sp3d/>
            </c:spPr>
            <c:extLst>
              <c:ext xmlns:c16="http://schemas.microsoft.com/office/drawing/2014/chart" uri="{C3380CC4-5D6E-409C-BE32-E72D297353CC}">
                <c16:uniqueId val="{0000000E-99C9-467A-9691-805E6294C450}"/>
              </c:ext>
            </c:extLst>
          </c:dPt>
          <c:dPt>
            <c:idx val="4"/>
            <c:invertIfNegative val="0"/>
            <c:bubble3D val="0"/>
            <c:spPr>
              <a:solidFill>
                <a:srgbClr val="C00000"/>
              </a:solidFill>
              <a:scene3d>
                <a:camera prst="orthographicFront"/>
                <a:lightRig rig="threePt" dir="t"/>
              </a:scene3d>
              <a:sp3d/>
            </c:spPr>
            <c:extLst>
              <c:ext xmlns:c16="http://schemas.microsoft.com/office/drawing/2014/chart" uri="{C3380CC4-5D6E-409C-BE32-E72D297353CC}">
                <c16:uniqueId val="{00000010-99C9-467A-9691-805E6294C450}"/>
              </c:ext>
            </c:extLst>
          </c:dPt>
          <c:dPt>
            <c:idx val="5"/>
            <c:invertIfNegative val="0"/>
            <c:bubble3D val="0"/>
            <c:spPr>
              <a:solidFill>
                <a:schemeClr val="tx1">
                  <a:lumMod val="50000"/>
                  <a:lumOff val="50000"/>
                </a:schemeClr>
              </a:solidFill>
              <a:scene3d>
                <a:camera prst="orthographicFront"/>
                <a:lightRig rig="threePt" dir="t"/>
              </a:scene3d>
              <a:sp3d/>
            </c:spPr>
            <c:extLst>
              <c:ext xmlns:c16="http://schemas.microsoft.com/office/drawing/2014/chart" uri="{C3380CC4-5D6E-409C-BE32-E72D297353CC}">
                <c16:uniqueId val="{00000012-99C9-467A-9691-805E6294C450}"/>
              </c:ext>
            </c:extLst>
          </c:dPt>
          <c:dLbls>
            <c:dLbl>
              <c:idx val="4"/>
              <c:spPr/>
              <c:txPr>
                <a:bodyPr/>
                <a:lstStyle/>
                <a:p>
                  <a:pPr>
                    <a:defRPr sz="1200" b="1" i="0" u="none" strike="noStrike" baseline="0">
                      <a:solidFill>
                        <a:srgbClr val="FFFFFF"/>
                      </a:solidFill>
                      <a:latin typeface="Verdana"/>
                      <a:ea typeface="Verdana"/>
                      <a:cs typeface="Verdana"/>
                    </a:defRPr>
                  </a:pPr>
                  <a:endParaRPr lang="es-ES"/>
                </a:p>
              </c:txPr>
              <c:showLegendKey val="0"/>
              <c:showVal val="1"/>
              <c:showCatName val="0"/>
              <c:showSerName val="0"/>
              <c:showPercent val="0"/>
              <c:showBubbleSize val="0"/>
              <c:extLst>
                <c:ext xmlns:c16="http://schemas.microsoft.com/office/drawing/2014/chart" uri="{C3380CC4-5D6E-409C-BE32-E72D297353CC}">
                  <c16:uniqueId val="{00000010-99C9-467A-9691-805E6294C450}"/>
                </c:ext>
              </c:extLst>
            </c:dLbl>
            <c:dLbl>
              <c:idx val="5"/>
              <c:spPr/>
              <c:txPr>
                <a:bodyPr/>
                <a:lstStyle/>
                <a:p>
                  <a:pPr>
                    <a:defRPr sz="1200" b="1" i="0" u="none" strike="noStrike" baseline="0">
                      <a:solidFill>
                        <a:srgbClr val="FFFFFF"/>
                      </a:solidFill>
                      <a:latin typeface="Verdana"/>
                      <a:ea typeface="Verdana"/>
                      <a:cs typeface="Verdana"/>
                    </a:defRPr>
                  </a:pPr>
                  <a:endParaRPr lang="es-ES"/>
                </a:p>
              </c:txPr>
              <c:showLegendKey val="0"/>
              <c:showVal val="1"/>
              <c:showCatName val="0"/>
              <c:showSerName val="0"/>
              <c:showPercent val="0"/>
              <c:showBubbleSize val="0"/>
              <c:extLst>
                <c:ext xmlns:c16="http://schemas.microsoft.com/office/drawing/2014/chart" uri="{C3380CC4-5D6E-409C-BE32-E72D297353CC}">
                  <c16:uniqueId val="{00000012-99C9-467A-9691-805E6294C450}"/>
                </c:ext>
              </c:extLst>
            </c:dLbl>
            <c:spPr>
              <a:noFill/>
              <a:ln>
                <a:noFill/>
              </a:ln>
              <a:effectLst/>
            </c:spPr>
            <c:txPr>
              <a:bodyPr/>
              <a:lstStyle/>
              <a:p>
                <a:pPr>
                  <a:defRPr sz="1200" b="1"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('CONSOLIDADO-ACUEDUCTOSRURALES2'!$D$7,'CONSOLIDADO-ACUEDUCTOSRURALES2'!$F$7,'CONSOLIDADO-ACUEDUCTOSRURALES2'!$H$7,'CONSOLIDADO-ACUEDUCTOSRURALES2'!$J$7,'CONSOLIDADO-ACUEDUCTOSRURALES2'!$L$7,'CONSOLIDADO-ACUEDUCTOSRURALES2'!$N$7)</c:f>
              <c:strCache>
                <c:ptCount val="6"/>
                <c:pt idx="0">
                  <c:v>Sin Riesgo</c:v>
                </c:pt>
                <c:pt idx="1">
                  <c:v>Bajo</c:v>
                </c:pt>
                <c:pt idx="2">
                  <c:v>Medio</c:v>
                </c:pt>
                <c:pt idx="3">
                  <c:v>Alto</c:v>
                </c:pt>
                <c:pt idx="4">
                  <c:v>Inviable Sanitariamente</c:v>
                </c:pt>
                <c:pt idx="5">
                  <c:v>Sin Dato</c:v>
                </c:pt>
              </c:strCache>
            </c:strRef>
          </c:cat>
          <c:val>
            <c:numRef>
              <c:f>('CONSOLIDADO-ACUEDUCTOSRURALES2'!$E$17,'CONSOLIDADO-ACUEDUCTOSRURALES2'!$G$17,'CONSOLIDADO-ACUEDUCTOSRURALES2'!$I$17,'CONSOLIDADO-ACUEDUCTOSRURALES2'!$K$17,'CONSOLIDADO-ACUEDUCTOSRURALES2'!$M$17,'CONSOLIDADO-ACUEDUCTOSRURALES2'!$O$17)</c:f>
              <c:numCache>
                <c:formatCode>0.0</c:formatCode>
                <c:ptCount val="6"/>
                <c:pt idx="0">
                  <c:v>16.332378223495702</c:v>
                </c:pt>
                <c:pt idx="1">
                  <c:v>3.3565288579615231</c:v>
                </c:pt>
                <c:pt idx="2">
                  <c:v>5.4850593532541954</c:v>
                </c:pt>
                <c:pt idx="3">
                  <c:v>18.58370855505526</c:v>
                </c:pt>
                <c:pt idx="4">
                  <c:v>40.114613180515754</c:v>
                </c:pt>
                <c:pt idx="5">
                  <c:v>16.127711829717562</c:v>
                </c:pt>
              </c:numCache>
            </c:numRef>
          </c:val>
          <c:extLst>
            <c:ext xmlns:c16="http://schemas.microsoft.com/office/drawing/2014/chart" uri="{C3380CC4-5D6E-409C-BE32-E72D297353CC}">
              <c16:uniqueId val="{00000013-99C9-467A-9691-805E6294C450}"/>
            </c:ext>
          </c:extLst>
        </c:ser>
        <c:dLbls>
          <c:showLegendKey val="0"/>
          <c:showVal val="0"/>
          <c:showCatName val="0"/>
          <c:showSerName val="0"/>
          <c:showPercent val="0"/>
          <c:showBubbleSize val="0"/>
        </c:dLbls>
        <c:gapWidth val="132"/>
        <c:overlap val="-5"/>
        <c:axId val="179638192"/>
        <c:axId val="179638752"/>
      </c:barChart>
      <c:catAx>
        <c:axId val="179637072"/>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s-ES"/>
          </a:p>
        </c:txPr>
        <c:crossAx val="179637632"/>
        <c:crosses val="autoZero"/>
        <c:auto val="1"/>
        <c:lblAlgn val="ctr"/>
        <c:lblOffset val="100"/>
        <c:noMultiLvlLbl val="0"/>
      </c:catAx>
      <c:valAx>
        <c:axId val="179637632"/>
        <c:scaling>
          <c:orientation val="minMax"/>
          <c:max val="1000"/>
          <c:min val="0"/>
        </c:scaling>
        <c:delete val="0"/>
        <c:axPos val="b"/>
        <c:majorGridlines/>
        <c:title>
          <c:tx>
            <c:rich>
              <a:bodyPr/>
              <a:lstStyle/>
              <a:p>
                <a:pPr>
                  <a:defRPr sz="1200" b="0" i="0" u="none" strike="noStrike" baseline="0">
                    <a:solidFill>
                      <a:srgbClr val="000000"/>
                    </a:solidFill>
                    <a:latin typeface="Arial"/>
                    <a:ea typeface="Arial"/>
                    <a:cs typeface="Arial"/>
                  </a:defRPr>
                </a:pPr>
                <a:r>
                  <a:rPr lang="es-CO"/>
                  <a:t>Numero  de Acueductos</a:t>
                </a:r>
              </a:p>
            </c:rich>
          </c:tx>
          <c:layout>
            <c:manualLayout>
              <c:xMode val="edge"/>
              <c:yMode val="edge"/>
              <c:x val="0.4403355044405981"/>
              <c:y val="0.92924182208792894"/>
            </c:manualLayout>
          </c:layout>
          <c:overlay val="0"/>
        </c:title>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79637072"/>
        <c:crosses val="autoZero"/>
        <c:crossBetween val="between"/>
      </c:valAx>
      <c:catAx>
        <c:axId val="179638192"/>
        <c:scaling>
          <c:orientation val="minMax"/>
        </c:scaling>
        <c:delete val="1"/>
        <c:axPos val="l"/>
        <c:numFmt formatCode="General" sourceLinked="1"/>
        <c:majorTickMark val="out"/>
        <c:minorTickMark val="none"/>
        <c:tickLblPos val="nextTo"/>
        <c:crossAx val="179638752"/>
        <c:crosses val="autoZero"/>
        <c:auto val="1"/>
        <c:lblAlgn val="ctr"/>
        <c:lblOffset val="100"/>
        <c:noMultiLvlLbl val="0"/>
      </c:catAx>
      <c:valAx>
        <c:axId val="179638752"/>
        <c:scaling>
          <c:orientation val="minMax"/>
          <c:max val="50"/>
          <c:min val="0"/>
        </c:scaling>
        <c:delete val="0"/>
        <c:axPos val="t"/>
        <c:title>
          <c:tx>
            <c:rich>
              <a:bodyPr/>
              <a:lstStyle/>
              <a:p>
                <a:pPr>
                  <a:defRPr sz="1200" b="0" i="0" u="none" strike="noStrike" baseline="0">
                    <a:solidFill>
                      <a:srgbClr val="000000"/>
                    </a:solidFill>
                    <a:latin typeface="Arial"/>
                    <a:ea typeface="Arial"/>
                    <a:cs typeface="Arial"/>
                  </a:defRPr>
                </a:pPr>
                <a:r>
                  <a:rPr lang="es-CO"/>
                  <a:t>Porcentaje</a:t>
                </a:r>
              </a:p>
            </c:rich>
          </c:tx>
          <c:layout>
            <c:manualLayout>
              <c:xMode val="edge"/>
              <c:yMode val="edge"/>
              <c:x val="0.49828972776115821"/>
              <c:y val="0.1054735076829952"/>
            </c:manualLayout>
          </c:layout>
          <c:overlay val="0"/>
        </c:title>
        <c:numFmt formatCode="0.0"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79638192"/>
        <c:crosses val="max"/>
        <c:crossBetween val="between"/>
      </c:valAx>
      <c:spPr>
        <a:noFill/>
        <a:ln w="25400">
          <a:noFill/>
        </a:ln>
      </c:spPr>
    </c:plotArea>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10</a:t>
            </a:r>
            <a:r>
              <a:rPr lang="es-CO" sz="1200" b="0" i="0" u="none" strike="noStrike" baseline="0">
                <a:solidFill>
                  <a:srgbClr val="000000"/>
                </a:solidFill>
                <a:latin typeface="Arial"/>
                <a:cs typeface="Arial"/>
              </a:rPr>
              <a:t>. Numero y porcentaje de acueductos rurales por  nivel de riesgo sanitario subregión Occidente - Antioquia - Colombia  2020</a:t>
            </a:r>
          </a:p>
        </c:rich>
      </c:tx>
      <c:layout/>
      <c:overlay val="1"/>
      <c:spPr>
        <a:scene3d>
          <a:camera prst="orthographicFront"/>
          <a:lightRig rig="threePt" dir="t"/>
        </a:scene3d>
        <a:sp3d>
          <a:bevelB/>
        </a:sp3d>
      </c:spPr>
    </c:title>
    <c:autoTitleDeleted val="0"/>
    <c:plotArea>
      <c:layout>
        <c:manualLayout>
          <c:layoutTarget val="inner"/>
          <c:xMode val="edge"/>
          <c:yMode val="edge"/>
          <c:x val="0.21014317301823926"/>
          <c:y val="0.2080573725184732"/>
          <c:w val="0.69094811687293856"/>
          <c:h val="0.66975581216643609"/>
        </c:manualLayout>
      </c:layout>
      <c:barChart>
        <c:barDir val="bar"/>
        <c:grouping val="stacked"/>
        <c:varyColors val="0"/>
        <c:ser>
          <c:idx val="1"/>
          <c:order val="1"/>
          <c:tx>
            <c:strRef>
              <c:f>'CONSOLIDADO-ACUEDUCTOSRURALES2'!$B$78</c:f>
              <c:strCache>
                <c:ptCount val="1"/>
                <c:pt idx="0">
                  <c:v>Número de Sistemas</c:v>
                </c:pt>
              </c:strCache>
            </c:strRef>
          </c:tx>
          <c:spPr>
            <a:solidFill>
              <a:schemeClr val="bg1">
                <a:lumMod val="85000"/>
              </a:schemeClr>
            </a:solidFill>
          </c:spPr>
          <c:invertIfNegative val="0"/>
          <c:dLbls>
            <c:dLbl>
              <c:idx val="0"/>
              <c:layout>
                <c:manualLayout>
                  <c:x val="5.5908513341804321E-2"/>
                  <c:y val="-2.536780603573978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DA9-41B1-BC75-80E2E73BFBDD}"/>
                </c:ext>
              </c:extLst>
            </c:dLbl>
            <c:dLbl>
              <c:idx val="1"/>
              <c:layout>
                <c:manualLayout>
                  <c:x val="4.5743195696471839E-2"/>
                  <c:y val="3.2268193866502045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DA9-41B1-BC75-80E2E73BFBDD}"/>
                </c:ext>
              </c:extLst>
            </c:dLbl>
            <c:dLbl>
              <c:idx val="2"/>
              <c:layout>
                <c:manualLayout>
                  <c:x val="4.7437526471833968E-2"/>
                  <c:y val="3.8414738387586611E-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DA9-41B1-BC75-80E2E73BFBDD}"/>
                </c:ext>
              </c:extLst>
            </c:dLbl>
            <c:dLbl>
              <c:idx val="3"/>
              <c:layout>
                <c:manualLayout>
                  <c:x val="6.9462092333756886E-2"/>
                  <c:y val="2.55427841634738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DA9-41B1-BC75-80E2E73BFBDD}"/>
                </c:ext>
              </c:extLst>
            </c:dLbl>
            <c:dLbl>
              <c:idx val="4"/>
              <c:layout>
                <c:manualLayout>
                  <c:x val="0.37452340693753799"/>
                  <c:y val="1.3877575647824775E-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DA9-41B1-BC75-80E2E73BFBDD}"/>
                </c:ext>
              </c:extLst>
            </c:dLbl>
            <c:dLbl>
              <c:idx val="5"/>
              <c:layout>
                <c:manualLayout>
                  <c:x val="0.20221126107648235"/>
                  <c:y val="-3.6202371255317224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DA9-41B1-BC75-80E2E73BFBDD}"/>
                </c:ext>
              </c:extLst>
            </c:dLbl>
            <c:spPr>
              <a:noFill/>
              <a:ln>
                <a:noFill/>
              </a:ln>
              <a:effectLst/>
            </c:spPr>
            <c:txPr>
              <a:bodyPr/>
              <a:lstStyle/>
              <a:p>
                <a:pPr>
                  <a:defRPr sz="1100" b="0"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('CONSOLIDADO-ACUEDUCTOSRURALES2'!$D$78,'CONSOLIDADO-ACUEDUCTOSRURALES2'!$F$78,'CONSOLIDADO-ACUEDUCTOSRURALES2'!$H$78,'CONSOLIDADO-ACUEDUCTOSRURALES2'!$J$78,'CONSOLIDADO-ACUEDUCTOSRURALES2'!$L$78,'CONSOLIDADO-ACUEDUCTOSRURALES2'!$N$78)</c:f>
              <c:strCache>
                <c:ptCount val="6"/>
                <c:pt idx="0">
                  <c:v>Sin Riesgo</c:v>
                </c:pt>
                <c:pt idx="1">
                  <c:v>Bajo</c:v>
                </c:pt>
                <c:pt idx="2">
                  <c:v>Medio</c:v>
                </c:pt>
                <c:pt idx="3">
                  <c:v>Alto</c:v>
                </c:pt>
                <c:pt idx="4">
                  <c:v>Inviable Sanitariamente</c:v>
                </c:pt>
                <c:pt idx="5">
                  <c:v>Sin Dato</c:v>
                </c:pt>
              </c:strCache>
            </c:strRef>
          </c:cat>
          <c:val>
            <c:numRef>
              <c:f>('CONSOLIDADO-ACUEDUCTOSRURALES2'!$D$98,'CONSOLIDADO-ACUEDUCTOSRURALES2'!$F$98,'CONSOLIDADO-ACUEDUCTOSRURALES2'!$H$98,'CONSOLIDADO-ACUEDUCTOSRURALES2'!$J$98,'CONSOLIDADO-ACUEDUCTOSRURALES2'!$L$98,'CONSOLIDADO-ACUEDUCTOSRURALES2'!$N$98)</c:f>
              <c:numCache>
                <c:formatCode>General</c:formatCode>
                <c:ptCount val="6"/>
                <c:pt idx="0">
                  <c:v>22</c:v>
                </c:pt>
                <c:pt idx="1">
                  <c:v>3</c:v>
                </c:pt>
                <c:pt idx="2">
                  <c:v>3</c:v>
                </c:pt>
                <c:pt idx="3">
                  <c:v>64</c:v>
                </c:pt>
                <c:pt idx="4">
                  <c:v>318</c:v>
                </c:pt>
                <c:pt idx="5">
                  <c:v>112</c:v>
                </c:pt>
              </c:numCache>
            </c:numRef>
          </c:val>
          <c:extLst>
            <c:ext xmlns:c16="http://schemas.microsoft.com/office/drawing/2014/chart" uri="{C3380CC4-5D6E-409C-BE32-E72D297353CC}">
              <c16:uniqueId val="{00000006-1DA9-41B1-BC75-80E2E73BFBDD}"/>
            </c:ext>
          </c:extLst>
        </c:ser>
        <c:dLbls>
          <c:showLegendKey val="0"/>
          <c:showVal val="0"/>
          <c:showCatName val="0"/>
          <c:showSerName val="0"/>
          <c:showPercent val="0"/>
          <c:showBubbleSize val="0"/>
        </c:dLbls>
        <c:gapWidth val="135"/>
        <c:overlap val="-5"/>
        <c:axId val="187938688"/>
        <c:axId val="187939248"/>
      </c:barChart>
      <c:barChart>
        <c:barDir val="bar"/>
        <c:grouping val="stacked"/>
        <c:varyColors val="0"/>
        <c:ser>
          <c:idx val="0"/>
          <c:order val="0"/>
          <c:tx>
            <c:strRef>
              <c:f>'CONSOLIDADO-ACUEDUCTOSRURALES2'!$C$78</c:f>
              <c:strCache>
                <c:ptCount val="1"/>
                <c:pt idx="0">
                  <c:v>%</c:v>
                </c:pt>
              </c:strCache>
            </c:strRef>
          </c:tx>
          <c:spPr>
            <a:scene3d>
              <a:camera prst="orthographicFront"/>
              <a:lightRig rig="threePt" dir="t"/>
            </a:scene3d>
            <a:sp3d/>
          </c:spPr>
          <c:invertIfNegative val="0"/>
          <c:dPt>
            <c:idx val="0"/>
            <c:invertIfNegative val="0"/>
            <c:bubble3D val="0"/>
            <c:spPr>
              <a:solidFill>
                <a:schemeClr val="tx2">
                  <a:lumMod val="60000"/>
                  <a:lumOff val="40000"/>
                </a:schemeClr>
              </a:solidFill>
              <a:scene3d>
                <a:camera prst="orthographicFront"/>
                <a:lightRig rig="threePt" dir="t"/>
              </a:scene3d>
              <a:sp3d/>
            </c:spPr>
            <c:extLst>
              <c:ext xmlns:c16="http://schemas.microsoft.com/office/drawing/2014/chart" uri="{C3380CC4-5D6E-409C-BE32-E72D297353CC}">
                <c16:uniqueId val="{00000008-1DA9-41B1-BC75-80E2E73BFBDD}"/>
              </c:ext>
            </c:extLst>
          </c:dPt>
          <c:dPt>
            <c:idx val="1"/>
            <c:invertIfNegative val="0"/>
            <c:bubble3D val="0"/>
            <c:spPr>
              <a:solidFill>
                <a:srgbClr val="92D050"/>
              </a:solidFill>
              <a:scene3d>
                <a:camera prst="orthographicFront"/>
                <a:lightRig rig="threePt" dir="t"/>
              </a:scene3d>
              <a:sp3d/>
            </c:spPr>
            <c:extLst>
              <c:ext xmlns:c16="http://schemas.microsoft.com/office/drawing/2014/chart" uri="{C3380CC4-5D6E-409C-BE32-E72D297353CC}">
                <c16:uniqueId val="{0000000A-1DA9-41B1-BC75-80E2E73BFBDD}"/>
              </c:ext>
            </c:extLst>
          </c:dPt>
          <c:dPt>
            <c:idx val="2"/>
            <c:invertIfNegative val="0"/>
            <c:bubble3D val="0"/>
            <c:spPr>
              <a:solidFill>
                <a:srgbClr val="FFFF00"/>
              </a:solidFill>
              <a:scene3d>
                <a:camera prst="orthographicFront"/>
                <a:lightRig rig="threePt" dir="t"/>
              </a:scene3d>
              <a:sp3d/>
            </c:spPr>
            <c:extLst>
              <c:ext xmlns:c16="http://schemas.microsoft.com/office/drawing/2014/chart" uri="{C3380CC4-5D6E-409C-BE32-E72D297353CC}">
                <c16:uniqueId val="{0000000C-1DA9-41B1-BC75-80E2E73BFBDD}"/>
              </c:ext>
            </c:extLst>
          </c:dPt>
          <c:dPt>
            <c:idx val="3"/>
            <c:invertIfNegative val="0"/>
            <c:bubble3D val="0"/>
            <c:spPr>
              <a:solidFill>
                <a:schemeClr val="accent6">
                  <a:lumMod val="75000"/>
                </a:schemeClr>
              </a:solidFill>
              <a:scene3d>
                <a:camera prst="orthographicFront"/>
                <a:lightRig rig="threePt" dir="t"/>
              </a:scene3d>
              <a:sp3d/>
            </c:spPr>
            <c:extLst>
              <c:ext xmlns:c16="http://schemas.microsoft.com/office/drawing/2014/chart" uri="{C3380CC4-5D6E-409C-BE32-E72D297353CC}">
                <c16:uniqueId val="{0000000E-1DA9-41B1-BC75-80E2E73BFBDD}"/>
              </c:ext>
            </c:extLst>
          </c:dPt>
          <c:dPt>
            <c:idx val="4"/>
            <c:invertIfNegative val="0"/>
            <c:bubble3D val="0"/>
            <c:spPr>
              <a:solidFill>
                <a:srgbClr val="C00000"/>
              </a:solidFill>
              <a:scene3d>
                <a:camera prst="orthographicFront"/>
                <a:lightRig rig="threePt" dir="t"/>
              </a:scene3d>
              <a:sp3d/>
            </c:spPr>
            <c:extLst>
              <c:ext xmlns:c16="http://schemas.microsoft.com/office/drawing/2014/chart" uri="{C3380CC4-5D6E-409C-BE32-E72D297353CC}">
                <c16:uniqueId val="{00000010-1DA9-41B1-BC75-80E2E73BFBDD}"/>
              </c:ext>
            </c:extLst>
          </c:dPt>
          <c:dPt>
            <c:idx val="5"/>
            <c:invertIfNegative val="0"/>
            <c:bubble3D val="0"/>
            <c:spPr>
              <a:solidFill>
                <a:schemeClr val="tx1">
                  <a:lumMod val="50000"/>
                  <a:lumOff val="50000"/>
                </a:schemeClr>
              </a:solidFill>
              <a:scene3d>
                <a:camera prst="orthographicFront"/>
                <a:lightRig rig="threePt" dir="t"/>
              </a:scene3d>
              <a:sp3d/>
            </c:spPr>
            <c:extLst>
              <c:ext xmlns:c16="http://schemas.microsoft.com/office/drawing/2014/chart" uri="{C3380CC4-5D6E-409C-BE32-E72D297353CC}">
                <c16:uniqueId val="{00000012-1DA9-41B1-BC75-80E2E73BFBDD}"/>
              </c:ext>
            </c:extLst>
          </c:dPt>
          <c:dLbls>
            <c:dLbl>
              <c:idx val="0"/>
              <c:layout>
                <c:manualLayout>
                  <c:x val="-2.4780638125443976E-3"/>
                  <c:y val="5.1703730384718618E-3"/>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DA9-41B1-BC75-80E2E73BFBDD}"/>
                </c:ext>
              </c:extLst>
            </c:dLbl>
            <c:dLbl>
              <c:idx val="2"/>
              <c:layout>
                <c:manualLayout>
                  <c:x val="-7.0223814145214062E-3"/>
                  <c:y val="2.9951698821339763E-3"/>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DA9-41B1-BC75-80E2E73BFBDD}"/>
                </c:ext>
              </c:extLst>
            </c:dLbl>
            <c:dLbl>
              <c:idx val="3"/>
              <c:layout>
                <c:manualLayout>
                  <c:x val="-5.8641240365919951E-2"/>
                  <c:y val="-3.4937926613793935E-4"/>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DA9-41B1-BC75-80E2E73BFBDD}"/>
                </c:ext>
              </c:extLst>
            </c:dLbl>
            <c:dLbl>
              <c:idx val="4"/>
              <c:layout>
                <c:manualLayout>
                  <c:x val="5.8401784910304564E-3"/>
                  <c:y val="1.7638599772729091E-3"/>
                </c:manualLayout>
              </c:layout>
              <c:spPr/>
              <c:txPr>
                <a:bodyPr/>
                <a:lstStyle/>
                <a:p>
                  <a:pPr>
                    <a:defRPr sz="1200" b="1" i="0" u="none" strike="noStrike" baseline="0">
                      <a:solidFill>
                        <a:srgbClr val="FFFFFF"/>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DA9-41B1-BC75-80E2E73BFBDD}"/>
                </c:ext>
              </c:extLst>
            </c:dLbl>
            <c:dLbl>
              <c:idx val="5"/>
              <c:layout>
                <c:manualLayout>
                  <c:x val="7.0845464520238651E-3"/>
                  <c:y val="4.5846280709164232E-3"/>
                </c:manualLayout>
              </c:layout>
              <c:spPr/>
              <c:txPr>
                <a:bodyPr/>
                <a:lstStyle/>
                <a:p>
                  <a:pPr>
                    <a:defRPr sz="1200" b="1" i="0" u="none" strike="noStrike" baseline="0">
                      <a:solidFill>
                        <a:srgbClr val="FFFFFF"/>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DA9-41B1-BC75-80E2E73BFBDD}"/>
                </c:ext>
              </c:extLst>
            </c:dLbl>
            <c:spPr>
              <a:noFill/>
              <a:ln w="25400">
                <a:noFill/>
              </a:ln>
            </c:spPr>
            <c:txPr>
              <a:bodyPr/>
              <a:lstStyle/>
              <a:p>
                <a:pPr>
                  <a:defRPr sz="1200" b="1"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('CONSOLIDADO-ACUEDUCTOSRURALES2'!$D$7,'CONSOLIDADO-ACUEDUCTOSRURALES2'!$F$7,'CONSOLIDADO-ACUEDUCTOSRURALES2'!$H$7,'CONSOLIDADO-ACUEDUCTOSRURALES2'!$J$7,'CONSOLIDADO-ACUEDUCTOSRURALES2'!$L$7,'CONSOLIDADO-ACUEDUCTOSRURALES2'!$N$7)</c:f>
              <c:strCache>
                <c:ptCount val="6"/>
                <c:pt idx="0">
                  <c:v>Sin Riesgo</c:v>
                </c:pt>
                <c:pt idx="1">
                  <c:v>Bajo</c:v>
                </c:pt>
                <c:pt idx="2">
                  <c:v>Medio</c:v>
                </c:pt>
                <c:pt idx="3">
                  <c:v>Alto</c:v>
                </c:pt>
                <c:pt idx="4">
                  <c:v>Inviable Sanitariamente</c:v>
                </c:pt>
                <c:pt idx="5">
                  <c:v>Sin Dato</c:v>
                </c:pt>
              </c:strCache>
            </c:strRef>
          </c:cat>
          <c:val>
            <c:numRef>
              <c:f>('CONSOLIDADO-ACUEDUCTOSRURALES2'!$E$98,'CONSOLIDADO-ACUEDUCTOSRURALES2'!$G$98,'CONSOLIDADO-ACUEDUCTOSRURALES2'!$I$98,'CONSOLIDADO-ACUEDUCTOSRURALES2'!$K$98,'CONSOLIDADO-ACUEDUCTOSRURALES2'!$M$98,'CONSOLIDADO-ACUEDUCTOSRURALES2'!$O$98)</c:f>
              <c:numCache>
                <c:formatCode>0.0</c:formatCode>
                <c:ptCount val="6"/>
                <c:pt idx="0">
                  <c:v>4.2145593869731801</c:v>
                </c:pt>
                <c:pt idx="1">
                  <c:v>0.57471264367816088</c:v>
                </c:pt>
                <c:pt idx="2">
                  <c:v>0.57471264367816088</c:v>
                </c:pt>
                <c:pt idx="3">
                  <c:v>12.260536398467432</c:v>
                </c:pt>
                <c:pt idx="4">
                  <c:v>60.919540229885058</c:v>
                </c:pt>
                <c:pt idx="5">
                  <c:v>21.455938697318008</c:v>
                </c:pt>
              </c:numCache>
            </c:numRef>
          </c:val>
          <c:extLst>
            <c:ext xmlns:c16="http://schemas.microsoft.com/office/drawing/2014/chart" uri="{C3380CC4-5D6E-409C-BE32-E72D297353CC}">
              <c16:uniqueId val="{00000013-1DA9-41B1-BC75-80E2E73BFBDD}"/>
            </c:ext>
          </c:extLst>
        </c:ser>
        <c:dLbls>
          <c:showLegendKey val="0"/>
          <c:showVal val="0"/>
          <c:showCatName val="0"/>
          <c:showSerName val="0"/>
          <c:showPercent val="0"/>
          <c:showBubbleSize val="0"/>
        </c:dLbls>
        <c:gapWidth val="136"/>
        <c:overlap val="-5"/>
        <c:axId val="187939808"/>
        <c:axId val="187940368"/>
      </c:barChart>
      <c:catAx>
        <c:axId val="187938688"/>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s-ES"/>
          </a:p>
        </c:txPr>
        <c:crossAx val="187939248"/>
        <c:crosses val="autoZero"/>
        <c:auto val="1"/>
        <c:lblAlgn val="ctr"/>
        <c:lblOffset val="100"/>
        <c:noMultiLvlLbl val="0"/>
      </c:catAx>
      <c:valAx>
        <c:axId val="187939248"/>
        <c:scaling>
          <c:orientation val="minMax"/>
          <c:min val="0"/>
        </c:scaling>
        <c:delete val="0"/>
        <c:axPos val="b"/>
        <c:majorGridlines/>
        <c:title>
          <c:tx>
            <c:rich>
              <a:bodyPr/>
              <a:lstStyle/>
              <a:p>
                <a:pPr>
                  <a:defRPr sz="1200" b="0" i="0" u="none" strike="noStrike" baseline="0">
                    <a:solidFill>
                      <a:srgbClr val="000000"/>
                    </a:solidFill>
                    <a:latin typeface="Arial"/>
                    <a:ea typeface="Arial"/>
                    <a:cs typeface="Arial"/>
                  </a:defRPr>
                </a:pPr>
                <a:r>
                  <a:rPr lang="es-CO"/>
                  <a:t>Numero  de Acueductos</a:t>
                </a:r>
              </a:p>
            </c:rich>
          </c:tx>
          <c:layout>
            <c:manualLayout>
              <c:xMode val="edge"/>
              <c:yMode val="edge"/>
              <c:x val="0.4403355044405981"/>
              <c:y val="0.92924191493607167"/>
            </c:manualLayout>
          </c:layout>
          <c:overlay val="0"/>
        </c:title>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87938688"/>
        <c:crosses val="autoZero"/>
        <c:crossBetween val="between"/>
      </c:valAx>
      <c:catAx>
        <c:axId val="187939808"/>
        <c:scaling>
          <c:orientation val="minMax"/>
        </c:scaling>
        <c:delete val="1"/>
        <c:axPos val="l"/>
        <c:numFmt formatCode="General" sourceLinked="1"/>
        <c:majorTickMark val="out"/>
        <c:minorTickMark val="none"/>
        <c:tickLblPos val="nextTo"/>
        <c:crossAx val="187940368"/>
        <c:crosses val="autoZero"/>
        <c:auto val="1"/>
        <c:lblAlgn val="ctr"/>
        <c:lblOffset val="100"/>
        <c:noMultiLvlLbl val="0"/>
      </c:catAx>
      <c:valAx>
        <c:axId val="187940368"/>
        <c:scaling>
          <c:orientation val="minMax"/>
          <c:min val="0"/>
        </c:scaling>
        <c:delete val="0"/>
        <c:axPos val="t"/>
        <c:title>
          <c:tx>
            <c:rich>
              <a:bodyPr/>
              <a:lstStyle/>
              <a:p>
                <a:pPr>
                  <a:defRPr sz="1200" b="0" i="0" u="none" strike="noStrike" baseline="0">
                    <a:solidFill>
                      <a:srgbClr val="000000"/>
                    </a:solidFill>
                    <a:latin typeface="Arial"/>
                    <a:ea typeface="Arial"/>
                    <a:cs typeface="Arial"/>
                  </a:defRPr>
                </a:pPr>
                <a:r>
                  <a:rPr lang="es-CO"/>
                  <a:t>Porcentaje</a:t>
                </a:r>
              </a:p>
            </c:rich>
          </c:tx>
          <c:layout>
            <c:manualLayout>
              <c:xMode val="edge"/>
              <c:yMode val="edge"/>
              <c:x val="0.49828972776115821"/>
              <c:y val="0.10547354095357964"/>
            </c:manualLayout>
          </c:layout>
          <c:overlay val="0"/>
        </c:title>
        <c:numFmt formatCode="0.0"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87939808"/>
        <c:crosses val="max"/>
        <c:crossBetween val="between"/>
      </c:valAx>
      <c:spPr>
        <a:noFill/>
        <a:ln w="25400">
          <a:noFill/>
        </a:ln>
      </c:spPr>
    </c:plotArea>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11</a:t>
            </a:r>
            <a:r>
              <a:rPr lang="es-CO" sz="1200" b="0" i="0" u="none" strike="noStrike" baseline="0">
                <a:solidFill>
                  <a:srgbClr val="000000"/>
                </a:solidFill>
                <a:latin typeface="Arial"/>
                <a:cs typeface="Arial"/>
              </a:rPr>
              <a:t>. Número y porcentaje de acueductos rurales  subregión </a:t>
            </a:r>
          </a:p>
          <a:p>
            <a:pPr>
              <a:defRPr sz="1000" b="0" i="0" u="none" strike="noStrike" baseline="0">
                <a:solidFill>
                  <a:srgbClr val="000000"/>
                </a:solidFill>
                <a:latin typeface="Calibri"/>
                <a:ea typeface="Calibri"/>
                <a:cs typeface="Calibri"/>
              </a:defRPr>
            </a:pPr>
            <a:r>
              <a:rPr lang="es-CO" sz="1200" b="0" i="0" u="none" strike="noStrike" baseline="0">
                <a:solidFill>
                  <a:srgbClr val="000000"/>
                </a:solidFill>
                <a:latin typeface="Arial"/>
                <a:cs typeface="Arial"/>
              </a:rPr>
              <a:t>Suroeste - Antioquia- Colombia 2020</a:t>
            </a:r>
          </a:p>
        </c:rich>
      </c:tx>
      <c:layout>
        <c:manualLayout>
          <c:xMode val="edge"/>
          <c:yMode val="edge"/>
          <c:x val="0.17977430486163851"/>
          <c:y val="1.1976046683484953E-2"/>
        </c:manualLayout>
      </c:layout>
      <c:overlay val="0"/>
    </c:title>
    <c:autoTitleDeleted val="0"/>
    <c:plotArea>
      <c:layout>
        <c:manualLayout>
          <c:layoutTarget val="inner"/>
          <c:xMode val="edge"/>
          <c:yMode val="edge"/>
          <c:x val="0.14438480088466099"/>
          <c:y val="0.10723879515060618"/>
          <c:w val="0.73332374062379257"/>
          <c:h val="0.63053478315210598"/>
        </c:manualLayout>
      </c:layout>
      <c:barChart>
        <c:barDir val="col"/>
        <c:grouping val="clustered"/>
        <c:varyColors val="0"/>
        <c:ser>
          <c:idx val="0"/>
          <c:order val="0"/>
          <c:tx>
            <c:strRef>
              <c:f>'CONSOLIDADO-ACUEDUCTOSRURALES2'!$B$102</c:f>
              <c:strCache>
                <c:ptCount val="1"/>
                <c:pt idx="0">
                  <c:v>Número de Sistemas</c:v>
                </c:pt>
              </c:strCache>
            </c:strRef>
          </c:tx>
          <c:spPr>
            <a:solidFill>
              <a:schemeClr val="tx1">
                <a:lumMod val="65000"/>
                <a:lumOff val="35000"/>
              </a:schemeClr>
            </a:solidFill>
            <a:scene3d>
              <a:camera prst="orthographicFront"/>
              <a:lightRig rig="threePt" dir="t"/>
            </a:scene3d>
            <a:sp3d/>
          </c:spPr>
          <c:invertIfNegative val="0"/>
          <c:dLbls>
            <c:spPr>
              <a:noFill/>
              <a:ln w="25400">
                <a:noFill/>
              </a:ln>
            </c:spPr>
            <c:txPr>
              <a:bodyPr rot="-5400000" vert="horz"/>
              <a:lstStyle/>
              <a:p>
                <a:pPr>
                  <a:defRPr sz="14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'CONSOLIDADO-ACUEDUCTOSRURALES2'!$A$103:$A$125</c:f>
              <c:strCache>
                <c:ptCount val="23"/>
                <c:pt idx="0">
                  <c:v>Amaga</c:v>
                </c:pt>
                <c:pt idx="1">
                  <c:v>Andes</c:v>
                </c:pt>
                <c:pt idx="2">
                  <c:v>Angelópolis</c:v>
                </c:pt>
                <c:pt idx="3">
                  <c:v>Betania</c:v>
                </c:pt>
                <c:pt idx="4">
                  <c:v>Betulia</c:v>
                </c:pt>
                <c:pt idx="5">
                  <c:v>Caramanta</c:v>
                </c:pt>
                <c:pt idx="6">
                  <c:v>Ciudad Bolívar</c:v>
                </c:pt>
                <c:pt idx="7">
                  <c:v>Concordia</c:v>
                </c:pt>
                <c:pt idx="8">
                  <c:v>Fredonia</c:v>
                </c:pt>
                <c:pt idx="9">
                  <c:v>Hispania</c:v>
                </c:pt>
                <c:pt idx="10">
                  <c:v>Jardín</c:v>
                </c:pt>
                <c:pt idx="11">
                  <c:v>Jericó</c:v>
                </c:pt>
                <c:pt idx="12">
                  <c:v>La Pintada</c:v>
                </c:pt>
                <c:pt idx="13">
                  <c:v>Montebello</c:v>
                </c:pt>
                <c:pt idx="14">
                  <c:v>Pueblorrico</c:v>
                </c:pt>
                <c:pt idx="15">
                  <c:v>Salgar</c:v>
                </c:pt>
                <c:pt idx="16">
                  <c:v>Santa Bárbara</c:v>
                </c:pt>
                <c:pt idx="17">
                  <c:v>Tamesis</c:v>
                </c:pt>
                <c:pt idx="18">
                  <c:v>Tarso</c:v>
                </c:pt>
                <c:pt idx="19">
                  <c:v>Titiribí</c:v>
                </c:pt>
                <c:pt idx="20">
                  <c:v>Urrao</c:v>
                </c:pt>
                <c:pt idx="21">
                  <c:v>Valparaíso</c:v>
                </c:pt>
                <c:pt idx="22">
                  <c:v>Venecia</c:v>
                </c:pt>
              </c:strCache>
            </c:strRef>
          </c:cat>
          <c:val>
            <c:numRef>
              <c:f>'CONSOLIDADO-ACUEDUCTOSRURALES2'!$B$103:$B$125</c:f>
              <c:numCache>
                <c:formatCode>General</c:formatCode>
                <c:ptCount val="23"/>
                <c:pt idx="0">
                  <c:v>34</c:v>
                </c:pt>
                <c:pt idx="1">
                  <c:v>59</c:v>
                </c:pt>
                <c:pt idx="2">
                  <c:v>12</c:v>
                </c:pt>
                <c:pt idx="3">
                  <c:v>12</c:v>
                </c:pt>
                <c:pt idx="4">
                  <c:v>28</c:v>
                </c:pt>
                <c:pt idx="5">
                  <c:v>16</c:v>
                </c:pt>
                <c:pt idx="6">
                  <c:v>17</c:v>
                </c:pt>
                <c:pt idx="7">
                  <c:v>21</c:v>
                </c:pt>
                <c:pt idx="8">
                  <c:v>36</c:v>
                </c:pt>
                <c:pt idx="9">
                  <c:v>9</c:v>
                </c:pt>
                <c:pt idx="10">
                  <c:v>23</c:v>
                </c:pt>
                <c:pt idx="11">
                  <c:v>25</c:v>
                </c:pt>
                <c:pt idx="12">
                  <c:v>0</c:v>
                </c:pt>
                <c:pt idx="13">
                  <c:v>19</c:v>
                </c:pt>
                <c:pt idx="14">
                  <c:v>6</c:v>
                </c:pt>
                <c:pt idx="15">
                  <c:v>28</c:v>
                </c:pt>
                <c:pt idx="16">
                  <c:v>41</c:v>
                </c:pt>
                <c:pt idx="17">
                  <c:v>33</c:v>
                </c:pt>
                <c:pt idx="18">
                  <c:v>13</c:v>
                </c:pt>
                <c:pt idx="19">
                  <c:v>23</c:v>
                </c:pt>
                <c:pt idx="20">
                  <c:v>31</c:v>
                </c:pt>
                <c:pt idx="21">
                  <c:v>16</c:v>
                </c:pt>
                <c:pt idx="22">
                  <c:v>11</c:v>
                </c:pt>
              </c:numCache>
            </c:numRef>
          </c:val>
          <c:extLst>
            <c:ext xmlns:c16="http://schemas.microsoft.com/office/drawing/2014/chart" uri="{C3380CC4-5D6E-409C-BE32-E72D297353CC}">
              <c16:uniqueId val="{00000000-95DD-4F1A-88D9-A3EDDA458F25}"/>
            </c:ext>
          </c:extLst>
        </c:ser>
        <c:dLbls>
          <c:showLegendKey val="0"/>
          <c:showVal val="0"/>
          <c:showCatName val="0"/>
          <c:showSerName val="0"/>
          <c:showPercent val="0"/>
          <c:showBubbleSize val="0"/>
        </c:dLbls>
        <c:gapWidth val="114"/>
        <c:overlap val="-78"/>
        <c:axId val="188078832"/>
        <c:axId val="188079392"/>
      </c:barChart>
      <c:barChart>
        <c:barDir val="col"/>
        <c:grouping val="clustered"/>
        <c:varyColors val="0"/>
        <c:ser>
          <c:idx val="1"/>
          <c:order val="1"/>
          <c:tx>
            <c:strRef>
              <c:f>'CONSOLIDADO-ACUEDUCTOSRURALES2'!$C$55</c:f>
              <c:strCache>
                <c:ptCount val="1"/>
                <c:pt idx="0">
                  <c:v>%</c:v>
                </c:pt>
              </c:strCache>
            </c:strRef>
          </c:tx>
          <c:spPr>
            <a:pattFill prst="ltDnDiag">
              <a:fgClr>
                <a:schemeClr val="tx2">
                  <a:lumMod val="60000"/>
                  <a:lumOff val="40000"/>
                </a:schemeClr>
              </a:fgClr>
              <a:bgClr>
                <a:schemeClr val="bg1"/>
              </a:bgClr>
            </a:pattFill>
            <a:scene3d>
              <a:camera prst="orthographicFront"/>
              <a:lightRig rig="threePt" dir="t"/>
            </a:scene3d>
            <a:sp3d/>
          </c:spPr>
          <c:invertIfNegative val="0"/>
          <c:dLbls>
            <c:spPr>
              <a:noFill/>
              <a:ln w="25400">
                <a:noFill/>
              </a:ln>
            </c:spPr>
            <c:txPr>
              <a:bodyPr rot="-5400000" vert="horz"/>
              <a:lstStyle/>
              <a:p>
                <a:pPr>
                  <a:defRPr sz="1400" b="1" i="0" u="none" strike="noStrike" baseline="0">
                    <a:solidFill>
                      <a:srgbClr val="000000"/>
                    </a:solidFill>
                    <a:latin typeface="Calibri"/>
                    <a:ea typeface="Calibri"/>
                    <a:cs typeface="Calibri"/>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'CONSOLIDADO-ACUEDUCTOSRURALES2'!$A$56:$A$72</c:f>
              <c:strCache>
                <c:ptCount val="17"/>
                <c:pt idx="0">
                  <c:v>Angostura</c:v>
                </c:pt>
                <c:pt idx="1">
                  <c:v>Belmira</c:v>
                </c:pt>
                <c:pt idx="2">
                  <c:v>Briceño</c:v>
                </c:pt>
                <c:pt idx="3">
                  <c:v>Campamento</c:v>
                </c:pt>
                <c:pt idx="4">
                  <c:v>Carolina del Príncipe</c:v>
                </c:pt>
                <c:pt idx="5">
                  <c:v>Don Matías</c:v>
                </c:pt>
                <c:pt idx="6">
                  <c:v>Entrerríos</c:v>
                </c:pt>
                <c:pt idx="7">
                  <c:v>Gómez Plata</c:v>
                </c:pt>
                <c:pt idx="8">
                  <c:v>Guadalupe</c:v>
                </c:pt>
                <c:pt idx="9">
                  <c:v>Ituango</c:v>
                </c:pt>
                <c:pt idx="10">
                  <c:v>San Andrés de Cuerquia</c:v>
                </c:pt>
                <c:pt idx="11">
                  <c:v>San José de la Montaña</c:v>
                </c:pt>
                <c:pt idx="12">
                  <c:v>San Pedro de los Milagros</c:v>
                </c:pt>
                <c:pt idx="13">
                  <c:v>Santa Rosa de Osos</c:v>
                </c:pt>
                <c:pt idx="14">
                  <c:v>Toledo</c:v>
                </c:pt>
                <c:pt idx="15">
                  <c:v>Valdivia</c:v>
                </c:pt>
                <c:pt idx="16">
                  <c:v>Yarumal</c:v>
                </c:pt>
              </c:strCache>
            </c:strRef>
          </c:cat>
          <c:val>
            <c:numRef>
              <c:f>'CONSOLIDADO-ACUEDUCTOSRURALES2'!$C$103:$C$125</c:f>
              <c:numCache>
                <c:formatCode>0.0</c:formatCode>
                <c:ptCount val="23"/>
                <c:pt idx="0">
                  <c:v>6.6276803118908383</c:v>
                </c:pt>
                <c:pt idx="1">
                  <c:v>11.500974658869396</c:v>
                </c:pt>
                <c:pt idx="2">
                  <c:v>2.3391812865497075</c:v>
                </c:pt>
                <c:pt idx="3">
                  <c:v>2.3391812865497075</c:v>
                </c:pt>
                <c:pt idx="4">
                  <c:v>5.4580896686159841</c:v>
                </c:pt>
                <c:pt idx="5">
                  <c:v>3.1189083820662766</c:v>
                </c:pt>
                <c:pt idx="6">
                  <c:v>3.3138401559454191</c:v>
                </c:pt>
                <c:pt idx="7">
                  <c:v>4.0935672514619883</c:v>
                </c:pt>
                <c:pt idx="8">
                  <c:v>7.0175438596491224</c:v>
                </c:pt>
                <c:pt idx="9">
                  <c:v>1.7543859649122806</c:v>
                </c:pt>
                <c:pt idx="10">
                  <c:v>4.4834307992202724</c:v>
                </c:pt>
                <c:pt idx="11">
                  <c:v>4.8732943469785575</c:v>
                </c:pt>
                <c:pt idx="12">
                  <c:v>0</c:v>
                </c:pt>
                <c:pt idx="13">
                  <c:v>3.7037037037037033</c:v>
                </c:pt>
                <c:pt idx="14">
                  <c:v>1.1695906432748537</c:v>
                </c:pt>
                <c:pt idx="15">
                  <c:v>5.4580896686159841</c:v>
                </c:pt>
                <c:pt idx="16">
                  <c:v>7.9922027290448341</c:v>
                </c:pt>
                <c:pt idx="17">
                  <c:v>6.4327485380116958</c:v>
                </c:pt>
                <c:pt idx="18">
                  <c:v>2.53411306042885</c:v>
                </c:pt>
                <c:pt idx="19">
                  <c:v>4.4834307992202724</c:v>
                </c:pt>
                <c:pt idx="20">
                  <c:v>6.0428849902534107</c:v>
                </c:pt>
                <c:pt idx="21">
                  <c:v>3.1189083820662766</c:v>
                </c:pt>
                <c:pt idx="22">
                  <c:v>2.144249512670565</c:v>
                </c:pt>
              </c:numCache>
            </c:numRef>
          </c:val>
          <c:extLst>
            <c:ext xmlns:c16="http://schemas.microsoft.com/office/drawing/2014/chart" uri="{C3380CC4-5D6E-409C-BE32-E72D297353CC}">
              <c16:uniqueId val="{00000001-95DD-4F1A-88D9-A3EDDA458F25}"/>
            </c:ext>
          </c:extLst>
        </c:ser>
        <c:dLbls>
          <c:showLegendKey val="0"/>
          <c:showVal val="0"/>
          <c:showCatName val="0"/>
          <c:showSerName val="0"/>
          <c:showPercent val="0"/>
          <c:showBubbleSize val="0"/>
        </c:dLbls>
        <c:gapWidth val="150"/>
        <c:axId val="188147488"/>
        <c:axId val="188148048"/>
      </c:barChart>
      <c:catAx>
        <c:axId val="188078832"/>
        <c:scaling>
          <c:orientation val="minMax"/>
        </c:scaling>
        <c:delete val="0"/>
        <c:axPos val="b"/>
        <c:numFmt formatCode="General" sourceLinked="1"/>
        <c:majorTickMark val="none"/>
        <c:minorTickMark val="none"/>
        <c:tickLblPos val="nextTo"/>
        <c:txPr>
          <a:bodyPr rot="-3360000" vert="horz"/>
          <a:lstStyle/>
          <a:p>
            <a:pPr>
              <a:defRPr sz="1200" b="0" i="0" u="none" strike="noStrike" baseline="0">
                <a:solidFill>
                  <a:srgbClr val="000000"/>
                </a:solidFill>
                <a:latin typeface="Calibri"/>
                <a:ea typeface="Calibri"/>
                <a:cs typeface="Calibri"/>
              </a:defRPr>
            </a:pPr>
            <a:endParaRPr lang="es-ES"/>
          </a:p>
        </c:txPr>
        <c:crossAx val="188079392"/>
        <c:crossesAt val="0"/>
        <c:auto val="1"/>
        <c:lblAlgn val="ctr"/>
        <c:lblOffset val="100"/>
        <c:noMultiLvlLbl val="0"/>
      </c:catAx>
      <c:valAx>
        <c:axId val="188079392"/>
        <c:scaling>
          <c:orientation val="minMax"/>
          <c:max val="60"/>
          <c:min val="0"/>
        </c:scaling>
        <c:delete val="0"/>
        <c:axPos val="l"/>
        <c:majorGridlines/>
        <c:title>
          <c:tx>
            <c:rich>
              <a:bodyPr/>
              <a:lstStyle/>
              <a:p>
                <a:pPr>
                  <a:defRPr sz="1800" b="1" i="0" u="none" strike="noStrike" baseline="0">
                    <a:solidFill>
                      <a:srgbClr val="000000"/>
                    </a:solidFill>
                    <a:latin typeface="Calibri"/>
                    <a:ea typeface="Calibri"/>
                    <a:cs typeface="Calibri"/>
                  </a:defRPr>
                </a:pPr>
                <a:r>
                  <a:rPr lang="es-CO"/>
                  <a:t>Numero de Sistemas</a:t>
                </a:r>
              </a:p>
            </c:rich>
          </c:tx>
          <c:layout>
            <c:manualLayout>
              <c:xMode val="edge"/>
              <c:yMode val="edge"/>
              <c:x val="1.8067735187923845E-2"/>
              <c:y val="0.22487434701730244"/>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188078832"/>
        <c:crosses val="autoZero"/>
        <c:crossBetween val="between"/>
        <c:majorUnit val="5"/>
      </c:valAx>
      <c:catAx>
        <c:axId val="188147488"/>
        <c:scaling>
          <c:orientation val="minMax"/>
        </c:scaling>
        <c:delete val="1"/>
        <c:axPos val="b"/>
        <c:numFmt formatCode="General" sourceLinked="1"/>
        <c:majorTickMark val="out"/>
        <c:minorTickMark val="none"/>
        <c:tickLblPos val="nextTo"/>
        <c:crossAx val="188148048"/>
        <c:crosses val="autoZero"/>
        <c:auto val="1"/>
        <c:lblAlgn val="ctr"/>
        <c:lblOffset val="100"/>
        <c:noMultiLvlLbl val="0"/>
      </c:catAx>
      <c:valAx>
        <c:axId val="188148048"/>
        <c:scaling>
          <c:orientation val="minMax"/>
          <c:max val="20"/>
          <c:min val="0"/>
        </c:scaling>
        <c:delete val="0"/>
        <c:axPos val="r"/>
        <c:title>
          <c:tx>
            <c:rich>
              <a:bodyPr/>
              <a:lstStyle/>
              <a:p>
                <a:pPr>
                  <a:defRPr sz="2000" b="1" i="0" u="none" strike="noStrike" baseline="0">
                    <a:solidFill>
                      <a:srgbClr val="000000"/>
                    </a:solidFill>
                    <a:latin typeface="Calibri"/>
                    <a:ea typeface="Calibri"/>
                    <a:cs typeface="Calibri"/>
                  </a:defRPr>
                </a:pPr>
                <a:r>
                  <a:rPr lang="es-CO"/>
                  <a:t>Porcentaje</a:t>
                </a:r>
              </a:p>
            </c:rich>
          </c:tx>
          <c:layout/>
          <c:overlay val="0"/>
        </c:title>
        <c:numFmt formatCode="0.0" sourceLinked="1"/>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188147488"/>
        <c:crosses val="max"/>
        <c:crossBetween val="between"/>
      </c:valAx>
      <c:spPr>
        <a:solidFill>
          <a:sysClr val="window" lastClr="FFFFFF"/>
        </a:solidFill>
        <a:scene3d>
          <a:camera prst="orthographicFront"/>
          <a:lightRig rig="threePt" dir="t"/>
        </a:scene3d>
        <a:sp3d>
          <a:bevelT/>
          <a:bevelB/>
        </a:sp3d>
      </c:spPr>
    </c:plotArea>
    <c:legend>
      <c:legendPos val="t"/>
      <c:layout>
        <c:manualLayout>
          <c:xMode val="edge"/>
          <c:yMode val="edge"/>
          <c:x val="0.29130154415977189"/>
          <c:y val="0.9270881431083251"/>
          <c:w val="0.4600726114819404"/>
          <c:h val="6.0105700379685545E-2"/>
        </c:manualLayout>
      </c:layout>
      <c:overlay val="0"/>
      <c:txPr>
        <a:bodyPr/>
        <a:lstStyle/>
        <a:p>
          <a:pPr>
            <a:defRPr sz="1100" b="1" i="0" u="none" strike="noStrike" baseline="0">
              <a:solidFill>
                <a:srgbClr val="000000"/>
              </a:solidFill>
              <a:latin typeface="Arial"/>
              <a:ea typeface="Arial"/>
              <a:cs typeface="Arial"/>
            </a:defRPr>
          </a:pPr>
          <a:endParaRPr lang="es-ES"/>
        </a:p>
      </c:txPr>
    </c:legend>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12</a:t>
            </a:r>
            <a:r>
              <a:rPr lang="es-CO" sz="1200" b="0" i="0" u="none" strike="noStrike" baseline="0">
                <a:solidFill>
                  <a:srgbClr val="000000"/>
                </a:solidFill>
                <a:latin typeface="Arial"/>
                <a:cs typeface="Arial"/>
              </a:rPr>
              <a:t>. Numero y porcentaje de acueductos rurales por  nivel de riesgo sanitario psubregión Suroeste - Antioquia - Colombia  2020</a:t>
            </a:r>
          </a:p>
        </c:rich>
      </c:tx>
      <c:layout>
        <c:manualLayout>
          <c:xMode val="edge"/>
          <c:yMode val="edge"/>
          <c:x val="0.11235490099950976"/>
          <c:y val="7.6677329396325454E-3"/>
        </c:manualLayout>
      </c:layout>
      <c:overlay val="1"/>
      <c:spPr>
        <a:scene3d>
          <a:camera prst="orthographicFront"/>
          <a:lightRig rig="threePt" dir="t"/>
        </a:scene3d>
        <a:sp3d>
          <a:bevelB/>
        </a:sp3d>
      </c:spPr>
    </c:title>
    <c:autoTitleDeleted val="0"/>
    <c:plotArea>
      <c:layout>
        <c:manualLayout>
          <c:layoutTarget val="inner"/>
          <c:xMode val="edge"/>
          <c:yMode val="edge"/>
          <c:x val="0.21014317301823926"/>
          <c:y val="0.2080573725184732"/>
          <c:w val="0.69094811687293856"/>
          <c:h val="0.66975581216643609"/>
        </c:manualLayout>
      </c:layout>
      <c:barChart>
        <c:barDir val="bar"/>
        <c:grouping val="stacked"/>
        <c:varyColors val="0"/>
        <c:ser>
          <c:idx val="1"/>
          <c:order val="1"/>
          <c:tx>
            <c:strRef>
              <c:f>'CONSOLIDADO-ACUEDUCTOSRURALES2'!$B$102</c:f>
              <c:strCache>
                <c:ptCount val="1"/>
                <c:pt idx="0">
                  <c:v>Número de Sistemas</c:v>
                </c:pt>
              </c:strCache>
            </c:strRef>
          </c:tx>
          <c:spPr>
            <a:solidFill>
              <a:schemeClr val="bg1">
                <a:lumMod val="85000"/>
              </a:schemeClr>
            </a:solidFill>
          </c:spPr>
          <c:invertIfNegative val="0"/>
          <c:dLbls>
            <c:dLbl>
              <c:idx val="0"/>
              <c:layout>
                <c:manualLayout>
                  <c:x val="0.1541719610334604"/>
                  <c:y val="-2.540011572035923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33-44BF-BF8C-3B3D3E63493B}"/>
                </c:ext>
              </c:extLst>
            </c:dLbl>
            <c:dLbl>
              <c:idx val="1"/>
              <c:layout>
                <c:manualLayout>
                  <c:x val="4.5743195696471839E-2"/>
                  <c:y val="3.2268193866502045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A33-44BF-BF8C-3B3D3E63493B}"/>
                </c:ext>
              </c:extLst>
            </c:dLbl>
            <c:dLbl>
              <c:idx val="2"/>
              <c:layout>
                <c:manualLayout>
                  <c:x val="5.9296908089792523E-2"/>
                  <c:y val="2.59434982767729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A33-44BF-BF8C-3B3D3E63493B}"/>
                </c:ext>
              </c:extLst>
            </c:dLbl>
            <c:dLbl>
              <c:idx val="3"/>
              <c:layout>
                <c:manualLayout>
                  <c:x val="0.22363405336721728"/>
                  <c:y val="5.110211063872606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A33-44BF-BF8C-3B3D3E63493B}"/>
                </c:ext>
              </c:extLst>
            </c:dLbl>
            <c:dLbl>
              <c:idx val="4"/>
              <c:layout>
                <c:manualLayout>
                  <c:x val="0.36266402531957964"/>
                  <c:y val="2.568186963849919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A33-44BF-BF8C-3B3D3E63493B}"/>
                </c:ext>
              </c:extLst>
            </c:dLbl>
            <c:dLbl>
              <c:idx val="5"/>
              <c:layout>
                <c:manualLayout>
                  <c:x val="0.48683628650611799"/>
                  <c:y val="2.550677970365525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A33-44BF-BF8C-3B3D3E63493B}"/>
                </c:ext>
              </c:extLst>
            </c:dLbl>
            <c:spPr>
              <a:noFill/>
              <a:ln>
                <a:noFill/>
              </a:ln>
              <a:effectLst/>
            </c:spPr>
            <c:txPr>
              <a:bodyPr/>
              <a:lstStyle/>
              <a:p>
                <a:pPr>
                  <a:defRPr sz="1100" b="0"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('CONSOLIDADO-ACUEDUCTOSRURALES2'!$D$102,'CONSOLIDADO-ACUEDUCTOSRURALES2'!$F$102,'CONSOLIDADO-ACUEDUCTOSRURALES2'!$H$102,'CONSOLIDADO-ACUEDUCTOSRURALES2'!$J$102,'CONSOLIDADO-ACUEDUCTOSRURALES2'!$L$102,'CONSOLIDADO-ACUEDUCTOSRURALES2'!$N$102)</c:f>
              <c:strCache>
                <c:ptCount val="6"/>
                <c:pt idx="0">
                  <c:v>Sin Riesgo</c:v>
                </c:pt>
                <c:pt idx="1">
                  <c:v>Bajo</c:v>
                </c:pt>
                <c:pt idx="2">
                  <c:v>Medio</c:v>
                </c:pt>
                <c:pt idx="3">
                  <c:v>Alto</c:v>
                </c:pt>
                <c:pt idx="4">
                  <c:v>Inviable Sanitariamente</c:v>
                </c:pt>
                <c:pt idx="5">
                  <c:v>Sin Dato</c:v>
                </c:pt>
              </c:strCache>
            </c:strRef>
          </c:cat>
          <c:val>
            <c:numRef>
              <c:f>('CONSOLIDADO-ACUEDUCTOSRURALES2'!$D$126,'CONSOLIDADO-ACUEDUCTOSRURALES2'!$F$126,'CONSOLIDADO-ACUEDUCTOSRURALES2'!$H$126,'CONSOLIDADO-ACUEDUCTOSRURALES2'!$J$126,'CONSOLIDADO-ACUEDUCTOSRURALES2'!$L$126,'CONSOLIDADO-ACUEDUCTOSRURALES2'!$N$126)</c:f>
              <c:numCache>
                <c:formatCode>General</c:formatCode>
                <c:ptCount val="6"/>
                <c:pt idx="0">
                  <c:v>77</c:v>
                </c:pt>
                <c:pt idx="1">
                  <c:v>7</c:v>
                </c:pt>
                <c:pt idx="2">
                  <c:v>27</c:v>
                </c:pt>
                <c:pt idx="3">
                  <c:v>148</c:v>
                </c:pt>
                <c:pt idx="4">
                  <c:v>205</c:v>
                </c:pt>
                <c:pt idx="5">
                  <c:v>49</c:v>
                </c:pt>
              </c:numCache>
            </c:numRef>
          </c:val>
          <c:extLst>
            <c:ext xmlns:c16="http://schemas.microsoft.com/office/drawing/2014/chart" uri="{C3380CC4-5D6E-409C-BE32-E72D297353CC}">
              <c16:uniqueId val="{00000006-EA33-44BF-BF8C-3B3D3E63493B}"/>
            </c:ext>
          </c:extLst>
        </c:ser>
        <c:dLbls>
          <c:showLegendKey val="0"/>
          <c:showVal val="0"/>
          <c:showCatName val="0"/>
          <c:showSerName val="0"/>
          <c:showPercent val="0"/>
          <c:showBubbleSize val="0"/>
        </c:dLbls>
        <c:gapWidth val="136"/>
        <c:overlap val="-5"/>
        <c:axId val="188150288"/>
        <c:axId val="188150848"/>
      </c:barChart>
      <c:barChart>
        <c:barDir val="bar"/>
        <c:grouping val="stacked"/>
        <c:varyColors val="0"/>
        <c:ser>
          <c:idx val="0"/>
          <c:order val="0"/>
          <c:tx>
            <c:strRef>
              <c:f>'CONSOLIDADO-ACUEDUCTOSRURALES2'!$C$102</c:f>
              <c:strCache>
                <c:ptCount val="1"/>
                <c:pt idx="0">
                  <c:v>%</c:v>
                </c:pt>
              </c:strCache>
            </c:strRef>
          </c:tx>
          <c:spPr>
            <a:scene3d>
              <a:camera prst="orthographicFront"/>
              <a:lightRig rig="threePt" dir="t"/>
            </a:scene3d>
            <a:sp3d/>
          </c:spPr>
          <c:invertIfNegative val="0"/>
          <c:dPt>
            <c:idx val="0"/>
            <c:invertIfNegative val="0"/>
            <c:bubble3D val="0"/>
            <c:spPr>
              <a:solidFill>
                <a:schemeClr val="tx2">
                  <a:lumMod val="60000"/>
                  <a:lumOff val="40000"/>
                </a:schemeClr>
              </a:solidFill>
              <a:scene3d>
                <a:camera prst="orthographicFront"/>
                <a:lightRig rig="threePt" dir="t"/>
              </a:scene3d>
              <a:sp3d/>
            </c:spPr>
            <c:extLst>
              <c:ext xmlns:c16="http://schemas.microsoft.com/office/drawing/2014/chart" uri="{C3380CC4-5D6E-409C-BE32-E72D297353CC}">
                <c16:uniqueId val="{00000008-EA33-44BF-BF8C-3B3D3E63493B}"/>
              </c:ext>
            </c:extLst>
          </c:dPt>
          <c:dPt>
            <c:idx val="1"/>
            <c:invertIfNegative val="0"/>
            <c:bubble3D val="0"/>
            <c:spPr>
              <a:solidFill>
                <a:srgbClr val="92D050"/>
              </a:solidFill>
              <a:scene3d>
                <a:camera prst="orthographicFront"/>
                <a:lightRig rig="threePt" dir="t"/>
              </a:scene3d>
              <a:sp3d/>
            </c:spPr>
            <c:extLst>
              <c:ext xmlns:c16="http://schemas.microsoft.com/office/drawing/2014/chart" uri="{C3380CC4-5D6E-409C-BE32-E72D297353CC}">
                <c16:uniqueId val="{0000000A-EA33-44BF-BF8C-3B3D3E63493B}"/>
              </c:ext>
            </c:extLst>
          </c:dPt>
          <c:dPt>
            <c:idx val="2"/>
            <c:invertIfNegative val="0"/>
            <c:bubble3D val="0"/>
            <c:spPr>
              <a:solidFill>
                <a:srgbClr val="FFFF00"/>
              </a:solidFill>
              <a:scene3d>
                <a:camera prst="orthographicFront"/>
                <a:lightRig rig="threePt" dir="t"/>
              </a:scene3d>
              <a:sp3d/>
            </c:spPr>
            <c:extLst>
              <c:ext xmlns:c16="http://schemas.microsoft.com/office/drawing/2014/chart" uri="{C3380CC4-5D6E-409C-BE32-E72D297353CC}">
                <c16:uniqueId val="{0000000C-EA33-44BF-BF8C-3B3D3E63493B}"/>
              </c:ext>
            </c:extLst>
          </c:dPt>
          <c:dPt>
            <c:idx val="3"/>
            <c:invertIfNegative val="0"/>
            <c:bubble3D val="0"/>
            <c:spPr>
              <a:solidFill>
                <a:schemeClr val="accent6">
                  <a:lumMod val="75000"/>
                </a:schemeClr>
              </a:solidFill>
              <a:scene3d>
                <a:camera prst="orthographicFront"/>
                <a:lightRig rig="threePt" dir="t"/>
              </a:scene3d>
              <a:sp3d/>
            </c:spPr>
            <c:extLst>
              <c:ext xmlns:c16="http://schemas.microsoft.com/office/drawing/2014/chart" uri="{C3380CC4-5D6E-409C-BE32-E72D297353CC}">
                <c16:uniqueId val="{0000000E-EA33-44BF-BF8C-3B3D3E63493B}"/>
              </c:ext>
            </c:extLst>
          </c:dPt>
          <c:dPt>
            <c:idx val="4"/>
            <c:invertIfNegative val="0"/>
            <c:bubble3D val="0"/>
            <c:spPr>
              <a:solidFill>
                <a:srgbClr val="C00000"/>
              </a:solidFill>
              <a:scene3d>
                <a:camera prst="orthographicFront"/>
                <a:lightRig rig="threePt" dir="t"/>
              </a:scene3d>
              <a:sp3d/>
            </c:spPr>
            <c:extLst>
              <c:ext xmlns:c16="http://schemas.microsoft.com/office/drawing/2014/chart" uri="{C3380CC4-5D6E-409C-BE32-E72D297353CC}">
                <c16:uniqueId val="{00000010-EA33-44BF-BF8C-3B3D3E63493B}"/>
              </c:ext>
            </c:extLst>
          </c:dPt>
          <c:dPt>
            <c:idx val="5"/>
            <c:invertIfNegative val="0"/>
            <c:bubble3D val="0"/>
            <c:spPr>
              <a:solidFill>
                <a:schemeClr val="tx1">
                  <a:lumMod val="50000"/>
                  <a:lumOff val="50000"/>
                </a:schemeClr>
              </a:solidFill>
              <a:scene3d>
                <a:camera prst="orthographicFront"/>
                <a:lightRig rig="threePt" dir="t"/>
              </a:scene3d>
              <a:sp3d/>
            </c:spPr>
            <c:extLst>
              <c:ext xmlns:c16="http://schemas.microsoft.com/office/drawing/2014/chart" uri="{C3380CC4-5D6E-409C-BE32-E72D297353CC}">
                <c16:uniqueId val="{00000012-EA33-44BF-BF8C-3B3D3E63493B}"/>
              </c:ext>
            </c:extLst>
          </c:dPt>
          <c:dLbls>
            <c:dLbl>
              <c:idx val="0"/>
              <c:layout>
                <c:manualLayout>
                  <c:x val="-2.4780638125443976E-3"/>
                  <c:y val="5.1703730384718618E-3"/>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A33-44BF-BF8C-3B3D3E63493B}"/>
                </c:ext>
              </c:extLst>
            </c:dLbl>
            <c:dLbl>
              <c:idx val="2"/>
              <c:layout>
                <c:manualLayout>
                  <c:x val="-7.0223814145214062E-3"/>
                  <c:y val="2.9951698821339763E-3"/>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A33-44BF-BF8C-3B3D3E63493B}"/>
                </c:ext>
              </c:extLst>
            </c:dLbl>
            <c:dLbl>
              <c:idx val="3"/>
              <c:layout>
                <c:manualLayout>
                  <c:x val="-5.8641240365919951E-2"/>
                  <c:y val="-3.4937926613793935E-4"/>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A33-44BF-BF8C-3B3D3E63493B}"/>
                </c:ext>
              </c:extLst>
            </c:dLbl>
            <c:dLbl>
              <c:idx val="4"/>
              <c:layout>
                <c:manualLayout>
                  <c:x val="5.8401784910304564E-3"/>
                  <c:y val="1.7638599772729091E-3"/>
                </c:manualLayout>
              </c:layout>
              <c:spPr/>
              <c:txPr>
                <a:bodyPr/>
                <a:lstStyle/>
                <a:p>
                  <a:pPr>
                    <a:defRPr sz="1200" b="1" i="0" u="none" strike="noStrike" baseline="0">
                      <a:solidFill>
                        <a:srgbClr val="FFFFFF"/>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A33-44BF-BF8C-3B3D3E63493B}"/>
                </c:ext>
              </c:extLst>
            </c:dLbl>
            <c:dLbl>
              <c:idx val="5"/>
              <c:layout>
                <c:manualLayout>
                  <c:x val="7.0845464520238651E-3"/>
                  <c:y val="4.5846280709164232E-3"/>
                </c:manualLayout>
              </c:layout>
              <c:spPr/>
              <c:txPr>
                <a:bodyPr/>
                <a:lstStyle/>
                <a:p>
                  <a:pPr>
                    <a:defRPr sz="1200" b="1" i="0" u="none" strike="noStrike" baseline="0">
                      <a:solidFill>
                        <a:srgbClr val="FFFFFF"/>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A33-44BF-BF8C-3B3D3E63493B}"/>
                </c:ext>
              </c:extLst>
            </c:dLbl>
            <c:spPr>
              <a:noFill/>
              <a:ln w="25400">
                <a:noFill/>
              </a:ln>
            </c:spPr>
            <c:txPr>
              <a:bodyPr/>
              <a:lstStyle/>
              <a:p>
                <a:pPr>
                  <a:defRPr sz="1200" b="1"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('CONSOLIDADO-ACUEDUCTOSRURALES2'!$D$102,'CONSOLIDADO-ACUEDUCTOSRURALES2'!$F$102,'CONSOLIDADO-ACUEDUCTOSRURALES2'!$H$102,'CONSOLIDADO-ACUEDUCTOSRURALES2'!$J$102,'CONSOLIDADO-ACUEDUCTOSRURALES2'!$L$102,'CONSOLIDADO-ACUEDUCTOSRURALES2'!$N$102)</c:f>
              <c:strCache>
                <c:ptCount val="6"/>
                <c:pt idx="0">
                  <c:v>Sin Riesgo</c:v>
                </c:pt>
                <c:pt idx="1">
                  <c:v>Bajo</c:v>
                </c:pt>
                <c:pt idx="2">
                  <c:v>Medio</c:v>
                </c:pt>
                <c:pt idx="3">
                  <c:v>Alto</c:v>
                </c:pt>
                <c:pt idx="4">
                  <c:v>Inviable Sanitariamente</c:v>
                </c:pt>
                <c:pt idx="5">
                  <c:v>Sin Dato</c:v>
                </c:pt>
              </c:strCache>
            </c:strRef>
          </c:cat>
          <c:val>
            <c:numRef>
              <c:f>('CONSOLIDADO-ACUEDUCTOSRURALES2'!$E$126,'CONSOLIDADO-ACUEDUCTOSRURALES2'!$G$126,'CONSOLIDADO-ACUEDUCTOSRURALES2'!$I$126,'CONSOLIDADO-ACUEDUCTOSRURALES2'!$K$126,'CONSOLIDADO-ACUEDUCTOSRURALES2'!$M$126,'CONSOLIDADO-ACUEDUCTOSRURALES2'!$O$126)</c:f>
              <c:numCache>
                <c:formatCode>0.0</c:formatCode>
                <c:ptCount val="6"/>
                <c:pt idx="0">
                  <c:v>15.009746588693956</c:v>
                </c:pt>
                <c:pt idx="1">
                  <c:v>1.364522417153996</c:v>
                </c:pt>
                <c:pt idx="2">
                  <c:v>5.2631578947368416</c:v>
                </c:pt>
                <c:pt idx="3">
                  <c:v>28.84990253411306</c:v>
                </c:pt>
                <c:pt idx="4">
                  <c:v>39.96101364522417</c:v>
                </c:pt>
                <c:pt idx="5">
                  <c:v>9.5516569200779724</c:v>
                </c:pt>
              </c:numCache>
            </c:numRef>
          </c:val>
          <c:extLst>
            <c:ext xmlns:c16="http://schemas.microsoft.com/office/drawing/2014/chart" uri="{C3380CC4-5D6E-409C-BE32-E72D297353CC}">
              <c16:uniqueId val="{00000013-EA33-44BF-BF8C-3B3D3E63493B}"/>
            </c:ext>
          </c:extLst>
        </c:ser>
        <c:dLbls>
          <c:showLegendKey val="0"/>
          <c:showVal val="0"/>
          <c:showCatName val="0"/>
          <c:showSerName val="0"/>
          <c:showPercent val="0"/>
          <c:showBubbleSize val="0"/>
        </c:dLbls>
        <c:gapWidth val="135"/>
        <c:overlap val="-5"/>
        <c:axId val="188151408"/>
        <c:axId val="188151968"/>
      </c:barChart>
      <c:catAx>
        <c:axId val="188150288"/>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s-ES"/>
          </a:p>
        </c:txPr>
        <c:crossAx val="188150848"/>
        <c:crosses val="autoZero"/>
        <c:auto val="1"/>
        <c:lblAlgn val="ctr"/>
        <c:lblOffset val="100"/>
        <c:noMultiLvlLbl val="0"/>
      </c:catAx>
      <c:valAx>
        <c:axId val="188150848"/>
        <c:scaling>
          <c:orientation val="minMax"/>
          <c:max val="220"/>
          <c:min val="0"/>
        </c:scaling>
        <c:delete val="0"/>
        <c:axPos val="b"/>
        <c:majorGridlines/>
        <c:title>
          <c:tx>
            <c:rich>
              <a:bodyPr/>
              <a:lstStyle/>
              <a:p>
                <a:pPr>
                  <a:defRPr sz="1200" b="0" i="0" u="none" strike="noStrike" baseline="0">
                    <a:solidFill>
                      <a:srgbClr val="000000"/>
                    </a:solidFill>
                    <a:latin typeface="Arial"/>
                    <a:ea typeface="Arial"/>
                    <a:cs typeface="Arial"/>
                  </a:defRPr>
                </a:pPr>
                <a:r>
                  <a:rPr lang="es-CO"/>
                  <a:t>Numero  de Acueductos</a:t>
                </a:r>
              </a:p>
            </c:rich>
          </c:tx>
          <c:layout>
            <c:manualLayout>
              <c:xMode val="edge"/>
              <c:yMode val="edge"/>
              <c:x val="0.4403355044405981"/>
              <c:y val="0.9292419209317585"/>
            </c:manualLayout>
          </c:layout>
          <c:overlay val="0"/>
        </c:title>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88150288"/>
        <c:crosses val="autoZero"/>
        <c:crossBetween val="between"/>
      </c:valAx>
      <c:catAx>
        <c:axId val="188151408"/>
        <c:scaling>
          <c:orientation val="minMax"/>
        </c:scaling>
        <c:delete val="1"/>
        <c:axPos val="l"/>
        <c:numFmt formatCode="General" sourceLinked="1"/>
        <c:majorTickMark val="out"/>
        <c:minorTickMark val="none"/>
        <c:tickLblPos val="nextTo"/>
        <c:crossAx val="188151968"/>
        <c:crosses val="autoZero"/>
        <c:auto val="1"/>
        <c:lblAlgn val="ctr"/>
        <c:lblOffset val="100"/>
        <c:noMultiLvlLbl val="0"/>
      </c:catAx>
      <c:valAx>
        <c:axId val="188151968"/>
        <c:scaling>
          <c:orientation val="minMax"/>
          <c:max val="60"/>
          <c:min val="0"/>
        </c:scaling>
        <c:delete val="0"/>
        <c:axPos val="t"/>
        <c:title>
          <c:tx>
            <c:rich>
              <a:bodyPr/>
              <a:lstStyle/>
              <a:p>
                <a:pPr>
                  <a:defRPr sz="1200" b="0" i="0" u="none" strike="noStrike" baseline="0">
                    <a:solidFill>
                      <a:srgbClr val="000000"/>
                    </a:solidFill>
                    <a:latin typeface="Arial"/>
                    <a:ea typeface="Arial"/>
                    <a:cs typeface="Arial"/>
                  </a:defRPr>
                </a:pPr>
                <a:r>
                  <a:rPr lang="es-CO"/>
                  <a:t>Porcentaje</a:t>
                </a:r>
              </a:p>
            </c:rich>
          </c:tx>
          <c:layout>
            <c:manualLayout>
              <c:xMode val="edge"/>
              <c:yMode val="edge"/>
              <c:x val="0.49828972776115821"/>
              <c:y val="0.10547346620734908"/>
            </c:manualLayout>
          </c:layout>
          <c:overlay val="0"/>
        </c:title>
        <c:numFmt formatCode="0.0"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88151408"/>
        <c:crosses val="max"/>
        <c:crossBetween val="between"/>
      </c:valAx>
      <c:spPr>
        <a:noFill/>
        <a:ln w="25400">
          <a:noFill/>
        </a:ln>
      </c:spPr>
    </c:plotArea>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13</a:t>
            </a:r>
            <a:r>
              <a:rPr lang="es-CO" sz="1200" b="0" i="0" u="none" strike="noStrike" baseline="0">
                <a:solidFill>
                  <a:srgbClr val="000000"/>
                </a:solidFill>
                <a:latin typeface="Arial"/>
                <a:cs typeface="Arial"/>
              </a:rPr>
              <a:t>. Número y porcentaje de acueductos rurales  subregión </a:t>
            </a:r>
          </a:p>
          <a:p>
            <a:pPr>
              <a:defRPr sz="1000" b="0" i="0" u="none" strike="noStrike" baseline="0">
                <a:solidFill>
                  <a:srgbClr val="000000"/>
                </a:solidFill>
                <a:latin typeface="Calibri"/>
                <a:ea typeface="Calibri"/>
                <a:cs typeface="Calibri"/>
              </a:defRPr>
            </a:pPr>
            <a:r>
              <a:rPr lang="es-CO" sz="1200" b="0" i="0" u="none" strike="noStrike" baseline="0">
                <a:solidFill>
                  <a:srgbClr val="000000"/>
                </a:solidFill>
                <a:latin typeface="Arial"/>
                <a:cs typeface="Arial"/>
              </a:rPr>
              <a:t>Bajo Cauca - Antioquia- Colombia 2020</a:t>
            </a:r>
          </a:p>
        </c:rich>
      </c:tx>
      <c:layout>
        <c:manualLayout>
          <c:xMode val="edge"/>
          <c:yMode val="edge"/>
          <c:x val="0.17977430486163851"/>
          <c:y val="1.1976032065759222E-2"/>
        </c:manualLayout>
      </c:layout>
      <c:overlay val="0"/>
    </c:title>
    <c:autoTitleDeleted val="0"/>
    <c:plotArea>
      <c:layout>
        <c:manualLayout>
          <c:layoutTarget val="inner"/>
          <c:xMode val="edge"/>
          <c:yMode val="edge"/>
          <c:x val="0.14438480088466099"/>
          <c:y val="0.10723879515060618"/>
          <c:w val="0.73332374062379257"/>
          <c:h val="0.63053478315210598"/>
        </c:manualLayout>
      </c:layout>
      <c:barChart>
        <c:barDir val="col"/>
        <c:grouping val="clustered"/>
        <c:varyColors val="0"/>
        <c:ser>
          <c:idx val="0"/>
          <c:order val="0"/>
          <c:tx>
            <c:strRef>
              <c:f>'CONSOLIDADO-ACUEDUCTOSRURALES2'!$B$131</c:f>
              <c:strCache>
                <c:ptCount val="1"/>
                <c:pt idx="0">
                  <c:v>Número de Sistemas</c:v>
                </c:pt>
              </c:strCache>
            </c:strRef>
          </c:tx>
          <c:spPr>
            <a:solidFill>
              <a:schemeClr val="tx1">
                <a:lumMod val="65000"/>
                <a:lumOff val="35000"/>
              </a:schemeClr>
            </a:solidFill>
            <a:scene3d>
              <a:camera prst="orthographicFront"/>
              <a:lightRig rig="threePt" dir="t"/>
            </a:scene3d>
            <a:sp3d/>
          </c:spPr>
          <c:invertIfNegative val="0"/>
          <c:dLbls>
            <c:dLbl>
              <c:idx val="2"/>
              <c:layout>
                <c:manualLayout>
                  <c:x val="1.6920473773265031E-3"/>
                  <c:y val="-2.54777070063694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CB1-4E1B-B50F-DF180F3711A0}"/>
                </c:ext>
              </c:extLst>
            </c:dLbl>
            <c:spPr>
              <a:noFill/>
              <a:ln w="25400">
                <a:noFill/>
              </a:ln>
            </c:spPr>
            <c:txPr>
              <a:bodyPr rot="-5400000" vert="horz"/>
              <a:lstStyle/>
              <a:p>
                <a:pPr>
                  <a:defRPr sz="14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'CONSOLIDADO-ACUEDUCTOSRURALES2'!$A$132:$A$137</c:f>
              <c:strCache>
                <c:ptCount val="6"/>
                <c:pt idx="0">
                  <c:v>Caucasia</c:v>
                </c:pt>
                <c:pt idx="1">
                  <c:v>Cáceres</c:v>
                </c:pt>
                <c:pt idx="2">
                  <c:v>El Bagre</c:v>
                </c:pt>
                <c:pt idx="3">
                  <c:v>Nechi</c:v>
                </c:pt>
                <c:pt idx="4">
                  <c:v>Tarazá</c:v>
                </c:pt>
                <c:pt idx="5">
                  <c:v>Zaragoza</c:v>
                </c:pt>
              </c:strCache>
            </c:strRef>
          </c:cat>
          <c:val>
            <c:numRef>
              <c:f>'CONSOLIDADO-ACUEDUCTOSRURALES2'!$B$132:$B$137</c:f>
              <c:numCache>
                <c:formatCode>General</c:formatCode>
                <c:ptCount val="6"/>
                <c:pt idx="0">
                  <c:v>20</c:v>
                </c:pt>
                <c:pt idx="1">
                  <c:v>8</c:v>
                </c:pt>
                <c:pt idx="2">
                  <c:v>4</c:v>
                </c:pt>
                <c:pt idx="3">
                  <c:v>5</c:v>
                </c:pt>
                <c:pt idx="4">
                  <c:v>9</c:v>
                </c:pt>
                <c:pt idx="5">
                  <c:v>16</c:v>
                </c:pt>
              </c:numCache>
            </c:numRef>
          </c:val>
          <c:extLst>
            <c:ext xmlns:c16="http://schemas.microsoft.com/office/drawing/2014/chart" uri="{C3380CC4-5D6E-409C-BE32-E72D297353CC}">
              <c16:uniqueId val="{00000001-5CB1-4E1B-B50F-DF180F3711A0}"/>
            </c:ext>
          </c:extLst>
        </c:ser>
        <c:dLbls>
          <c:showLegendKey val="0"/>
          <c:showVal val="0"/>
          <c:showCatName val="0"/>
          <c:showSerName val="0"/>
          <c:showPercent val="0"/>
          <c:showBubbleSize val="0"/>
        </c:dLbls>
        <c:gapWidth val="271"/>
        <c:overlap val="-78"/>
        <c:axId val="188438176"/>
        <c:axId val="188438736"/>
      </c:barChart>
      <c:barChart>
        <c:barDir val="col"/>
        <c:grouping val="clustered"/>
        <c:varyColors val="0"/>
        <c:ser>
          <c:idx val="1"/>
          <c:order val="1"/>
          <c:tx>
            <c:strRef>
              <c:f>'CONSOLIDADO-ACUEDUCTOSRURALES2'!$C$55</c:f>
              <c:strCache>
                <c:ptCount val="1"/>
                <c:pt idx="0">
                  <c:v>%</c:v>
                </c:pt>
              </c:strCache>
            </c:strRef>
          </c:tx>
          <c:spPr>
            <a:pattFill prst="ltDnDiag">
              <a:fgClr>
                <a:schemeClr val="tx2">
                  <a:lumMod val="60000"/>
                  <a:lumOff val="40000"/>
                </a:schemeClr>
              </a:fgClr>
              <a:bgClr>
                <a:schemeClr val="bg1"/>
              </a:bgClr>
            </a:pattFill>
            <a:scene3d>
              <a:camera prst="orthographicFront"/>
              <a:lightRig rig="threePt" dir="t"/>
            </a:scene3d>
            <a:sp3d/>
          </c:spPr>
          <c:invertIfNegative val="0"/>
          <c:dLbls>
            <c:spPr>
              <a:noFill/>
              <a:ln w="25400">
                <a:noFill/>
              </a:ln>
            </c:spPr>
            <c:txPr>
              <a:bodyPr rot="-5400000" vert="horz"/>
              <a:lstStyle/>
              <a:p>
                <a:pPr>
                  <a:defRPr sz="1400" b="1" i="0" u="none" strike="noStrike" baseline="0">
                    <a:solidFill>
                      <a:srgbClr val="000000"/>
                    </a:solidFill>
                    <a:latin typeface="Calibri"/>
                    <a:ea typeface="Calibri"/>
                    <a:cs typeface="Calibri"/>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'CONSOLIDADO-ACUEDUCTOSRURALES2'!$A$56:$A$72</c:f>
              <c:strCache>
                <c:ptCount val="17"/>
                <c:pt idx="0">
                  <c:v>Angostura</c:v>
                </c:pt>
                <c:pt idx="1">
                  <c:v>Belmira</c:v>
                </c:pt>
                <c:pt idx="2">
                  <c:v>Briceño</c:v>
                </c:pt>
                <c:pt idx="3">
                  <c:v>Campamento</c:v>
                </c:pt>
                <c:pt idx="4">
                  <c:v>Carolina del Príncipe</c:v>
                </c:pt>
                <c:pt idx="5">
                  <c:v>Don Matías</c:v>
                </c:pt>
                <c:pt idx="6">
                  <c:v>Entrerríos</c:v>
                </c:pt>
                <c:pt idx="7">
                  <c:v>Gómez Plata</c:v>
                </c:pt>
                <c:pt idx="8">
                  <c:v>Guadalupe</c:v>
                </c:pt>
                <c:pt idx="9">
                  <c:v>Ituango</c:v>
                </c:pt>
                <c:pt idx="10">
                  <c:v>San Andrés de Cuerquia</c:v>
                </c:pt>
                <c:pt idx="11">
                  <c:v>San José de la Montaña</c:v>
                </c:pt>
                <c:pt idx="12">
                  <c:v>San Pedro de los Milagros</c:v>
                </c:pt>
                <c:pt idx="13">
                  <c:v>Santa Rosa de Osos</c:v>
                </c:pt>
                <c:pt idx="14">
                  <c:v>Toledo</c:v>
                </c:pt>
                <c:pt idx="15">
                  <c:v>Valdivia</c:v>
                </c:pt>
                <c:pt idx="16">
                  <c:v>Yarumal</c:v>
                </c:pt>
              </c:strCache>
            </c:strRef>
          </c:cat>
          <c:val>
            <c:numRef>
              <c:f>'CONSOLIDADO-ACUEDUCTOSRURALES2'!$C$132:$C$137</c:f>
              <c:numCache>
                <c:formatCode>0.0</c:formatCode>
                <c:ptCount val="6"/>
                <c:pt idx="0">
                  <c:v>32.258064516129032</c:v>
                </c:pt>
                <c:pt idx="1">
                  <c:v>12.903225806451612</c:v>
                </c:pt>
                <c:pt idx="2">
                  <c:v>6.4516129032258061</c:v>
                </c:pt>
                <c:pt idx="3">
                  <c:v>8.064516129032258</c:v>
                </c:pt>
                <c:pt idx="4">
                  <c:v>14.516129032258066</c:v>
                </c:pt>
                <c:pt idx="5">
                  <c:v>25.806451612903224</c:v>
                </c:pt>
              </c:numCache>
            </c:numRef>
          </c:val>
          <c:extLst>
            <c:ext xmlns:c16="http://schemas.microsoft.com/office/drawing/2014/chart" uri="{C3380CC4-5D6E-409C-BE32-E72D297353CC}">
              <c16:uniqueId val="{00000002-5CB1-4E1B-B50F-DF180F3711A0}"/>
            </c:ext>
          </c:extLst>
        </c:ser>
        <c:dLbls>
          <c:showLegendKey val="0"/>
          <c:showVal val="0"/>
          <c:showCatName val="0"/>
          <c:showSerName val="0"/>
          <c:showPercent val="0"/>
          <c:showBubbleSize val="0"/>
        </c:dLbls>
        <c:gapWidth val="322"/>
        <c:axId val="188439296"/>
        <c:axId val="188439856"/>
      </c:barChart>
      <c:catAx>
        <c:axId val="188438176"/>
        <c:scaling>
          <c:orientation val="minMax"/>
        </c:scaling>
        <c:delete val="0"/>
        <c:axPos val="b"/>
        <c:numFmt formatCode="General" sourceLinked="1"/>
        <c:majorTickMark val="none"/>
        <c:minorTickMark val="none"/>
        <c:tickLblPos val="nextTo"/>
        <c:txPr>
          <a:bodyPr rot="-3360000" vert="horz"/>
          <a:lstStyle/>
          <a:p>
            <a:pPr>
              <a:defRPr sz="1400" b="0" i="0" u="none" strike="noStrike" baseline="0">
                <a:solidFill>
                  <a:srgbClr val="000000"/>
                </a:solidFill>
                <a:latin typeface="Calibri"/>
                <a:ea typeface="Calibri"/>
                <a:cs typeface="Calibri"/>
              </a:defRPr>
            </a:pPr>
            <a:endParaRPr lang="es-ES"/>
          </a:p>
        </c:txPr>
        <c:crossAx val="188438736"/>
        <c:crossesAt val="0"/>
        <c:auto val="1"/>
        <c:lblAlgn val="ctr"/>
        <c:lblOffset val="100"/>
        <c:noMultiLvlLbl val="0"/>
      </c:catAx>
      <c:valAx>
        <c:axId val="188438736"/>
        <c:scaling>
          <c:orientation val="minMax"/>
          <c:max val="22"/>
          <c:min val="0"/>
        </c:scaling>
        <c:delete val="0"/>
        <c:axPos val="l"/>
        <c:majorGridlines/>
        <c:title>
          <c:tx>
            <c:rich>
              <a:bodyPr/>
              <a:lstStyle/>
              <a:p>
                <a:pPr>
                  <a:defRPr sz="1800" b="1" i="0" u="none" strike="noStrike" baseline="0">
                    <a:solidFill>
                      <a:srgbClr val="000000"/>
                    </a:solidFill>
                    <a:latin typeface="Calibri"/>
                    <a:ea typeface="Calibri"/>
                    <a:cs typeface="Calibri"/>
                  </a:defRPr>
                </a:pPr>
                <a:r>
                  <a:rPr lang="es-CO"/>
                  <a:t>Numero de Sistemas</a:t>
                </a:r>
              </a:p>
            </c:rich>
          </c:tx>
          <c:layout>
            <c:manualLayout>
              <c:xMode val="edge"/>
              <c:yMode val="edge"/>
              <c:x val="1.8067735187923845E-2"/>
              <c:y val="0.22487436163502819"/>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188438176"/>
        <c:crosses val="autoZero"/>
        <c:crossBetween val="between"/>
        <c:majorUnit val="5"/>
      </c:valAx>
      <c:catAx>
        <c:axId val="188439296"/>
        <c:scaling>
          <c:orientation val="minMax"/>
        </c:scaling>
        <c:delete val="1"/>
        <c:axPos val="b"/>
        <c:numFmt formatCode="General" sourceLinked="1"/>
        <c:majorTickMark val="out"/>
        <c:minorTickMark val="none"/>
        <c:tickLblPos val="nextTo"/>
        <c:crossAx val="188439856"/>
        <c:crosses val="autoZero"/>
        <c:auto val="1"/>
        <c:lblAlgn val="ctr"/>
        <c:lblOffset val="100"/>
        <c:noMultiLvlLbl val="0"/>
      </c:catAx>
      <c:valAx>
        <c:axId val="188439856"/>
        <c:scaling>
          <c:orientation val="minMax"/>
          <c:max val="60"/>
          <c:min val="0"/>
        </c:scaling>
        <c:delete val="0"/>
        <c:axPos val="r"/>
        <c:title>
          <c:tx>
            <c:rich>
              <a:bodyPr/>
              <a:lstStyle/>
              <a:p>
                <a:pPr>
                  <a:defRPr sz="2000" b="1" i="0" u="none" strike="noStrike" baseline="0">
                    <a:solidFill>
                      <a:srgbClr val="000000"/>
                    </a:solidFill>
                    <a:latin typeface="Calibri"/>
                    <a:ea typeface="Calibri"/>
                    <a:cs typeface="Calibri"/>
                  </a:defRPr>
                </a:pPr>
                <a:r>
                  <a:rPr lang="es-CO"/>
                  <a:t>Porcentaje</a:t>
                </a:r>
              </a:p>
            </c:rich>
          </c:tx>
          <c:layout/>
          <c:overlay val="0"/>
        </c:title>
        <c:numFmt formatCode="0.0" sourceLinked="1"/>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188439296"/>
        <c:crosses val="max"/>
        <c:crossBetween val="between"/>
      </c:valAx>
      <c:spPr>
        <a:solidFill>
          <a:sysClr val="window" lastClr="FFFFFF"/>
        </a:solidFill>
        <a:scene3d>
          <a:camera prst="orthographicFront"/>
          <a:lightRig rig="threePt" dir="t"/>
        </a:scene3d>
        <a:sp3d>
          <a:bevelT/>
          <a:bevelB/>
        </a:sp3d>
      </c:spPr>
    </c:plotArea>
    <c:legend>
      <c:legendPos val="t"/>
      <c:layout>
        <c:manualLayout>
          <c:xMode val="edge"/>
          <c:yMode val="edge"/>
          <c:x val="0.29130154415977189"/>
          <c:y val="0.92708824187674221"/>
          <c:w val="0.4600726114819404"/>
          <c:h val="6.0105800728397329E-2"/>
        </c:manualLayout>
      </c:layout>
      <c:overlay val="0"/>
      <c:txPr>
        <a:bodyPr/>
        <a:lstStyle/>
        <a:p>
          <a:pPr>
            <a:defRPr sz="1100" b="1" i="0" u="none" strike="noStrike" baseline="0">
              <a:solidFill>
                <a:srgbClr val="000000"/>
              </a:solidFill>
              <a:latin typeface="Arial"/>
              <a:ea typeface="Arial"/>
              <a:cs typeface="Arial"/>
            </a:defRPr>
          </a:pPr>
          <a:endParaRPr lang="es-ES"/>
        </a:p>
      </c:txPr>
    </c:legend>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14</a:t>
            </a:r>
            <a:r>
              <a:rPr lang="es-CO" sz="1200" b="0" i="0" u="none" strike="noStrike" baseline="0">
                <a:solidFill>
                  <a:srgbClr val="000000"/>
                </a:solidFill>
                <a:latin typeface="Arial"/>
                <a:cs typeface="Arial"/>
              </a:rPr>
              <a:t>. Numero y porcentaje de acueductos rurales por  nivel de riesgo sanitario subregión  Bajo Cauca- Antioquia - Colombia  2020</a:t>
            </a:r>
          </a:p>
        </c:rich>
      </c:tx>
      <c:layout/>
      <c:overlay val="1"/>
      <c:spPr>
        <a:scene3d>
          <a:camera prst="orthographicFront"/>
          <a:lightRig rig="threePt" dir="t"/>
        </a:scene3d>
        <a:sp3d>
          <a:bevelB/>
        </a:sp3d>
      </c:spPr>
    </c:title>
    <c:autoTitleDeleted val="0"/>
    <c:plotArea>
      <c:layout>
        <c:manualLayout>
          <c:layoutTarget val="inner"/>
          <c:xMode val="edge"/>
          <c:yMode val="edge"/>
          <c:x val="0.21014317301823926"/>
          <c:y val="0.2080573725184732"/>
          <c:w val="0.69094811687293856"/>
          <c:h val="0.66975581216643609"/>
        </c:manualLayout>
      </c:layout>
      <c:barChart>
        <c:barDir val="bar"/>
        <c:grouping val="stacked"/>
        <c:varyColors val="0"/>
        <c:ser>
          <c:idx val="1"/>
          <c:order val="1"/>
          <c:tx>
            <c:strRef>
              <c:f>'CONSOLIDADO-ACUEDUCTOSRURALES2'!$B$131</c:f>
              <c:strCache>
                <c:ptCount val="1"/>
                <c:pt idx="0">
                  <c:v>Número de Sistemas</c:v>
                </c:pt>
              </c:strCache>
            </c:strRef>
          </c:tx>
          <c:spPr>
            <a:solidFill>
              <a:schemeClr val="bg1">
                <a:lumMod val="85000"/>
              </a:schemeClr>
            </a:solidFill>
          </c:spPr>
          <c:invertIfNegative val="0"/>
          <c:dLbls>
            <c:dLbl>
              <c:idx val="0"/>
              <c:layout>
                <c:manualLayout>
                  <c:x val="3.8966539601863616E-2"/>
                  <c:y val="9.2813510418820962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83A-43E5-9547-3378C2D8FF4D}"/>
                </c:ext>
              </c:extLst>
            </c:dLbl>
            <c:dLbl>
              <c:idx val="1"/>
              <c:layout>
                <c:manualLayout>
                  <c:x val="4.5743195696471839E-2"/>
                  <c:y val="3.2268193866502045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83A-43E5-9547-3378C2D8FF4D}"/>
                </c:ext>
              </c:extLst>
            </c:dLbl>
            <c:dLbl>
              <c:idx val="2"/>
              <c:layout>
                <c:manualLayout>
                  <c:x val="4.7437526471833968E-2"/>
                  <c:y val="3.8414738387586611E-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83A-43E5-9547-3378C2D8FF4D}"/>
                </c:ext>
              </c:extLst>
            </c:dLbl>
            <c:dLbl>
              <c:idx val="3"/>
              <c:layout>
                <c:manualLayout>
                  <c:x val="5.2519985192448146E-2"/>
                  <c:y val="2.554187453025770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83A-43E5-9547-3378C2D8FF4D}"/>
                </c:ext>
              </c:extLst>
            </c:dLbl>
            <c:dLbl>
              <c:idx val="4"/>
              <c:layout>
                <c:manualLayout>
                  <c:x val="0.35758143319759744"/>
                  <c:y val="2.568109479588593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83A-43E5-9547-3378C2D8FF4D}"/>
                </c:ext>
              </c:extLst>
            </c:dLbl>
            <c:dLbl>
              <c:idx val="5"/>
              <c:layout>
                <c:manualLayout>
                  <c:x val="0.16405486798267122"/>
                  <c:y val="-2.574364303116772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83A-43E5-9547-3378C2D8FF4D}"/>
                </c:ext>
              </c:extLst>
            </c:dLbl>
            <c:spPr>
              <a:noFill/>
              <a:ln>
                <a:noFill/>
              </a:ln>
              <a:effectLst/>
            </c:spPr>
            <c:txPr>
              <a:bodyPr/>
              <a:lstStyle/>
              <a:p>
                <a:pPr>
                  <a:defRPr sz="1100" b="0"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('CONSOLIDADO-ACUEDUCTOSRURALES2'!$D$131,'CONSOLIDADO-ACUEDUCTOSRURALES2'!$F$131,'CONSOLIDADO-ACUEDUCTOSRURALES2'!$H$131,'CONSOLIDADO-ACUEDUCTOSRURALES2'!$J$131,'CONSOLIDADO-ACUEDUCTOSRURALES2'!$L$131,'CONSOLIDADO-ACUEDUCTOSRURALES2'!$N$131)</c:f>
              <c:strCache>
                <c:ptCount val="6"/>
                <c:pt idx="0">
                  <c:v>Sin Riesgo</c:v>
                </c:pt>
                <c:pt idx="1">
                  <c:v>Bajo</c:v>
                </c:pt>
                <c:pt idx="2">
                  <c:v>Medio</c:v>
                </c:pt>
                <c:pt idx="3">
                  <c:v>Alto</c:v>
                </c:pt>
                <c:pt idx="4">
                  <c:v>Inviable Sanitariamente</c:v>
                </c:pt>
                <c:pt idx="5">
                  <c:v>Sin Dato</c:v>
                </c:pt>
              </c:strCache>
            </c:strRef>
          </c:cat>
          <c:val>
            <c:numRef>
              <c:f>('CONSOLIDADO-ACUEDUCTOSRURALES2'!$D$138,'CONSOLIDADO-ACUEDUCTOSRURALES2'!$F$138,'CONSOLIDADO-ACUEDUCTOSRURALES2'!$H$138,'CONSOLIDADO-ACUEDUCTOSRURALES2'!$J$138,'CONSOLIDADO-ACUEDUCTOSRURALES2'!$L$138,'CONSOLIDADO-ACUEDUCTOSRURALES2'!$N$138)</c:f>
              <c:numCache>
                <c:formatCode>General</c:formatCode>
                <c:ptCount val="6"/>
                <c:pt idx="0">
                  <c:v>1</c:v>
                </c:pt>
                <c:pt idx="1">
                  <c:v>1</c:v>
                </c:pt>
                <c:pt idx="2">
                  <c:v>1</c:v>
                </c:pt>
                <c:pt idx="3">
                  <c:v>4</c:v>
                </c:pt>
                <c:pt idx="4">
                  <c:v>36</c:v>
                </c:pt>
                <c:pt idx="5">
                  <c:v>19</c:v>
                </c:pt>
              </c:numCache>
            </c:numRef>
          </c:val>
          <c:extLst>
            <c:ext xmlns:c16="http://schemas.microsoft.com/office/drawing/2014/chart" uri="{C3380CC4-5D6E-409C-BE32-E72D297353CC}">
              <c16:uniqueId val="{00000006-483A-43E5-9547-3378C2D8FF4D}"/>
            </c:ext>
          </c:extLst>
        </c:ser>
        <c:dLbls>
          <c:showLegendKey val="0"/>
          <c:showVal val="0"/>
          <c:showCatName val="0"/>
          <c:showSerName val="0"/>
          <c:showPercent val="0"/>
          <c:showBubbleSize val="0"/>
        </c:dLbls>
        <c:gapWidth val="135"/>
        <c:overlap val="-5"/>
        <c:axId val="188443216"/>
        <c:axId val="188443776"/>
      </c:barChart>
      <c:barChart>
        <c:barDir val="bar"/>
        <c:grouping val="stacked"/>
        <c:varyColors val="0"/>
        <c:ser>
          <c:idx val="0"/>
          <c:order val="0"/>
          <c:tx>
            <c:strRef>
              <c:f>'CONSOLIDADO-ACUEDUCTOSRURALES2'!$C$131</c:f>
              <c:strCache>
                <c:ptCount val="1"/>
                <c:pt idx="0">
                  <c:v>%</c:v>
                </c:pt>
              </c:strCache>
            </c:strRef>
          </c:tx>
          <c:spPr>
            <a:scene3d>
              <a:camera prst="orthographicFront"/>
              <a:lightRig rig="threePt" dir="t"/>
            </a:scene3d>
            <a:sp3d/>
          </c:spPr>
          <c:invertIfNegative val="0"/>
          <c:dPt>
            <c:idx val="0"/>
            <c:invertIfNegative val="0"/>
            <c:bubble3D val="0"/>
            <c:spPr>
              <a:solidFill>
                <a:schemeClr val="tx2">
                  <a:lumMod val="60000"/>
                  <a:lumOff val="40000"/>
                </a:schemeClr>
              </a:solidFill>
              <a:scene3d>
                <a:camera prst="orthographicFront"/>
                <a:lightRig rig="threePt" dir="t"/>
              </a:scene3d>
              <a:sp3d/>
            </c:spPr>
            <c:extLst>
              <c:ext xmlns:c16="http://schemas.microsoft.com/office/drawing/2014/chart" uri="{C3380CC4-5D6E-409C-BE32-E72D297353CC}">
                <c16:uniqueId val="{00000008-483A-43E5-9547-3378C2D8FF4D}"/>
              </c:ext>
            </c:extLst>
          </c:dPt>
          <c:dPt>
            <c:idx val="1"/>
            <c:invertIfNegative val="0"/>
            <c:bubble3D val="0"/>
            <c:spPr>
              <a:solidFill>
                <a:srgbClr val="92D050"/>
              </a:solidFill>
              <a:scene3d>
                <a:camera prst="orthographicFront"/>
                <a:lightRig rig="threePt" dir="t"/>
              </a:scene3d>
              <a:sp3d/>
            </c:spPr>
            <c:extLst>
              <c:ext xmlns:c16="http://schemas.microsoft.com/office/drawing/2014/chart" uri="{C3380CC4-5D6E-409C-BE32-E72D297353CC}">
                <c16:uniqueId val="{0000000A-483A-43E5-9547-3378C2D8FF4D}"/>
              </c:ext>
            </c:extLst>
          </c:dPt>
          <c:dPt>
            <c:idx val="2"/>
            <c:invertIfNegative val="0"/>
            <c:bubble3D val="0"/>
            <c:spPr>
              <a:solidFill>
                <a:srgbClr val="FFFF00"/>
              </a:solidFill>
              <a:scene3d>
                <a:camera prst="orthographicFront"/>
                <a:lightRig rig="threePt" dir="t"/>
              </a:scene3d>
              <a:sp3d/>
            </c:spPr>
            <c:extLst>
              <c:ext xmlns:c16="http://schemas.microsoft.com/office/drawing/2014/chart" uri="{C3380CC4-5D6E-409C-BE32-E72D297353CC}">
                <c16:uniqueId val="{0000000C-483A-43E5-9547-3378C2D8FF4D}"/>
              </c:ext>
            </c:extLst>
          </c:dPt>
          <c:dPt>
            <c:idx val="3"/>
            <c:invertIfNegative val="0"/>
            <c:bubble3D val="0"/>
            <c:spPr>
              <a:solidFill>
                <a:schemeClr val="accent6">
                  <a:lumMod val="75000"/>
                </a:schemeClr>
              </a:solidFill>
              <a:scene3d>
                <a:camera prst="orthographicFront"/>
                <a:lightRig rig="threePt" dir="t"/>
              </a:scene3d>
              <a:sp3d/>
            </c:spPr>
            <c:extLst>
              <c:ext xmlns:c16="http://schemas.microsoft.com/office/drawing/2014/chart" uri="{C3380CC4-5D6E-409C-BE32-E72D297353CC}">
                <c16:uniqueId val="{0000000E-483A-43E5-9547-3378C2D8FF4D}"/>
              </c:ext>
            </c:extLst>
          </c:dPt>
          <c:dPt>
            <c:idx val="4"/>
            <c:invertIfNegative val="0"/>
            <c:bubble3D val="0"/>
            <c:spPr>
              <a:solidFill>
                <a:srgbClr val="C00000"/>
              </a:solidFill>
              <a:scene3d>
                <a:camera prst="orthographicFront"/>
                <a:lightRig rig="threePt" dir="t"/>
              </a:scene3d>
              <a:sp3d/>
            </c:spPr>
            <c:extLst>
              <c:ext xmlns:c16="http://schemas.microsoft.com/office/drawing/2014/chart" uri="{C3380CC4-5D6E-409C-BE32-E72D297353CC}">
                <c16:uniqueId val="{00000010-483A-43E5-9547-3378C2D8FF4D}"/>
              </c:ext>
            </c:extLst>
          </c:dPt>
          <c:dPt>
            <c:idx val="5"/>
            <c:invertIfNegative val="0"/>
            <c:bubble3D val="0"/>
            <c:spPr>
              <a:solidFill>
                <a:schemeClr val="tx1">
                  <a:lumMod val="50000"/>
                  <a:lumOff val="50000"/>
                </a:schemeClr>
              </a:solidFill>
              <a:scene3d>
                <a:camera prst="orthographicFront"/>
                <a:lightRig rig="threePt" dir="t"/>
              </a:scene3d>
              <a:sp3d/>
            </c:spPr>
            <c:extLst>
              <c:ext xmlns:c16="http://schemas.microsoft.com/office/drawing/2014/chart" uri="{C3380CC4-5D6E-409C-BE32-E72D297353CC}">
                <c16:uniqueId val="{00000012-483A-43E5-9547-3378C2D8FF4D}"/>
              </c:ext>
            </c:extLst>
          </c:dPt>
          <c:dLbls>
            <c:dLbl>
              <c:idx val="0"/>
              <c:layout>
                <c:manualLayout>
                  <c:x val="-2.4780638125443976E-3"/>
                  <c:y val="5.1703730384718618E-3"/>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83A-43E5-9547-3378C2D8FF4D}"/>
                </c:ext>
              </c:extLst>
            </c:dLbl>
            <c:dLbl>
              <c:idx val="2"/>
              <c:layout>
                <c:manualLayout>
                  <c:x val="-7.0223814145214062E-3"/>
                  <c:y val="2.9951698821339763E-3"/>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83A-43E5-9547-3378C2D8FF4D}"/>
                </c:ext>
              </c:extLst>
            </c:dLbl>
            <c:dLbl>
              <c:idx val="3"/>
              <c:layout>
                <c:manualLayout>
                  <c:x val="-5.8641240365919951E-2"/>
                  <c:y val="-3.4937926613793935E-4"/>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83A-43E5-9547-3378C2D8FF4D}"/>
                </c:ext>
              </c:extLst>
            </c:dLbl>
            <c:dLbl>
              <c:idx val="4"/>
              <c:layout>
                <c:manualLayout>
                  <c:x val="5.8401784910304564E-3"/>
                  <c:y val="1.7638599772729091E-3"/>
                </c:manualLayout>
              </c:layout>
              <c:spPr/>
              <c:txPr>
                <a:bodyPr/>
                <a:lstStyle/>
                <a:p>
                  <a:pPr>
                    <a:defRPr sz="1200" b="1" i="0" u="none" strike="noStrike" baseline="0">
                      <a:solidFill>
                        <a:srgbClr val="FFFFFF"/>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83A-43E5-9547-3378C2D8FF4D}"/>
                </c:ext>
              </c:extLst>
            </c:dLbl>
            <c:dLbl>
              <c:idx val="5"/>
              <c:layout>
                <c:manualLayout>
                  <c:x val="7.0845464520238651E-3"/>
                  <c:y val="4.5846280709164232E-3"/>
                </c:manualLayout>
              </c:layout>
              <c:spPr/>
              <c:txPr>
                <a:bodyPr/>
                <a:lstStyle/>
                <a:p>
                  <a:pPr>
                    <a:defRPr sz="1200" b="1" i="0" u="none" strike="noStrike" baseline="0">
                      <a:solidFill>
                        <a:srgbClr val="FFFFFF"/>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83A-43E5-9547-3378C2D8FF4D}"/>
                </c:ext>
              </c:extLst>
            </c:dLbl>
            <c:spPr>
              <a:noFill/>
              <a:ln w="25400">
                <a:noFill/>
              </a:ln>
            </c:spPr>
            <c:txPr>
              <a:bodyPr/>
              <a:lstStyle/>
              <a:p>
                <a:pPr>
                  <a:defRPr sz="1200" b="1"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('CONSOLIDADO-ACUEDUCTOSRURALES2'!$D$102,'CONSOLIDADO-ACUEDUCTOSRURALES2'!$F$102,'CONSOLIDADO-ACUEDUCTOSRURALES2'!$H$102,'CONSOLIDADO-ACUEDUCTOSRURALES2'!$J$102,'CONSOLIDADO-ACUEDUCTOSRURALES2'!$L$102,'CONSOLIDADO-ACUEDUCTOSRURALES2'!$N$102)</c:f>
              <c:strCache>
                <c:ptCount val="6"/>
                <c:pt idx="0">
                  <c:v>Sin Riesgo</c:v>
                </c:pt>
                <c:pt idx="1">
                  <c:v>Bajo</c:v>
                </c:pt>
                <c:pt idx="2">
                  <c:v>Medio</c:v>
                </c:pt>
                <c:pt idx="3">
                  <c:v>Alto</c:v>
                </c:pt>
                <c:pt idx="4">
                  <c:v>Inviable Sanitariamente</c:v>
                </c:pt>
                <c:pt idx="5">
                  <c:v>Sin Dato</c:v>
                </c:pt>
              </c:strCache>
            </c:strRef>
          </c:cat>
          <c:val>
            <c:numRef>
              <c:f>('CONSOLIDADO-ACUEDUCTOSRURALES2'!$E$138,'CONSOLIDADO-ACUEDUCTOSRURALES2'!$G$138,'CONSOLIDADO-ACUEDUCTOSRURALES2'!$I$138,'CONSOLIDADO-ACUEDUCTOSRURALES2'!$K$138,'CONSOLIDADO-ACUEDUCTOSRURALES2'!$M$138,'CONSOLIDADO-ACUEDUCTOSRURALES2'!$O$138)</c:f>
              <c:numCache>
                <c:formatCode>0.0</c:formatCode>
                <c:ptCount val="6"/>
                <c:pt idx="0">
                  <c:v>1.6129032258064515</c:v>
                </c:pt>
                <c:pt idx="1">
                  <c:v>1.6129032258064515</c:v>
                </c:pt>
                <c:pt idx="2">
                  <c:v>1.6129032258064515</c:v>
                </c:pt>
                <c:pt idx="3">
                  <c:v>6.4516129032258061</c:v>
                </c:pt>
                <c:pt idx="4">
                  <c:v>58.064516129032263</c:v>
                </c:pt>
                <c:pt idx="5">
                  <c:v>30.64516129032258</c:v>
                </c:pt>
              </c:numCache>
            </c:numRef>
          </c:val>
          <c:extLst>
            <c:ext xmlns:c16="http://schemas.microsoft.com/office/drawing/2014/chart" uri="{C3380CC4-5D6E-409C-BE32-E72D297353CC}">
              <c16:uniqueId val="{00000013-483A-43E5-9547-3378C2D8FF4D}"/>
            </c:ext>
          </c:extLst>
        </c:ser>
        <c:dLbls>
          <c:showLegendKey val="0"/>
          <c:showVal val="0"/>
          <c:showCatName val="0"/>
          <c:showSerName val="0"/>
          <c:showPercent val="0"/>
          <c:showBubbleSize val="0"/>
        </c:dLbls>
        <c:gapWidth val="135"/>
        <c:overlap val="-5"/>
        <c:axId val="188444336"/>
        <c:axId val="188444896"/>
      </c:barChart>
      <c:catAx>
        <c:axId val="188443216"/>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s-ES"/>
          </a:p>
        </c:txPr>
        <c:crossAx val="188443776"/>
        <c:crosses val="autoZero"/>
        <c:auto val="1"/>
        <c:lblAlgn val="ctr"/>
        <c:lblOffset val="100"/>
        <c:noMultiLvlLbl val="0"/>
      </c:catAx>
      <c:valAx>
        <c:axId val="188443776"/>
        <c:scaling>
          <c:orientation val="minMax"/>
          <c:max val="40"/>
          <c:min val="0"/>
        </c:scaling>
        <c:delete val="0"/>
        <c:axPos val="b"/>
        <c:majorGridlines/>
        <c:title>
          <c:tx>
            <c:rich>
              <a:bodyPr/>
              <a:lstStyle/>
              <a:p>
                <a:pPr>
                  <a:defRPr sz="1200" b="0" i="0" u="none" strike="noStrike" baseline="0">
                    <a:solidFill>
                      <a:srgbClr val="000000"/>
                    </a:solidFill>
                    <a:latin typeface="Arial"/>
                    <a:ea typeface="Arial"/>
                    <a:cs typeface="Arial"/>
                  </a:defRPr>
                </a:pPr>
                <a:r>
                  <a:rPr lang="es-CO"/>
                  <a:t>Numero  de Acueductos</a:t>
                </a:r>
              </a:p>
            </c:rich>
          </c:tx>
          <c:layout>
            <c:manualLayout>
              <c:xMode val="edge"/>
              <c:yMode val="edge"/>
              <c:x val="0.4403355044405981"/>
              <c:y val="0.92924191493607167"/>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88443216"/>
        <c:crosses val="autoZero"/>
        <c:crossBetween val="between"/>
      </c:valAx>
      <c:catAx>
        <c:axId val="188444336"/>
        <c:scaling>
          <c:orientation val="minMax"/>
        </c:scaling>
        <c:delete val="1"/>
        <c:axPos val="l"/>
        <c:numFmt formatCode="General" sourceLinked="1"/>
        <c:majorTickMark val="out"/>
        <c:minorTickMark val="none"/>
        <c:tickLblPos val="nextTo"/>
        <c:crossAx val="188444896"/>
        <c:crosses val="autoZero"/>
        <c:auto val="1"/>
        <c:lblAlgn val="ctr"/>
        <c:lblOffset val="100"/>
        <c:noMultiLvlLbl val="0"/>
      </c:catAx>
      <c:valAx>
        <c:axId val="188444896"/>
        <c:scaling>
          <c:orientation val="minMax"/>
          <c:max val="75"/>
          <c:min val="0"/>
        </c:scaling>
        <c:delete val="0"/>
        <c:axPos val="t"/>
        <c:title>
          <c:tx>
            <c:rich>
              <a:bodyPr/>
              <a:lstStyle/>
              <a:p>
                <a:pPr>
                  <a:defRPr sz="1200" b="0" i="0" u="none" strike="noStrike" baseline="0">
                    <a:solidFill>
                      <a:srgbClr val="000000"/>
                    </a:solidFill>
                    <a:latin typeface="Arial"/>
                    <a:ea typeface="Arial"/>
                    <a:cs typeface="Arial"/>
                  </a:defRPr>
                </a:pPr>
                <a:r>
                  <a:rPr lang="es-CO"/>
                  <a:t>Porcentaje</a:t>
                </a:r>
              </a:p>
            </c:rich>
          </c:tx>
          <c:layout>
            <c:manualLayout>
              <c:xMode val="edge"/>
              <c:yMode val="edge"/>
              <c:x val="0.49828972776115821"/>
              <c:y val="0.10547354095357964"/>
            </c:manualLayout>
          </c:layout>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88444336"/>
        <c:crosses val="max"/>
        <c:crossBetween val="between"/>
      </c:valAx>
      <c:spPr>
        <a:noFill/>
        <a:ln w="25400">
          <a:noFill/>
        </a:ln>
      </c:spPr>
    </c:plotArea>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15</a:t>
            </a:r>
            <a:r>
              <a:rPr lang="es-CO" sz="1200" b="0" i="0" u="none" strike="noStrike" baseline="0">
                <a:solidFill>
                  <a:srgbClr val="000000"/>
                </a:solidFill>
                <a:latin typeface="Arial"/>
                <a:cs typeface="Arial"/>
              </a:rPr>
              <a:t>. Número y porcentaje de acueductos rurales  subregión </a:t>
            </a:r>
          </a:p>
          <a:p>
            <a:pPr>
              <a:defRPr sz="1000" b="0" i="0" u="none" strike="noStrike" baseline="0">
                <a:solidFill>
                  <a:srgbClr val="000000"/>
                </a:solidFill>
                <a:latin typeface="Calibri"/>
                <a:ea typeface="Calibri"/>
                <a:cs typeface="Calibri"/>
              </a:defRPr>
            </a:pPr>
            <a:r>
              <a:rPr lang="es-CO" sz="1200" b="0" i="0" u="none" strike="noStrike" baseline="0">
                <a:solidFill>
                  <a:srgbClr val="000000"/>
                </a:solidFill>
                <a:latin typeface="Arial"/>
                <a:cs typeface="Arial"/>
              </a:rPr>
              <a:t>Magdalena Medio- Antioquia- Colombia 2020</a:t>
            </a:r>
          </a:p>
        </c:rich>
      </c:tx>
      <c:layout>
        <c:manualLayout>
          <c:xMode val="edge"/>
          <c:yMode val="edge"/>
          <c:x val="0.17977430486163851"/>
          <c:y val="1.1976046683484953E-2"/>
        </c:manualLayout>
      </c:layout>
      <c:overlay val="0"/>
    </c:title>
    <c:autoTitleDeleted val="0"/>
    <c:plotArea>
      <c:layout>
        <c:manualLayout>
          <c:layoutTarget val="inner"/>
          <c:xMode val="edge"/>
          <c:yMode val="edge"/>
          <c:x val="0.14438480088466099"/>
          <c:y val="0.10723879515060618"/>
          <c:w val="0.73332374062379257"/>
          <c:h val="0.63053478315210598"/>
        </c:manualLayout>
      </c:layout>
      <c:barChart>
        <c:barDir val="col"/>
        <c:grouping val="clustered"/>
        <c:varyColors val="0"/>
        <c:ser>
          <c:idx val="0"/>
          <c:order val="0"/>
          <c:tx>
            <c:strRef>
              <c:f>'CONSOLIDADO-ACUEDUCTOSRURALES2'!$B$142</c:f>
              <c:strCache>
                <c:ptCount val="1"/>
                <c:pt idx="0">
                  <c:v>Número de Sistemas</c:v>
                </c:pt>
              </c:strCache>
            </c:strRef>
          </c:tx>
          <c:spPr>
            <a:solidFill>
              <a:schemeClr val="tx1">
                <a:lumMod val="65000"/>
                <a:lumOff val="35000"/>
              </a:schemeClr>
            </a:solidFill>
            <a:scene3d>
              <a:camera prst="orthographicFront"/>
              <a:lightRig rig="threePt" dir="t"/>
            </a:scene3d>
            <a:sp3d/>
          </c:spPr>
          <c:invertIfNegative val="0"/>
          <c:dLbls>
            <c:spPr>
              <a:noFill/>
              <a:ln w="25400">
                <a:noFill/>
              </a:ln>
            </c:spPr>
            <c:txPr>
              <a:bodyPr rot="-5400000" vert="horz"/>
              <a:lstStyle/>
              <a:p>
                <a:pPr>
                  <a:defRPr sz="14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'CONSOLIDADO-ACUEDUCTOSRURALES2'!$A$143:$A$148</c:f>
              <c:strCache>
                <c:ptCount val="6"/>
                <c:pt idx="0">
                  <c:v>Caracolí</c:v>
                </c:pt>
                <c:pt idx="1">
                  <c:v>Maceo</c:v>
                </c:pt>
                <c:pt idx="2">
                  <c:v>Puerto Berrio</c:v>
                </c:pt>
                <c:pt idx="3">
                  <c:v>Puerto Nare</c:v>
                </c:pt>
                <c:pt idx="4">
                  <c:v>Puerto Triunfo</c:v>
                </c:pt>
                <c:pt idx="5">
                  <c:v>Yondo</c:v>
                </c:pt>
              </c:strCache>
            </c:strRef>
          </c:cat>
          <c:val>
            <c:numRef>
              <c:f>'CONSOLIDADO-ACUEDUCTOSRURALES2'!$B$143:$B$148</c:f>
              <c:numCache>
                <c:formatCode>General</c:formatCode>
                <c:ptCount val="6"/>
                <c:pt idx="0">
                  <c:v>9</c:v>
                </c:pt>
                <c:pt idx="1">
                  <c:v>8</c:v>
                </c:pt>
                <c:pt idx="2">
                  <c:v>15</c:v>
                </c:pt>
                <c:pt idx="3">
                  <c:v>7</c:v>
                </c:pt>
                <c:pt idx="4">
                  <c:v>11</c:v>
                </c:pt>
                <c:pt idx="5">
                  <c:v>22</c:v>
                </c:pt>
              </c:numCache>
            </c:numRef>
          </c:val>
          <c:extLst>
            <c:ext xmlns:c16="http://schemas.microsoft.com/office/drawing/2014/chart" uri="{C3380CC4-5D6E-409C-BE32-E72D297353CC}">
              <c16:uniqueId val="{00000000-E67D-4020-AF39-C514E335EA31}"/>
            </c:ext>
          </c:extLst>
        </c:ser>
        <c:dLbls>
          <c:showLegendKey val="0"/>
          <c:showVal val="0"/>
          <c:showCatName val="0"/>
          <c:showSerName val="0"/>
          <c:showPercent val="0"/>
          <c:showBubbleSize val="0"/>
        </c:dLbls>
        <c:gapWidth val="269"/>
        <c:overlap val="-78"/>
        <c:axId val="188493104"/>
        <c:axId val="188493664"/>
      </c:barChart>
      <c:barChart>
        <c:barDir val="col"/>
        <c:grouping val="clustered"/>
        <c:varyColors val="0"/>
        <c:ser>
          <c:idx val="1"/>
          <c:order val="1"/>
          <c:tx>
            <c:strRef>
              <c:f>'CONSOLIDADO-ACUEDUCTOSRURALES2'!$C$55</c:f>
              <c:strCache>
                <c:ptCount val="1"/>
                <c:pt idx="0">
                  <c:v>%</c:v>
                </c:pt>
              </c:strCache>
            </c:strRef>
          </c:tx>
          <c:spPr>
            <a:pattFill prst="ltDnDiag">
              <a:fgClr>
                <a:schemeClr val="tx2">
                  <a:lumMod val="60000"/>
                  <a:lumOff val="40000"/>
                </a:schemeClr>
              </a:fgClr>
              <a:bgClr>
                <a:schemeClr val="bg1"/>
              </a:bgClr>
            </a:pattFill>
            <a:scene3d>
              <a:camera prst="orthographicFront"/>
              <a:lightRig rig="threePt" dir="t"/>
            </a:scene3d>
            <a:sp3d/>
          </c:spPr>
          <c:invertIfNegative val="0"/>
          <c:dLbls>
            <c:spPr>
              <a:noFill/>
              <a:ln w="25400">
                <a:noFill/>
              </a:ln>
            </c:spPr>
            <c:txPr>
              <a:bodyPr rot="-5400000" vert="horz"/>
              <a:lstStyle/>
              <a:p>
                <a:pPr>
                  <a:defRPr sz="1400" b="1" i="0" u="none" strike="noStrike" baseline="0">
                    <a:solidFill>
                      <a:srgbClr val="000000"/>
                    </a:solidFill>
                    <a:latin typeface="Calibri"/>
                    <a:ea typeface="Calibri"/>
                    <a:cs typeface="Calibri"/>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'CONSOLIDADO-ACUEDUCTOSRURALES2'!$A$56:$A$72</c:f>
              <c:strCache>
                <c:ptCount val="17"/>
                <c:pt idx="0">
                  <c:v>Angostura</c:v>
                </c:pt>
                <c:pt idx="1">
                  <c:v>Belmira</c:v>
                </c:pt>
                <c:pt idx="2">
                  <c:v>Briceño</c:v>
                </c:pt>
                <c:pt idx="3">
                  <c:v>Campamento</c:v>
                </c:pt>
                <c:pt idx="4">
                  <c:v>Carolina del Príncipe</c:v>
                </c:pt>
                <c:pt idx="5">
                  <c:v>Don Matías</c:v>
                </c:pt>
                <c:pt idx="6">
                  <c:v>Entrerríos</c:v>
                </c:pt>
                <c:pt idx="7">
                  <c:v>Gómez Plata</c:v>
                </c:pt>
                <c:pt idx="8">
                  <c:v>Guadalupe</c:v>
                </c:pt>
                <c:pt idx="9">
                  <c:v>Ituango</c:v>
                </c:pt>
                <c:pt idx="10">
                  <c:v>San Andrés de Cuerquia</c:v>
                </c:pt>
                <c:pt idx="11">
                  <c:v>San José de la Montaña</c:v>
                </c:pt>
                <c:pt idx="12">
                  <c:v>San Pedro de los Milagros</c:v>
                </c:pt>
                <c:pt idx="13">
                  <c:v>Santa Rosa de Osos</c:v>
                </c:pt>
                <c:pt idx="14">
                  <c:v>Toledo</c:v>
                </c:pt>
                <c:pt idx="15">
                  <c:v>Valdivia</c:v>
                </c:pt>
                <c:pt idx="16">
                  <c:v>Yarumal</c:v>
                </c:pt>
              </c:strCache>
            </c:strRef>
          </c:cat>
          <c:val>
            <c:numRef>
              <c:f>'CONSOLIDADO-ACUEDUCTOSRURALES2'!$C$143:$C$148</c:f>
              <c:numCache>
                <c:formatCode>0.0</c:formatCode>
                <c:ptCount val="6"/>
                <c:pt idx="0">
                  <c:v>12.5</c:v>
                </c:pt>
                <c:pt idx="1">
                  <c:v>11.111111111111111</c:v>
                </c:pt>
                <c:pt idx="2">
                  <c:v>20.833333333333336</c:v>
                </c:pt>
                <c:pt idx="3">
                  <c:v>9.7222222222222232</c:v>
                </c:pt>
                <c:pt idx="4">
                  <c:v>15.277777777777779</c:v>
                </c:pt>
                <c:pt idx="5">
                  <c:v>30.555555555555557</c:v>
                </c:pt>
              </c:numCache>
            </c:numRef>
          </c:val>
          <c:extLst>
            <c:ext xmlns:c16="http://schemas.microsoft.com/office/drawing/2014/chart" uri="{C3380CC4-5D6E-409C-BE32-E72D297353CC}">
              <c16:uniqueId val="{00000001-E67D-4020-AF39-C514E335EA31}"/>
            </c:ext>
          </c:extLst>
        </c:ser>
        <c:dLbls>
          <c:showLegendKey val="0"/>
          <c:showVal val="0"/>
          <c:showCatName val="0"/>
          <c:showSerName val="0"/>
          <c:showPercent val="0"/>
          <c:showBubbleSize val="0"/>
        </c:dLbls>
        <c:gapWidth val="322"/>
        <c:axId val="188494224"/>
        <c:axId val="188494784"/>
      </c:barChart>
      <c:catAx>
        <c:axId val="188493104"/>
        <c:scaling>
          <c:orientation val="minMax"/>
        </c:scaling>
        <c:delete val="0"/>
        <c:axPos val="b"/>
        <c:numFmt formatCode="General" sourceLinked="1"/>
        <c:majorTickMark val="none"/>
        <c:minorTickMark val="none"/>
        <c:tickLblPos val="nextTo"/>
        <c:txPr>
          <a:bodyPr rot="-3360000" vert="horz"/>
          <a:lstStyle/>
          <a:p>
            <a:pPr>
              <a:defRPr sz="1400" b="0" i="0" u="none" strike="noStrike" baseline="0">
                <a:solidFill>
                  <a:srgbClr val="000000"/>
                </a:solidFill>
                <a:latin typeface="Calibri"/>
                <a:ea typeface="Calibri"/>
                <a:cs typeface="Calibri"/>
              </a:defRPr>
            </a:pPr>
            <a:endParaRPr lang="es-ES"/>
          </a:p>
        </c:txPr>
        <c:crossAx val="188493664"/>
        <c:crossesAt val="0"/>
        <c:auto val="1"/>
        <c:lblAlgn val="ctr"/>
        <c:lblOffset val="100"/>
        <c:noMultiLvlLbl val="0"/>
      </c:catAx>
      <c:valAx>
        <c:axId val="188493664"/>
        <c:scaling>
          <c:orientation val="minMax"/>
          <c:max val="25"/>
          <c:min val="0"/>
        </c:scaling>
        <c:delete val="0"/>
        <c:axPos val="l"/>
        <c:majorGridlines/>
        <c:title>
          <c:tx>
            <c:rich>
              <a:bodyPr/>
              <a:lstStyle/>
              <a:p>
                <a:pPr>
                  <a:defRPr sz="1800" b="1" i="0" u="none" strike="noStrike" baseline="0">
                    <a:solidFill>
                      <a:srgbClr val="000000"/>
                    </a:solidFill>
                    <a:latin typeface="Calibri"/>
                    <a:ea typeface="Calibri"/>
                    <a:cs typeface="Calibri"/>
                  </a:defRPr>
                </a:pPr>
                <a:r>
                  <a:rPr lang="es-CO"/>
                  <a:t>Numero de Sistemas</a:t>
                </a:r>
              </a:p>
            </c:rich>
          </c:tx>
          <c:layout>
            <c:manualLayout>
              <c:xMode val="edge"/>
              <c:yMode val="edge"/>
              <c:x val="1.8067735187923845E-2"/>
              <c:y val="0.22487434701730244"/>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188493104"/>
        <c:crosses val="autoZero"/>
        <c:crossBetween val="between"/>
        <c:majorUnit val="5"/>
      </c:valAx>
      <c:catAx>
        <c:axId val="188494224"/>
        <c:scaling>
          <c:orientation val="minMax"/>
        </c:scaling>
        <c:delete val="1"/>
        <c:axPos val="b"/>
        <c:numFmt formatCode="General" sourceLinked="1"/>
        <c:majorTickMark val="out"/>
        <c:minorTickMark val="none"/>
        <c:tickLblPos val="nextTo"/>
        <c:crossAx val="188494784"/>
        <c:crosses val="autoZero"/>
        <c:auto val="1"/>
        <c:lblAlgn val="ctr"/>
        <c:lblOffset val="100"/>
        <c:noMultiLvlLbl val="0"/>
      </c:catAx>
      <c:valAx>
        <c:axId val="188494784"/>
        <c:scaling>
          <c:orientation val="minMax"/>
          <c:max val="50"/>
          <c:min val="0"/>
        </c:scaling>
        <c:delete val="0"/>
        <c:axPos val="r"/>
        <c:title>
          <c:tx>
            <c:rich>
              <a:bodyPr/>
              <a:lstStyle/>
              <a:p>
                <a:pPr>
                  <a:defRPr sz="2000" b="1" i="0" u="none" strike="noStrike" baseline="0">
                    <a:solidFill>
                      <a:srgbClr val="000000"/>
                    </a:solidFill>
                    <a:latin typeface="Calibri"/>
                    <a:ea typeface="Calibri"/>
                    <a:cs typeface="Calibri"/>
                  </a:defRPr>
                </a:pPr>
                <a:r>
                  <a:rPr lang="es-CO"/>
                  <a:t>Porcentaje</a:t>
                </a:r>
              </a:p>
            </c:rich>
          </c:tx>
          <c:layout/>
          <c:overlay val="0"/>
        </c:title>
        <c:numFmt formatCode="0.0" sourceLinked="1"/>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188494224"/>
        <c:crosses val="max"/>
        <c:crossBetween val="between"/>
      </c:valAx>
      <c:spPr>
        <a:solidFill>
          <a:sysClr val="window" lastClr="FFFFFF"/>
        </a:solidFill>
        <a:scene3d>
          <a:camera prst="orthographicFront"/>
          <a:lightRig rig="threePt" dir="t"/>
        </a:scene3d>
        <a:sp3d>
          <a:bevelT/>
          <a:bevelB/>
        </a:sp3d>
      </c:spPr>
    </c:plotArea>
    <c:legend>
      <c:legendPos val="t"/>
      <c:layout>
        <c:manualLayout>
          <c:xMode val="edge"/>
          <c:yMode val="edge"/>
          <c:x val="0.29130154415977189"/>
          <c:y val="0.9270881431083251"/>
          <c:w val="0.4600726114819404"/>
          <c:h val="6.0105700379685545E-2"/>
        </c:manualLayout>
      </c:layout>
      <c:overlay val="0"/>
      <c:txPr>
        <a:bodyPr/>
        <a:lstStyle/>
        <a:p>
          <a:pPr>
            <a:defRPr sz="1100" b="1" i="0" u="none" strike="noStrike" baseline="0">
              <a:solidFill>
                <a:srgbClr val="000000"/>
              </a:solidFill>
              <a:latin typeface="Arial"/>
              <a:ea typeface="Arial"/>
              <a:cs typeface="Arial"/>
            </a:defRPr>
          </a:pPr>
          <a:endParaRPr lang="es-ES"/>
        </a:p>
      </c:txPr>
    </c:legend>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16</a:t>
            </a:r>
            <a:r>
              <a:rPr lang="es-CO" sz="1200" b="0" i="0" u="none" strike="noStrike" baseline="0">
                <a:solidFill>
                  <a:srgbClr val="000000"/>
                </a:solidFill>
                <a:latin typeface="Arial"/>
                <a:cs typeface="Arial"/>
              </a:rPr>
              <a:t>. Numero y porcentaje de acueductos rurales por  nivel de riesgo sanitario psubregión  Magdalena Medio- Antioquia - Colombia  2020</a:t>
            </a:r>
          </a:p>
        </c:rich>
      </c:tx>
      <c:layout/>
      <c:overlay val="1"/>
      <c:spPr>
        <a:scene3d>
          <a:camera prst="orthographicFront"/>
          <a:lightRig rig="threePt" dir="t"/>
        </a:scene3d>
        <a:sp3d>
          <a:bevelB/>
        </a:sp3d>
      </c:spPr>
    </c:title>
    <c:autoTitleDeleted val="0"/>
    <c:plotArea>
      <c:layout>
        <c:manualLayout>
          <c:layoutTarget val="inner"/>
          <c:xMode val="edge"/>
          <c:yMode val="edge"/>
          <c:x val="0.21014317301823926"/>
          <c:y val="0.2080573725184732"/>
          <c:w val="0.69094811687293856"/>
          <c:h val="0.66975581216643609"/>
        </c:manualLayout>
      </c:layout>
      <c:barChart>
        <c:barDir val="bar"/>
        <c:grouping val="stacked"/>
        <c:varyColors val="0"/>
        <c:ser>
          <c:idx val="1"/>
          <c:order val="1"/>
          <c:tx>
            <c:strRef>
              <c:f>'CONSOLIDADO-ACUEDUCTOSRURALES2'!$B$142</c:f>
              <c:strCache>
                <c:ptCount val="1"/>
                <c:pt idx="0">
                  <c:v>Número de Sistemas</c:v>
                </c:pt>
              </c:strCache>
            </c:strRef>
          </c:tx>
          <c:spPr>
            <a:solidFill>
              <a:schemeClr val="bg1">
                <a:lumMod val="85000"/>
              </a:schemeClr>
            </a:solidFill>
          </c:spPr>
          <c:invertIfNegative val="0"/>
          <c:dLbls>
            <c:dLbl>
              <c:idx val="0"/>
              <c:layout>
                <c:manualLayout>
                  <c:x val="9.8263314290288048E-2"/>
                  <c:y val="5.147188971320875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545-4A0D-B8E5-745CF12703C9}"/>
                </c:ext>
              </c:extLst>
            </c:dLbl>
            <c:dLbl>
              <c:idx val="1"/>
              <c:layout>
                <c:manualLayout>
                  <c:x val="3.8966272799127552E-2"/>
                  <c:y val="-2.565806441824829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545-4A0D-B8E5-745CF12703C9}"/>
                </c:ext>
              </c:extLst>
            </c:dLbl>
            <c:dLbl>
              <c:idx val="2"/>
              <c:layout>
                <c:manualLayout>
                  <c:x val="3.3883680677145284E-2"/>
                  <c:y val="5.179757154633033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545-4A0D-B8E5-745CF12703C9}"/>
                </c:ext>
              </c:extLst>
            </c:dLbl>
            <c:dLbl>
              <c:idx val="3"/>
              <c:layout>
                <c:manualLayout>
                  <c:x val="0.31850910631088519"/>
                  <c:y val="5.123116835829141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545-4A0D-B8E5-745CF12703C9}"/>
                </c:ext>
              </c:extLst>
            </c:dLbl>
            <c:dLbl>
              <c:idx val="4"/>
              <c:layout>
                <c:manualLayout>
                  <c:x val="0.17969057552685203"/>
                  <c:y val="2.569649892029392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545-4A0D-B8E5-745CF12703C9}"/>
                </c:ext>
              </c:extLst>
            </c:dLbl>
            <c:dLbl>
              <c:idx val="5"/>
              <c:layout>
                <c:manualLayout>
                  <c:x val="0.27926015601289977"/>
                  <c:y val="5.118261951360125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545-4A0D-B8E5-745CF12703C9}"/>
                </c:ext>
              </c:extLst>
            </c:dLbl>
            <c:spPr>
              <a:noFill/>
              <a:ln>
                <a:noFill/>
              </a:ln>
              <a:effectLst/>
            </c:spPr>
            <c:txPr>
              <a:bodyPr/>
              <a:lstStyle/>
              <a:p>
                <a:pPr>
                  <a:defRPr sz="1100" b="0"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('CONSOLIDADO-ACUEDUCTOSRURALES2'!$D$142,'CONSOLIDADO-ACUEDUCTOSRURALES2'!$F$142,'CONSOLIDADO-ACUEDUCTOSRURALES2'!$H$142,'CONSOLIDADO-ACUEDUCTOSRURALES2'!$J$142,'CONSOLIDADO-ACUEDUCTOSRURALES2'!$L$142,'CONSOLIDADO-ACUEDUCTOSRURALES2'!$N$142)</c:f>
              <c:strCache>
                <c:ptCount val="6"/>
                <c:pt idx="0">
                  <c:v>Sin Riesgo</c:v>
                </c:pt>
                <c:pt idx="1">
                  <c:v>Bajo</c:v>
                </c:pt>
                <c:pt idx="2">
                  <c:v>Medio</c:v>
                </c:pt>
                <c:pt idx="3">
                  <c:v>Alto</c:v>
                </c:pt>
                <c:pt idx="4">
                  <c:v>Inviable Sanitariamente</c:v>
                </c:pt>
                <c:pt idx="5">
                  <c:v>Sin Dato</c:v>
                </c:pt>
              </c:strCache>
            </c:strRef>
          </c:cat>
          <c:val>
            <c:numRef>
              <c:f>('CONSOLIDADO-ACUEDUCTOSRURALES2'!$D$149,'CONSOLIDADO-ACUEDUCTOSRURALES2'!$F$149,'CONSOLIDADO-ACUEDUCTOSRURALES2'!$H$149,'CONSOLIDADO-ACUEDUCTOSRURALES2'!$J$149,'CONSOLIDADO-ACUEDUCTOSRURALES2'!$L$149,'CONSOLIDADO-ACUEDUCTOSRURALES2'!$N$149)</c:f>
              <c:numCache>
                <c:formatCode>General</c:formatCode>
                <c:ptCount val="6"/>
                <c:pt idx="0">
                  <c:v>7</c:v>
                </c:pt>
                <c:pt idx="1">
                  <c:v>4</c:v>
                </c:pt>
                <c:pt idx="2">
                  <c:v>2</c:v>
                </c:pt>
                <c:pt idx="3">
                  <c:v>28</c:v>
                </c:pt>
                <c:pt idx="4">
                  <c:v>12</c:v>
                </c:pt>
                <c:pt idx="5">
                  <c:v>19</c:v>
                </c:pt>
              </c:numCache>
            </c:numRef>
          </c:val>
          <c:extLst>
            <c:ext xmlns:c16="http://schemas.microsoft.com/office/drawing/2014/chart" uri="{C3380CC4-5D6E-409C-BE32-E72D297353CC}">
              <c16:uniqueId val="{00000006-E545-4A0D-B8E5-745CF12703C9}"/>
            </c:ext>
          </c:extLst>
        </c:ser>
        <c:dLbls>
          <c:showLegendKey val="0"/>
          <c:showVal val="0"/>
          <c:showCatName val="0"/>
          <c:showSerName val="0"/>
          <c:showPercent val="0"/>
          <c:showBubbleSize val="0"/>
        </c:dLbls>
        <c:gapWidth val="136"/>
        <c:overlap val="-5"/>
        <c:axId val="188498144"/>
        <c:axId val="189043920"/>
      </c:barChart>
      <c:barChart>
        <c:barDir val="bar"/>
        <c:grouping val="stacked"/>
        <c:varyColors val="0"/>
        <c:ser>
          <c:idx val="0"/>
          <c:order val="0"/>
          <c:tx>
            <c:strRef>
              <c:f>'CONSOLIDADO-ACUEDUCTOSRURALES2'!$C$142</c:f>
              <c:strCache>
                <c:ptCount val="1"/>
                <c:pt idx="0">
                  <c:v>%</c:v>
                </c:pt>
              </c:strCache>
            </c:strRef>
          </c:tx>
          <c:spPr>
            <a:scene3d>
              <a:camera prst="orthographicFront"/>
              <a:lightRig rig="threePt" dir="t"/>
            </a:scene3d>
            <a:sp3d/>
          </c:spPr>
          <c:invertIfNegative val="0"/>
          <c:dPt>
            <c:idx val="0"/>
            <c:invertIfNegative val="0"/>
            <c:bubble3D val="0"/>
            <c:spPr>
              <a:solidFill>
                <a:schemeClr val="tx2">
                  <a:lumMod val="60000"/>
                  <a:lumOff val="40000"/>
                </a:schemeClr>
              </a:solidFill>
              <a:scene3d>
                <a:camera prst="orthographicFront"/>
                <a:lightRig rig="threePt" dir="t"/>
              </a:scene3d>
              <a:sp3d/>
            </c:spPr>
            <c:extLst>
              <c:ext xmlns:c16="http://schemas.microsoft.com/office/drawing/2014/chart" uri="{C3380CC4-5D6E-409C-BE32-E72D297353CC}">
                <c16:uniqueId val="{00000008-E545-4A0D-B8E5-745CF12703C9}"/>
              </c:ext>
            </c:extLst>
          </c:dPt>
          <c:dPt>
            <c:idx val="1"/>
            <c:invertIfNegative val="0"/>
            <c:bubble3D val="0"/>
            <c:spPr>
              <a:solidFill>
                <a:srgbClr val="92D050"/>
              </a:solidFill>
              <a:scene3d>
                <a:camera prst="orthographicFront"/>
                <a:lightRig rig="threePt" dir="t"/>
              </a:scene3d>
              <a:sp3d/>
            </c:spPr>
            <c:extLst>
              <c:ext xmlns:c16="http://schemas.microsoft.com/office/drawing/2014/chart" uri="{C3380CC4-5D6E-409C-BE32-E72D297353CC}">
                <c16:uniqueId val="{0000000A-E545-4A0D-B8E5-745CF12703C9}"/>
              </c:ext>
            </c:extLst>
          </c:dPt>
          <c:dPt>
            <c:idx val="2"/>
            <c:invertIfNegative val="0"/>
            <c:bubble3D val="0"/>
            <c:spPr>
              <a:solidFill>
                <a:srgbClr val="FFFF00"/>
              </a:solidFill>
              <a:scene3d>
                <a:camera prst="orthographicFront"/>
                <a:lightRig rig="threePt" dir="t"/>
              </a:scene3d>
              <a:sp3d/>
            </c:spPr>
            <c:extLst>
              <c:ext xmlns:c16="http://schemas.microsoft.com/office/drawing/2014/chart" uri="{C3380CC4-5D6E-409C-BE32-E72D297353CC}">
                <c16:uniqueId val="{0000000C-E545-4A0D-B8E5-745CF12703C9}"/>
              </c:ext>
            </c:extLst>
          </c:dPt>
          <c:dPt>
            <c:idx val="3"/>
            <c:invertIfNegative val="0"/>
            <c:bubble3D val="0"/>
            <c:spPr>
              <a:solidFill>
                <a:schemeClr val="accent6">
                  <a:lumMod val="75000"/>
                </a:schemeClr>
              </a:solidFill>
              <a:scene3d>
                <a:camera prst="orthographicFront"/>
                <a:lightRig rig="threePt" dir="t"/>
              </a:scene3d>
              <a:sp3d/>
            </c:spPr>
            <c:extLst>
              <c:ext xmlns:c16="http://schemas.microsoft.com/office/drawing/2014/chart" uri="{C3380CC4-5D6E-409C-BE32-E72D297353CC}">
                <c16:uniqueId val="{0000000E-E545-4A0D-B8E5-745CF12703C9}"/>
              </c:ext>
            </c:extLst>
          </c:dPt>
          <c:dPt>
            <c:idx val="4"/>
            <c:invertIfNegative val="0"/>
            <c:bubble3D val="0"/>
            <c:spPr>
              <a:solidFill>
                <a:srgbClr val="C00000"/>
              </a:solidFill>
              <a:scene3d>
                <a:camera prst="orthographicFront"/>
                <a:lightRig rig="threePt" dir="t"/>
              </a:scene3d>
              <a:sp3d/>
            </c:spPr>
            <c:extLst>
              <c:ext xmlns:c16="http://schemas.microsoft.com/office/drawing/2014/chart" uri="{C3380CC4-5D6E-409C-BE32-E72D297353CC}">
                <c16:uniqueId val="{00000010-E545-4A0D-B8E5-745CF12703C9}"/>
              </c:ext>
            </c:extLst>
          </c:dPt>
          <c:dPt>
            <c:idx val="5"/>
            <c:invertIfNegative val="0"/>
            <c:bubble3D val="0"/>
            <c:spPr>
              <a:solidFill>
                <a:schemeClr val="tx1">
                  <a:lumMod val="50000"/>
                  <a:lumOff val="50000"/>
                </a:schemeClr>
              </a:solidFill>
              <a:scene3d>
                <a:camera prst="orthographicFront"/>
                <a:lightRig rig="threePt" dir="t"/>
              </a:scene3d>
              <a:sp3d/>
            </c:spPr>
            <c:extLst>
              <c:ext xmlns:c16="http://schemas.microsoft.com/office/drawing/2014/chart" uri="{C3380CC4-5D6E-409C-BE32-E72D297353CC}">
                <c16:uniqueId val="{00000012-E545-4A0D-B8E5-745CF12703C9}"/>
              </c:ext>
            </c:extLst>
          </c:dPt>
          <c:dLbls>
            <c:dLbl>
              <c:idx val="0"/>
              <c:layout>
                <c:manualLayout>
                  <c:x val="-2.4780638125443976E-3"/>
                  <c:y val="5.1703730384718618E-3"/>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545-4A0D-B8E5-745CF12703C9}"/>
                </c:ext>
              </c:extLst>
            </c:dLbl>
            <c:dLbl>
              <c:idx val="2"/>
              <c:layout>
                <c:manualLayout>
                  <c:x val="-7.0223814145214062E-3"/>
                  <c:y val="2.9951698821339763E-3"/>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545-4A0D-B8E5-745CF12703C9}"/>
                </c:ext>
              </c:extLst>
            </c:dLbl>
            <c:dLbl>
              <c:idx val="3"/>
              <c:layout>
                <c:manualLayout>
                  <c:x val="-5.8641240365919951E-2"/>
                  <c:y val="-3.4937926613793935E-4"/>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545-4A0D-B8E5-745CF12703C9}"/>
                </c:ext>
              </c:extLst>
            </c:dLbl>
            <c:dLbl>
              <c:idx val="4"/>
              <c:layout>
                <c:manualLayout>
                  <c:x val="4.1459811170363242E-3"/>
                  <c:y val="-3.3777300973625085E-3"/>
                </c:manualLayout>
              </c:layout>
              <c:spPr/>
              <c:txPr>
                <a:bodyPr/>
                <a:lstStyle/>
                <a:p>
                  <a:pPr>
                    <a:defRPr sz="1200" b="1" i="0" u="none" strike="noStrike" baseline="0">
                      <a:solidFill>
                        <a:srgbClr val="FFFFFF"/>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545-4A0D-B8E5-745CF12703C9}"/>
                </c:ext>
              </c:extLst>
            </c:dLbl>
            <c:dLbl>
              <c:idx val="5"/>
              <c:layout>
                <c:manualLayout>
                  <c:x val="7.0845464520238651E-3"/>
                  <c:y val="4.5846280709164232E-3"/>
                </c:manualLayout>
              </c:layout>
              <c:spPr/>
              <c:txPr>
                <a:bodyPr/>
                <a:lstStyle/>
                <a:p>
                  <a:pPr>
                    <a:defRPr sz="1200" b="1" i="0" u="none" strike="noStrike" baseline="0">
                      <a:solidFill>
                        <a:srgbClr val="FFFFFF"/>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545-4A0D-B8E5-745CF12703C9}"/>
                </c:ext>
              </c:extLst>
            </c:dLbl>
            <c:spPr>
              <a:noFill/>
              <a:ln w="25400">
                <a:noFill/>
              </a:ln>
            </c:spPr>
            <c:txPr>
              <a:bodyPr/>
              <a:lstStyle/>
              <a:p>
                <a:pPr>
                  <a:defRPr sz="1200" b="1"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('CONSOLIDADO-ACUEDUCTOSRURALES2'!$D$102,'CONSOLIDADO-ACUEDUCTOSRURALES2'!$F$102,'CONSOLIDADO-ACUEDUCTOSRURALES2'!$H$102,'CONSOLIDADO-ACUEDUCTOSRURALES2'!$J$102,'CONSOLIDADO-ACUEDUCTOSRURALES2'!$L$102,'CONSOLIDADO-ACUEDUCTOSRURALES2'!$N$102)</c:f>
              <c:strCache>
                <c:ptCount val="6"/>
                <c:pt idx="0">
                  <c:v>Sin Riesgo</c:v>
                </c:pt>
                <c:pt idx="1">
                  <c:v>Bajo</c:v>
                </c:pt>
                <c:pt idx="2">
                  <c:v>Medio</c:v>
                </c:pt>
                <c:pt idx="3">
                  <c:v>Alto</c:v>
                </c:pt>
                <c:pt idx="4">
                  <c:v>Inviable Sanitariamente</c:v>
                </c:pt>
                <c:pt idx="5">
                  <c:v>Sin Dato</c:v>
                </c:pt>
              </c:strCache>
            </c:strRef>
          </c:cat>
          <c:val>
            <c:numRef>
              <c:f>('CONSOLIDADO-ACUEDUCTOSRURALES2'!$E$149,'CONSOLIDADO-ACUEDUCTOSRURALES2'!$G$149,'CONSOLIDADO-ACUEDUCTOSRURALES2'!$I$149,'CONSOLIDADO-ACUEDUCTOSRURALES2'!$K$149,'CONSOLIDADO-ACUEDUCTOSRURALES2'!$M$149,'CONSOLIDADO-ACUEDUCTOSRURALES2'!$O$149)</c:f>
              <c:numCache>
                <c:formatCode>0.0</c:formatCode>
                <c:ptCount val="6"/>
                <c:pt idx="0">
                  <c:v>9.7222222222222232</c:v>
                </c:pt>
                <c:pt idx="1">
                  <c:v>5.5555555555555554</c:v>
                </c:pt>
                <c:pt idx="2">
                  <c:v>2.7777777777777777</c:v>
                </c:pt>
                <c:pt idx="3">
                  <c:v>38.888888888888893</c:v>
                </c:pt>
                <c:pt idx="4">
                  <c:v>16.666666666666664</c:v>
                </c:pt>
                <c:pt idx="5">
                  <c:v>26.388888888888889</c:v>
                </c:pt>
              </c:numCache>
            </c:numRef>
          </c:val>
          <c:extLst>
            <c:ext xmlns:c16="http://schemas.microsoft.com/office/drawing/2014/chart" uri="{C3380CC4-5D6E-409C-BE32-E72D297353CC}">
              <c16:uniqueId val="{00000013-E545-4A0D-B8E5-745CF12703C9}"/>
            </c:ext>
          </c:extLst>
        </c:ser>
        <c:dLbls>
          <c:showLegendKey val="0"/>
          <c:showVal val="0"/>
          <c:showCatName val="0"/>
          <c:showSerName val="0"/>
          <c:showPercent val="0"/>
          <c:showBubbleSize val="0"/>
        </c:dLbls>
        <c:gapWidth val="135"/>
        <c:overlap val="-5"/>
        <c:axId val="189044480"/>
        <c:axId val="189045040"/>
      </c:barChart>
      <c:catAx>
        <c:axId val="188498144"/>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s-ES"/>
          </a:p>
        </c:txPr>
        <c:crossAx val="189043920"/>
        <c:crosses val="autoZero"/>
        <c:auto val="1"/>
        <c:lblAlgn val="ctr"/>
        <c:lblOffset val="100"/>
        <c:noMultiLvlLbl val="0"/>
      </c:catAx>
      <c:valAx>
        <c:axId val="189043920"/>
        <c:scaling>
          <c:orientation val="minMax"/>
          <c:max val="30"/>
          <c:min val="0"/>
        </c:scaling>
        <c:delete val="0"/>
        <c:axPos val="b"/>
        <c:majorGridlines/>
        <c:title>
          <c:tx>
            <c:rich>
              <a:bodyPr/>
              <a:lstStyle/>
              <a:p>
                <a:pPr>
                  <a:defRPr sz="1200" b="0" i="0" u="none" strike="noStrike" baseline="0">
                    <a:solidFill>
                      <a:srgbClr val="000000"/>
                    </a:solidFill>
                    <a:latin typeface="Arial"/>
                    <a:ea typeface="Arial"/>
                    <a:cs typeface="Arial"/>
                  </a:defRPr>
                </a:pPr>
                <a:r>
                  <a:rPr lang="es-CO"/>
                  <a:t>Numero  de Acueductos</a:t>
                </a:r>
              </a:p>
            </c:rich>
          </c:tx>
          <c:layout>
            <c:manualLayout>
              <c:xMode val="edge"/>
              <c:yMode val="edge"/>
              <c:x val="0.4403355044405981"/>
              <c:y val="0.92924191493607167"/>
            </c:manualLayout>
          </c:layout>
          <c:overlay val="0"/>
        </c:title>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88498144"/>
        <c:crosses val="autoZero"/>
        <c:crossBetween val="between"/>
      </c:valAx>
      <c:catAx>
        <c:axId val="189044480"/>
        <c:scaling>
          <c:orientation val="minMax"/>
        </c:scaling>
        <c:delete val="1"/>
        <c:axPos val="l"/>
        <c:numFmt formatCode="General" sourceLinked="1"/>
        <c:majorTickMark val="out"/>
        <c:minorTickMark val="none"/>
        <c:tickLblPos val="nextTo"/>
        <c:crossAx val="189045040"/>
        <c:crosses val="autoZero"/>
        <c:auto val="1"/>
        <c:lblAlgn val="ctr"/>
        <c:lblOffset val="100"/>
        <c:noMultiLvlLbl val="0"/>
      </c:catAx>
      <c:valAx>
        <c:axId val="189045040"/>
        <c:scaling>
          <c:orientation val="minMax"/>
          <c:max val="50"/>
          <c:min val="0"/>
        </c:scaling>
        <c:delete val="0"/>
        <c:axPos val="t"/>
        <c:title>
          <c:tx>
            <c:rich>
              <a:bodyPr/>
              <a:lstStyle/>
              <a:p>
                <a:pPr>
                  <a:defRPr sz="1200" b="0" i="0" u="none" strike="noStrike" baseline="0">
                    <a:solidFill>
                      <a:srgbClr val="000000"/>
                    </a:solidFill>
                    <a:latin typeface="Arial"/>
                    <a:ea typeface="Arial"/>
                    <a:cs typeface="Arial"/>
                  </a:defRPr>
                </a:pPr>
                <a:r>
                  <a:rPr lang="es-CO"/>
                  <a:t>Porcentaje</a:t>
                </a:r>
              </a:p>
            </c:rich>
          </c:tx>
          <c:layout>
            <c:manualLayout>
              <c:xMode val="edge"/>
              <c:yMode val="edge"/>
              <c:x val="0.49828972776115821"/>
              <c:y val="0.10547354095357964"/>
            </c:manualLayout>
          </c:layout>
          <c:overlay val="0"/>
        </c:title>
        <c:numFmt formatCode="0.0"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89044480"/>
        <c:crosses val="max"/>
        <c:crossBetween val="between"/>
      </c:valAx>
      <c:spPr>
        <a:noFill/>
        <a:ln w="25400">
          <a:noFill/>
        </a:ln>
      </c:spPr>
    </c:plotArea>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17</a:t>
            </a:r>
            <a:r>
              <a:rPr lang="es-CO" sz="1200" b="0" i="0" u="none" strike="noStrike" baseline="0">
                <a:solidFill>
                  <a:srgbClr val="000000"/>
                </a:solidFill>
                <a:latin typeface="Arial"/>
                <a:cs typeface="Arial"/>
              </a:rPr>
              <a:t>. Número y porcentaje de acueductos rurales  subregión </a:t>
            </a:r>
          </a:p>
          <a:p>
            <a:pPr>
              <a:defRPr sz="1000" b="0" i="0" u="none" strike="noStrike" baseline="0">
                <a:solidFill>
                  <a:srgbClr val="000000"/>
                </a:solidFill>
                <a:latin typeface="Calibri"/>
                <a:ea typeface="Calibri"/>
                <a:cs typeface="Calibri"/>
              </a:defRPr>
            </a:pPr>
            <a:r>
              <a:rPr lang="es-CO" sz="1200" b="0" i="0" u="none" strike="noStrike" baseline="0">
                <a:solidFill>
                  <a:srgbClr val="000000"/>
                </a:solidFill>
                <a:latin typeface="Arial"/>
                <a:cs typeface="Arial"/>
              </a:rPr>
              <a:t>Nordeste Antioquia- Colombia 2020</a:t>
            </a:r>
          </a:p>
        </c:rich>
      </c:tx>
      <c:layout>
        <c:manualLayout>
          <c:xMode val="edge"/>
          <c:yMode val="edge"/>
          <c:x val="0.17977430486163851"/>
          <c:y val="1.1976032065759222E-2"/>
        </c:manualLayout>
      </c:layout>
      <c:overlay val="0"/>
    </c:title>
    <c:autoTitleDeleted val="0"/>
    <c:plotArea>
      <c:layout>
        <c:manualLayout>
          <c:layoutTarget val="inner"/>
          <c:xMode val="edge"/>
          <c:yMode val="edge"/>
          <c:x val="0.14438480088466099"/>
          <c:y val="0.10723879515060618"/>
          <c:w val="0.73332374062379257"/>
          <c:h val="0.63053478315210598"/>
        </c:manualLayout>
      </c:layout>
      <c:barChart>
        <c:barDir val="col"/>
        <c:grouping val="clustered"/>
        <c:varyColors val="0"/>
        <c:ser>
          <c:idx val="0"/>
          <c:order val="0"/>
          <c:tx>
            <c:strRef>
              <c:f>'CONSOLIDADO-ACUEDUCTOSRURALES2'!$B$154</c:f>
              <c:strCache>
                <c:ptCount val="1"/>
                <c:pt idx="0">
                  <c:v>Número de Sistemas</c:v>
                </c:pt>
              </c:strCache>
            </c:strRef>
          </c:tx>
          <c:spPr>
            <a:solidFill>
              <a:schemeClr val="tx1">
                <a:lumMod val="65000"/>
                <a:lumOff val="35000"/>
              </a:schemeClr>
            </a:solidFill>
            <a:scene3d>
              <a:camera prst="orthographicFront"/>
              <a:lightRig rig="threePt" dir="t"/>
            </a:scene3d>
            <a:sp3d/>
          </c:spPr>
          <c:invertIfNegative val="0"/>
          <c:dLbls>
            <c:spPr>
              <a:noFill/>
              <a:ln w="25400">
                <a:noFill/>
              </a:ln>
            </c:spPr>
            <c:txPr>
              <a:bodyPr rot="-5400000" vert="horz"/>
              <a:lstStyle/>
              <a:p>
                <a:pPr>
                  <a:defRPr sz="14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'CONSOLIDADO-ACUEDUCTOSRURALES2'!$A$155:$A$164</c:f>
              <c:strCache>
                <c:ptCount val="10"/>
                <c:pt idx="0">
                  <c:v>Amalfi</c:v>
                </c:pt>
                <c:pt idx="1">
                  <c:v>Anori</c:v>
                </c:pt>
                <c:pt idx="2">
                  <c:v>Cisneros</c:v>
                </c:pt>
                <c:pt idx="3">
                  <c:v>Remedios</c:v>
                </c:pt>
                <c:pt idx="4">
                  <c:v>San Roque</c:v>
                </c:pt>
                <c:pt idx="5">
                  <c:v>Santo Domingo</c:v>
                </c:pt>
                <c:pt idx="6">
                  <c:v>Segovia</c:v>
                </c:pt>
                <c:pt idx="7">
                  <c:v>Vegachi</c:v>
                </c:pt>
                <c:pt idx="8">
                  <c:v>Yali</c:v>
                </c:pt>
                <c:pt idx="9">
                  <c:v>Yolombo</c:v>
                </c:pt>
              </c:strCache>
            </c:strRef>
          </c:cat>
          <c:val>
            <c:numRef>
              <c:f>'CONSOLIDADO-ACUEDUCTOSRURALES2'!$B$155:$B$164</c:f>
              <c:numCache>
                <c:formatCode>General</c:formatCode>
                <c:ptCount val="10"/>
                <c:pt idx="0">
                  <c:v>6</c:v>
                </c:pt>
                <c:pt idx="1">
                  <c:v>4</c:v>
                </c:pt>
                <c:pt idx="2">
                  <c:v>3</c:v>
                </c:pt>
                <c:pt idx="3">
                  <c:v>7</c:v>
                </c:pt>
                <c:pt idx="4">
                  <c:v>34</c:v>
                </c:pt>
                <c:pt idx="5">
                  <c:v>17</c:v>
                </c:pt>
                <c:pt idx="6">
                  <c:v>12</c:v>
                </c:pt>
                <c:pt idx="7">
                  <c:v>4</c:v>
                </c:pt>
                <c:pt idx="8">
                  <c:v>10</c:v>
                </c:pt>
                <c:pt idx="9">
                  <c:v>15</c:v>
                </c:pt>
              </c:numCache>
            </c:numRef>
          </c:val>
          <c:extLst>
            <c:ext xmlns:c16="http://schemas.microsoft.com/office/drawing/2014/chart" uri="{C3380CC4-5D6E-409C-BE32-E72D297353CC}">
              <c16:uniqueId val="{00000000-9841-4775-BC0C-06FDC07F00AB}"/>
            </c:ext>
          </c:extLst>
        </c:ser>
        <c:dLbls>
          <c:showLegendKey val="0"/>
          <c:showVal val="0"/>
          <c:showCatName val="0"/>
          <c:showSerName val="0"/>
          <c:showPercent val="0"/>
          <c:showBubbleSize val="0"/>
        </c:dLbls>
        <c:gapWidth val="191"/>
        <c:overlap val="-65"/>
        <c:axId val="189048400"/>
        <c:axId val="189048960"/>
      </c:barChart>
      <c:barChart>
        <c:barDir val="col"/>
        <c:grouping val="clustered"/>
        <c:varyColors val="0"/>
        <c:ser>
          <c:idx val="1"/>
          <c:order val="1"/>
          <c:tx>
            <c:strRef>
              <c:f>'CONSOLIDADO-ACUEDUCTOSRURALES2'!$C$55</c:f>
              <c:strCache>
                <c:ptCount val="1"/>
                <c:pt idx="0">
                  <c:v>%</c:v>
                </c:pt>
              </c:strCache>
            </c:strRef>
          </c:tx>
          <c:spPr>
            <a:pattFill prst="ltDnDiag">
              <a:fgClr>
                <a:schemeClr val="tx2">
                  <a:lumMod val="60000"/>
                  <a:lumOff val="40000"/>
                </a:schemeClr>
              </a:fgClr>
              <a:bgClr>
                <a:schemeClr val="bg1"/>
              </a:bgClr>
            </a:pattFill>
            <a:scene3d>
              <a:camera prst="orthographicFront"/>
              <a:lightRig rig="threePt" dir="t"/>
            </a:scene3d>
            <a:sp3d/>
          </c:spPr>
          <c:invertIfNegative val="0"/>
          <c:dLbls>
            <c:spPr>
              <a:noFill/>
              <a:ln w="25400">
                <a:noFill/>
              </a:ln>
            </c:spPr>
            <c:txPr>
              <a:bodyPr rot="-5400000" vert="horz"/>
              <a:lstStyle/>
              <a:p>
                <a:pPr>
                  <a:defRPr sz="1400" b="1" i="0" u="none" strike="noStrike" baseline="0">
                    <a:solidFill>
                      <a:srgbClr val="000000"/>
                    </a:solidFill>
                    <a:latin typeface="Calibri"/>
                    <a:ea typeface="Calibri"/>
                    <a:cs typeface="Calibri"/>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'CONSOLIDADO-ACUEDUCTOSRURALES2'!$A$56:$A$72</c:f>
              <c:strCache>
                <c:ptCount val="17"/>
                <c:pt idx="0">
                  <c:v>Angostura</c:v>
                </c:pt>
                <c:pt idx="1">
                  <c:v>Belmira</c:v>
                </c:pt>
                <c:pt idx="2">
                  <c:v>Briceño</c:v>
                </c:pt>
                <c:pt idx="3">
                  <c:v>Campamento</c:v>
                </c:pt>
                <c:pt idx="4">
                  <c:v>Carolina del Príncipe</c:v>
                </c:pt>
                <c:pt idx="5">
                  <c:v>Don Matías</c:v>
                </c:pt>
                <c:pt idx="6">
                  <c:v>Entrerríos</c:v>
                </c:pt>
                <c:pt idx="7">
                  <c:v>Gómez Plata</c:v>
                </c:pt>
                <c:pt idx="8">
                  <c:v>Guadalupe</c:v>
                </c:pt>
                <c:pt idx="9">
                  <c:v>Ituango</c:v>
                </c:pt>
                <c:pt idx="10">
                  <c:v>San Andrés de Cuerquia</c:v>
                </c:pt>
                <c:pt idx="11">
                  <c:v>San José de la Montaña</c:v>
                </c:pt>
                <c:pt idx="12">
                  <c:v>San Pedro de los Milagros</c:v>
                </c:pt>
                <c:pt idx="13">
                  <c:v>Santa Rosa de Osos</c:v>
                </c:pt>
                <c:pt idx="14">
                  <c:v>Toledo</c:v>
                </c:pt>
                <c:pt idx="15">
                  <c:v>Valdivia</c:v>
                </c:pt>
                <c:pt idx="16">
                  <c:v>Yarumal</c:v>
                </c:pt>
              </c:strCache>
            </c:strRef>
          </c:cat>
          <c:val>
            <c:numRef>
              <c:f>'CONSOLIDADO-ACUEDUCTOSRURALES2'!$C$155:$C$164</c:f>
              <c:numCache>
                <c:formatCode>0.0</c:formatCode>
                <c:ptCount val="10"/>
                <c:pt idx="0">
                  <c:v>5.3571428571428568</c:v>
                </c:pt>
                <c:pt idx="1">
                  <c:v>3.5714285714285712</c:v>
                </c:pt>
                <c:pt idx="2">
                  <c:v>2.6785714285714284</c:v>
                </c:pt>
                <c:pt idx="3">
                  <c:v>6.25</c:v>
                </c:pt>
                <c:pt idx="4">
                  <c:v>30.357142857142854</c:v>
                </c:pt>
                <c:pt idx="5">
                  <c:v>15.178571428571427</c:v>
                </c:pt>
                <c:pt idx="6">
                  <c:v>10.714285714285714</c:v>
                </c:pt>
                <c:pt idx="7">
                  <c:v>3.5714285714285712</c:v>
                </c:pt>
                <c:pt idx="8">
                  <c:v>8.9285714285714288</c:v>
                </c:pt>
                <c:pt idx="9">
                  <c:v>13.392857142857142</c:v>
                </c:pt>
              </c:numCache>
            </c:numRef>
          </c:val>
          <c:extLst>
            <c:ext xmlns:c16="http://schemas.microsoft.com/office/drawing/2014/chart" uri="{C3380CC4-5D6E-409C-BE32-E72D297353CC}">
              <c16:uniqueId val="{00000001-9841-4775-BC0C-06FDC07F00AB}"/>
            </c:ext>
          </c:extLst>
        </c:ser>
        <c:dLbls>
          <c:showLegendKey val="0"/>
          <c:showVal val="0"/>
          <c:showCatName val="0"/>
          <c:showSerName val="0"/>
          <c:showPercent val="0"/>
          <c:showBubbleSize val="0"/>
        </c:dLbls>
        <c:gapWidth val="198"/>
        <c:axId val="189049520"/>
        <c:axId val="189050080"/>
      </c:barChart>
      <c:catAx>
        <c:axId val="189048400"/>
        <c:scaling>
          <c:orientation val="minMax"/>
        </c:scaling>
        <c:delete val="0"/>
        <c:axPos val="b"/>
        <c:numFmt formatCode="General" sourceLinked="1"/>
        <c:majorTickMark val="none"/>
        <c:minorTickMark val="none"/>
        <c:tickLblPos val="nextTo"/>
        <c:txPr>
          <a:bodyPr rot="-3360000" vert="horz"/>
          <a:lstStyle/>
          <a:p>
            <a:pPr>
              <a:defRPr sz="1400" b="0" i="0" u="none" strike="noStrike" baseline="0">
                <a:solidFill>
                  <a:srgbClr val="000000"/>
                </a:solidFill>
                <a:latin typeface="Calibri"/>
                <a:ea typeface="Calibri"/>
                <a:cs typeface="Calibri"/>
              </a:defRPr>
            </a:pPr>
            <a:endParaRPr lang="es-ES"/>
          </a:p>
        </c:txPr>
        <c:crossAx val="189048960"/>
        <c:crossesAt val="0"/>
        <c:auto val="1"/>
        <c:lblAlgn val="ctr"/>
        <c:lblOffset val="100"/>
        <c:noMultiLvlLbl val="0"/>
      </c:catAx>
      <c:valAx>
        <c:axId val="189048960"/>
        <c:scaling>
          <c:orientation val="minMax"/>
          <c:max val="40"/>
          <c:min val="0"/>
        </c:scaling>
        <c:delete val="0"/>
        <c:axPos val="l"/>
        <c:majorGridlines/>
        <c:title>
          <c:tx>
            <c:rich>
              <a:bodyPr/>
              <a:lstStyle/>
              <a:p>
                <a:pPr>
                  <a:defRPr sz="1800" b="1" i="0" u="none" strike="noStrike" baseline="0">
                    <a:solidFill>
                      <a:srgbClr val="000000"/>
                    </a:solidFill>
                    <a:latin typeface="Calibri"/>
                    <a:ea typeface="Calibri"/>
                    <a:cs typeface="Calibri"/>
                  </a:defRPr>
                </a:pPr>
                <a:r>
                  <a:rPr lang="es-CO"/>
                  <a:t>Numero de Sistemas</a:t>
                </a:r>
              </a:p>
            </c:rich>
          </c:tx>
          <c:layout>
            <c:manualLayout>
              <c:xMode val="edge"/>
              <c:yMode val="edge"/>
              <c:x val="1.8067735187923845E-2"/>
              <c:y val="0.22487436163502819"/>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189048400"/>
        <c:crosses val="autoZero"/>
        <c:crossBetween val="between"/>
        <c:majorUnit val="5"/>
      </c:valAx>
      <c:catAx>
        <c:axId val="189049520"/>
        <c:scaling>
          <c:orientation val="minMax"/>
        </c:scaling>
        <c:delete val="1"/>
        <c:axPos val="b"/>
        <c:numFmt formatCode="General" sourceLinked="1"/>
        <c:majorTickMark val="out"/>
        <c:minorTickMark val="none"/>
        <c:tickLblPos val="nextTo"/>
        <c:crossAx val="189050080"/>
        <c:crosses val="autoZero"/>
        <c:auto val="1"/>
        <c:lblAlgn val="ctr"/>
        <c:lblOffset val="100"/>
        <c:noMultiLvlLbl val="0"/>
      </c:catAx>
      <c:valAx>
        <c:axId val="189050080"/>
        <c:scaling>
          <c:orientation val="minMax"/>
          <c:max val="50"/>
          <c:min val="0"/>
        </c:scaling>
        <c:delete val="0"/>
        <c:axPos val="r"/>
        <c:title>
          <c:tx>
            <c:rich>
              <a:bodyPr/>
              <a:lstStyle/>
              <a:p>
                <a:pPr>
                  <a:defRPr sz="2000" b="1" i="0" u="none" strike="noStrike" baseline="0">
                    <a:solidFill>
                      <a:srgbClr val="000000"/>
                    </a:solidFill>
                    <a:latin typeface="Calibri"/>
                    <a:ea typeface="Calibri"/>
                    <a:cs typeface="Calibri"/>
                  </a:defRPr>
                </a:pPr>
                <a:r>
                  <a:rPr lang="es-CO"/>
                  <a:t>Porcentaje</a:t>
                </a:r>
              </a:p>
            </c:rich>
          </c:tx>
          <c:layout/>
          <c:overlay val="0"/>
        </c:title>
        <c:numFmt formatCode="0.0" sourceLinked="1"/>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189049520"/>
        <c:crosses val="max"/>
        <c:crossBetween val="between"/>
      </c:valAx>
      <c:spPr>
        <a:solidFill>
          <a:sysClr val="window" lastClr="FFFFFF"/>
        </a:solidFill>
        <a:scene3d>
          <a:camera prst="orthographicFront"/>
          <a:lightRig rig="threePt" dir="t"/>
        </a:scene3d>
        <a:sp3d>
          <a:bevelT/>
          <a:bevelB/>
        </a:sp3d>
      </c:spPr>
    </c:plotArea>
    <c:legend>
      <c:legendPos val="t"/>
      <c:layout>
        <c:manualLayout>
          <c:xMode val="edge"/>
          <c:yMode val="edge"/>
          <c:x val="0.29130154415977189"/>
          <c:y val="0.92708824187674221"/>
          <c:w val="0.4600726114819404"/>
          <c:h val="6.0105800728397329E-2"/>
        </c:manualLayout>
      </c:layout>
      <c:overlay val="0"/>
      <c:txPr>
        <a:bodyPr/>
        <a:lstStyle/>
        <a:p>
          <a:pPr>
            <a:defRPr sz="1100" b="1" i="0" u="none" strike="noStrike" baseline="0">
              <a:solidFill>
                <a:srgbClr val="000000"/>
              </a:solidFill>
              <a:latin typeface="Arial"/>
              <a:ea typeface="Arial"/>
              <a:cs typeface="Arial"/>
            </a:defRPr>
          </a:pPr>
          <a:endParaRPr lang="es-ES"/>
        </a:p>
      </c:txPr>
    </c:legend>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s-CO" sz="1200" b="1" i="0" baseline="0">
                <a:effectLst/>
                <a:latin typeface="Arial" panose="020B0604020202020204" pitchFamily="34" charset="0"/>
                <a:cs typeface="Arial" panose="020B0604020202020204" pitchFamily="34" charset="0"/>
              </a:rPr>
              <a:t>Gráfico  18</a:t>
            </a:r>
            <a:r>
              <a:rPr lang="es-CO" sz="1200" b="0" i="0" baseline="0">
                <a:effectLst/>
                <a:latin typeface="Arial" panose="020B0604020202020204" pitchFamily="34" charset="0"/>
                <a:cs typeface="Arial" panose="020B0604020202020204" pitchFamily="34" charset="0"/>
              </a:rPr>
              <a:t>. Numero y porcentaje de acueductos rurales por  nivel de riesgo sanitario psubregión  Nordeste - Antioquia - Colombia  2020</a:t>
            </a:r>
            <a:endParaRPr lang="en-US" sz="1200" b="0" i="0" u="none" strike="noStrike" baseline="0">
              <a:solidFill>
                <a:srgbClr val="000000"/>
              </a:solidFill>
              <a:latin typeface="Arial"/>
              <a:cs typeface="Arial"/>
            </a:endParaRPr>
          </a:p>
        </c:rich>
      </c:tx>
      <c:layout>
        <c:manualLayout>
          <c:xMode val="edge"/>
          <c:yMode val="edge"/>
          <c:x val="0.14171961033460398"/>
          <c:y val="2.0578778135048232E-2"/>
        </c:manualLayout>
      </c:layout>
      <c:overlay val="1"/>
      <c:spPr>
        <a:scene3d>
          <a:camera prst="orthographicFront"/>
          <a:lightRig rig="threePt" dir="t"/>
        </a:scene3d>
        <a:sp3d>
          <a:bevelB/>
        </a:sp3d>
      </c:spPr>
    </c:title>
    <c:autoTitleDeleted val="0"/>
    <c:plotArea>
      <c:layout>
        <c:manualLayout>
          <c:layoutTarget val="inner"/>
          <c:xMode val="edge"/>
          <c:yMode val="edge"/>
          <c:x val="0.19997798877427489"/>
          <c:y val="0.20548497354229434"/>
          <c:w val="0.69094811687293856"/>
          <c:h val="0.66975581216643609"/>
        </c:manualLayout>
      </c:layout>
      <c:barChart>
        <c:barDir val="bar"/>
        <c:grouping val="stacked"/>
        <c:varyColors val="0"/>
        <c:ser>
          <c:idx val="1"/>
          <c:order val="1"/>
          <c:tx>
            <c:strRef>
              <c:f>'CONSOLIDADO-ACUEDUCTOSRURALES2'!$B$154</c:f>
              <c:strCache>
                <c:ptCount val="1"/>
                <c:pt idx="0">
                  <c:v>Número de Sistemas</c:v>
                </c:pt>
              </c:strCache>
            </c:strRef>
          </c:tx>
          <c:spPr>
            <a:solidFill>
              <a:schemeClr val="bg1">
                <a:lumMod val="85000"/>
              </a:schemeClr>
            </a:solidFill>
          </c:spPr>
          <c:invertIfNegative val="0"/>
          <c:dLbls>
            <c:dLbl>
              <c:idx val="0"/>
              <c:layout>
                <c:manualLayout>
                  <c:x val="5.082578781845408E-2"/>
                  <c:y val="2.581461883180906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A33-4E6F-9C7C-F1BDF42749B0}"/>
                </c:ext>
              </c:extLst>
            </c:dLbl>
            <c:dLbl>
              <c:idx val="1"/>
              <c:layout>
                <c:manualLayout>
                  <c:x val="3.7272075425133513E-2"/>
                  <c:y val="3.238669716413983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A33-4E6F-9C7C-F1BDF42749B0}"/>
                </c:ext>
              </c:extLst>
            </c:dLbl>
            <c:dLbl>
              <c:idx val="2"/>
              <c:layout>
                <c:manualLayout>
                  <c:x val="3.3883814078513375E-2"/>
                  <c:y val="7.755525736131857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A33-4E6F-9C7C-F1BDF42749B0}"/>
                </c:ext>
              </c:extLst>
            </c:dLbl>
            <c:dLbl>
              <c:idx val="3"/>
              <c:layout>
                <c:manualLayout>
                  <c:x val="9.9957378262914093E-2"/>
                  <c:y val="2.555738410512190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A33-4E6F-9C7C-F1BDF42749B0}"/>
                </c:ext>
              </c:extLst>
            </c:dLbl>
            <c:dLbl>
              <c:idx val="4"/>
              <c:layout>
                <c:manualLayout>
                  <c:x val="0.36774661744156184"/>
                  <c:y val="7.7107628427475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A33-4E6F-9C7C-F1BDF42749B0}"/>
                </c:ext>
              </c:extLst>
            </c:dLbl>
            <c:dLbl>
              <c:idx val="5"/>
              <c:layout>
                <c:manualLayout>
                  <c:x val="0.12508832838080755"/>
                  <c:y val="2.552497658049978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A33-4E6F-9C7C-F1BDF42749B0}"/>
                </c:ext>
              </c:extLst>
            </c:dLbl>
            <c:spPr>
              <a:noFill/>
              <a:ln>
                <a:noFill/>
              </a:ln>
              <a:effectLst/>
            </c:spPr>
            <c:txPr>
              <a:bodyPr/>
              <a:lstStyle/>
              <a:p>
                <a:pPr>
                  <a:defRPr sz="1100" b="0"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('CONSOLIDADO-ACUEDUCTOSRURALES2'!$D$154,'CONSOLIDADO-ACUEDUCTOSRURALES2'!$F$154,'CONSOLIDADO-ACUEDUCTOSRURALES2'!$H$154,'CONSOLIDADO-ACUEDUCTOSRURALES2'!$J$154,'CONSOLIDADO-ACUEDUCTOSRURALES2'!$L$154,'CONSOLIDADO-ACUEDUCTOSRURALES2'!$N$154)</c:f>
              <c:strCache>
                <c:ptCount val="6"/>
                <c:pt idx="0">
                  <c:v>Sin Riesgo</c:v>
                </c:pt>
                <c:pt idx="1">
                  <c:v>Bajo</c:v>
                </c:pt>
                <c:pt idx="2">
                  <c:v>Medio</c:v>
                </c:pt>
                <c:pt idx="3">
                  <c:v>Alto</c:v>
                </c:pt>
                <c:pt idx="4">
                  <c:v>Inviable Sanitariamente</c:v>
                </c:pt>
                <c:pt idx="5">
                  <c:v>Sin Dato</c:v>
                </c:pt>
              </c:strCache>
            </c:strRef>
          </c:cat>
          <c:val>
            <c:numRef>
              <c:f>('CONSOLIDADO-ACUEDUCTOSRURALES2'!$D$165,'CONSOLIDADO-ACUEDUCTOSRURALES2'!$F$165,'CONSOLIDADO-ACUEDUCTOSRURALES2'!$H$165,'CONSOLIDADO-ACUEDUCTOSRURALES2'!$J$165,'CONSOLIDADO-ACUEDUCTOSRURALES2'!$L$165,'CONSOLIDADO-ACUEDUCTOSRURALES2'!$N$165)</c:f>
              <c:numCache>
                <c:formatCode>General</c:formatCode>
                <c:ptCount val="6"/>
                <c:pt idx="0">
                  <c:v>6</c:v>
                </c:pt>
                <c:pt idx="1">
                  <c:v>4</c:v>
                </c:pt>
                <c:pt idx="2">
                  <c:v>4</c:v>
                </c:pt>
                <c:pt idx="3">
                  <c:v>13</c:v>
                </c:pt>
                <c:pt idx="4">
                  <c:v>75</c:v>
                </c:pt>
                <c:pt idx="5">
                  <c:v>10</c:v>
                </c:pt>
              </c:numCache>
            </c:numRef>
          </c:val>
          <c:extLst>
            <c:ext xmlns:c16="http://schemas.microsoft.com/office/drawing/2014/chart" uri="{C3380CC4-5D6E-409C-BE32-E72D297353CC}">
              <c16:uniqueId val="{00000006-4A33-4E6F-9C7C-F1BDF42749B0}"/>
            </c:ext>
          </c:extLst>
        </c:ser>
        <c:dLbls>
          <c:showLegendKey val="0"/>
          <c:showVal val="0"/>
          <c:showCatName val="0"/>
          <c:showSerName val="0"/>
          <c:showPercent val="0"/>
          <c:showBubbleSize val="0"/>
        </c:dLbls>
        <c:gapWidth val="136"/>
        <c:overlap val="-5"/>
        <c:axId val="189335104"/>
        <c:axId val="189335664"/>
      </c:barChart>
      <c:barChart>
        <c:barDir val="bar"/>
        <c:grouping val="stacked"/>
        <c:varyColors val="0"/>
        <c:ser>
          <c:idx val="0"/>
          <c:order val="0"/>
          <c:tx>
            <c:strRef>
              <c:f>'CONSOLIDADO-ACUEDUCTOSRURALES2'!$C$154</c:f>
              <c:strCache>
                <c:ptCount val="1"/>
                <c:pt idx="0">
                  <c:v>%</c:v>
                </c:pt>
              </c:strCache>
            </c:strRef>
          </c:tx>
          <c:spPr>
            <a:scene3d>
              <a:camera prst="orthographicFront"/>
              <a:lightRig rig="threePt" dir="t"/>
            </a:scene3d>
            <a:sp3d/>
          </c:spPr>
          <c:invertIfNegative val="0"/>
          <c:dPt>
            <c:idx val="0"/>
            <c:invertIfNegative val="0"/>
            <c:bubble3D val="0"/>
            <c:spPr>
              <a:solidFill>
                <a:schemeClr val="tx2">
                  <a:lumMod val="60000"/>
                  <a:lumOff val="40000"/>
                </a:schemeClr>
              </a:solidFill>
              <a:scene3d>
                <a:camera prst="orthographicFront"/>
                <a:lightRig rig="threePt" dir="t"/>
              </a:scene3d>
              <a:sp3d/>
            </c:spPr>
            <c:extLst>
              <c:ext xmlns:c16="http://schemas.microsoft.com/office/drawing/2014/chart" uri="{C3380CC4-5D6E-409C-BE32-E72D297353CC}">
                <c16:uniqueId val="{00000008-4A33-4E6F-9C7C-F1BDF42749B0}"/>
              </c:ext>
            </c:extLst>
          </c:dPt>
          <c:dPt>
            <c:idx val="1"/>
            <c:invertIfNegative val="0"/>
            <c:bubble3D val="0"/>
            <c:spPr>
              <a:solidFill>
                <a:srgbClr val="92D050"/>
              </a:solidFill>
              <a:scene3d>
                <a:camera prst="orthographicFront"/>
                <a:lightRig rig="threePt" dir="t"/>
              </a:scene3d>
              <a:sp3d/>
            </c:spPr>
            <c:extLst>
              <c:ext xmlns:c16="http://schemas.microsoft.com/office/drawing/2014/chart" uri="{C3380CC4-5D6E-409C-BE32-E72D297353CC}">
                <c16:uniqueId val="{0000000A-4A33-4E6F-9C7C-F1BDF42749B0}"/>
              </c:ext>
            </c:extLst>
          </c:dPt>
          <c:dPt>
            <c:idx val="2"/>
            <c:invertIfNegative val="0"/>
            <c:bubble3D val="0"/>
            <c:spPr>
              <a:solidFill>
                <a:srgbClr val="FFFF00"/>
              </a:solidFill>
              <a:scene3d>
                <a:camera prst="orthographicFront"/>
                <a:lightRig rig="threePt" dir="t"/>
              </a:scene3d>
              <a:sp3d/>
            </c:spPr>
            <c:extLst>
              <c:ext xmlns:c16="http://schemas.microsoft.com/office/drawing/2014/chart" uri="{C3380CC4-5D6E-409C-BE32-E72D297353CC}">
                <c16:uniqueId val="{0000000C-4A33-4E6F-9C7C-F1BDF42749B0}"/>
              </c:ext>
            </c:extLst>
          </c:dPt>
          <c:dPt>
            <c:idx val="3"/>
            <c:invertIfNegative val="0"/>
            <c:bubble3D val="0"/>
            <c:spPr>
              <a:solidFill>
                <a:schemeClr val="accent6">
                  <a:lumMod val="75000"/>
                </a:schemeClr>
              </a:solidFill>
              <a:scene3d>
                <a:camera prst="orthographicFront"/>
                <a:lightRig rig="threePt" dir="t"/>
              </a:scene3d>
              <a:sp3d/>
            </c:spPr>
            <c:extLst>
              <c:ext xmlns:c16="http://schemas.microsoft.com/office/drawing/2014/chart" uri="{C3380CC4-5D6E-409C-BE32-E72D297353CC}">
                <c16:uniqueId val="{0000000E-4A33-4E6F-9C7C-F1BDF42749B0}"/>
              </c:ext>
            </c:extLst>
          </c:dPt>
          <c:dPt>
            <c:idx val="4"/>
            <c:invertIfNegative val="0"/>
            <c:bubble3D val="0"/>
            <c:spPr>
              <a:solidFill>
                <a:srgbClr val="C00000"/>
              </a:solidFill>
              <a:scene3d>
                <a:camera prst="orthographicFront"/>
                <a:lightRig rig="threePt" dir="t"/>
              </a:scene3d>
              <a:sp3d/>
            </c:spPr>
            <c:extLst>
              <c:ext xmlns:c16="http://schemas.microsoft.com/office/drawing/2014/chart" uri="{C3380CC4-5D6E-409C-BE32-E72D297353CC}">
                <c16:uniqueId val="{00000010-4A33-4E6F-9C7C-F1BDF42749B0}"/>
              </c:ext>
            </c:extLst>
          </c:dPt>
          <c:dPt>
            <c:idx val="5"/>
            <c:invertIfNegative val="0"/>
            <c:bubble3D val="0"/>
            <c:spPr>
              <a:solidFill>
                <a:schemeClr val="tx1">
                  <a:lumMod val="50000"/>
                  <a:lumOff val="50000"/>
                </a:schemeClr>
              </a:solidFill>
              <a:scene3d>
                <a:camera prst="orthographicFront"/>
                <a:lightRig rig="threePt" dir="t"/>
              </a:scene3d>
              <a:sp3d/>
            </c:spPr>
            <c:extLst>
              <c:ext xmlns:c16="http://schemas.microsoft.com/office/drawing/2014/chart" uri="{C3380CC4-5D6E-409C-BE32-E72D297353CC}">
                <c16:uniqueId val="{00000012-4A33-4E6F-9C7C-F1BDF42749B0}"/>
              </c:ext>
            </c:extLst>
          </c:dPt>
          <c:dLbls>
            <c:dLbl>
              <c:idx val="0"/>
              <c:layout>
                <c:manualLayout>
                  <c:x val="-2.4780638125443976E-3"/>
                  <c:y val="5.1703730384718618E-3"/>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A33-4E6F-9C7C-F1BDF42749B0}"/>
                </c:ext>
              </c:extLst>
            </c:dLbl>
            <c:dLbl>
              <c:idx val="2"/>
              <c:layout>
                <c:manualLayout>
                  <c:x val="-7.0223814145214062E-3"/>
                  <c:y val="2.9951698821339763E-3"/>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A33-4E6F-9C7C-F1BDF42749B0}"/>
                </c:ext>
              </c:extLst>
            </c:dLbl>
            <c:dLbl>
              <c:idx val="3"/>
              <c:layout>
                <c:manualLayout>
                  <c:x val="-5.8641240365919951E-2"/>
                  <c:y val="-3.4937926613793935E-4"/>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A33-4E6F-9C7C-F1BDF42749B0}"/>
                </c:ext>
              </c:extLst>
            </c:dLbl>
            <c:dLbl>
              <c:idx val="4"/>
              <c:layout>
                <c:manualLayout>
                  <c:x val="4.1459811170363242E-3"/>
                  <c:y val="-3.3777300973625085E-3"/>
                </c:manualLayout>
              </c:layout>
              <c:spPr/>
              <c:txPr>
                <a:bodyPr/>
                <a:lstStyle/>
                <a:p>
                  <a:pPr>
                    <a:defRPr sz="1200" b="1" i="0" u="none" strike="noStrike" baseline="0">
                      <a:solidFill>
                        <a:srgbClr val="FFFFFF"/>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A33-4E6F-9C7C-F1BDF42749B0}"/>
                </c:ext>
              </c:extLst>
            </c:dLbl>
            <c:dLbl>
              <c:idx val="5"/>
              <c:layout>
                <c:manualLayout>
                  <c:x val="7.0845464520238651E-3"/>
                  <c:y val="4.5846280709164232E-3"/>
                </c:manualLayout>
              </c:layout>
              <c:spPr/>
              <c:txPr>
                <a:bodyPr/>
                <a:lstStyle/>
                <a:p>
                  <a:pPr>
                    <a:defRPr sz="1200" b="1" i="0" u="none" strike="noStrike" baseline="0">
                      <a:solidFill>
                        <a:srgbClr val="FFFFFF"/>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A33-4E6F-9C7C-F1BDF42749B0}"/>
                </c:ext>
              </c:extLst>
            </c:dLbl>
            <c:spPr>
              <a:noFill/>
              <a:ln w="25400">
                <a:noFill/>
              </a:ln>
            </c:spPr>
            <c:txPr>
              <a:bodyPr/>
              <a:lstStyle/>
              <a:p>
                <a:pPr>
                  <a:defRPr sz="1200" b="1"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('CONSOLIDADO-ACUEDUCTOSRURALES2'!$D$102,'CONSOLIDADO-ACUEDUCTOSRURALES2'!$F$102,'CONSOLIDADO-ACUEDUCTOSRURALES2'!$H$102,'CONSOLIDADO-ACUEDUCTOSRURALES2'!$J$102,'CONSOLIDADO-ACUEDUCTOSRURALES2'!$L$102,'CONSOLIDADO-ACUEDUCTOSRURALES2'!$N$102)</c:f>
              <c:strCache>
                <c:ptCount val="6"/>
                <c:pt idx="0">
                  <c:v>Sin Riesgo</c:v>
                </c:pt>
                <c:pt idx="1">
                  <c:v>Bajo</c:v>
                </c:pt>
                <c:pt idx="2">
                  <c:v>Medio</c:v>
                </c:pt>
                <c:pt idx="3">
                  <c:v>Alto</c:v>
                </c:pt>
                <c:pt idx="4">
                  <c:v>Inviable Sanitariamente</c:v>
                </c:pt>
                <c:pt idx="5">
                  <c:v>Sin Dato</c:v>
                </c:pt>
              </c:strCache>
            </c:strRef>
          </c:cat>
          <c:val>
            <c:numRef>
              <c:f>('CONSOLIDADO-ACUEDUCTOSRURALES2'!$E$165,'CONSOLIDADO-ACUEDUCTOSRURALES2'!$G$165,'CONSOLIDADO-ACUEDUCTOSRURALES2'!$I$165,'CONSOLIDADO-ACUEDUCTOSRURALES2'!$K$165,'CONSOLIDADO-ACUEDUCTOSRURALES2'!$M$165,'CONSOLIDADO-ACUEDUCTOSRURALES2'!$O$165)</c:f>
              <c:numCache>
                <c:formatCode>0.0</c:formatCode>
                <c:ptCount val="6"/>
                <c:pt idx="0">
                  <c:v>5.3571428571428568</c:v>
                </c:pt>
                <c:pt idx="1">
                  <c:v>3.5714285714285712</c:v>
                </c:pt>
                <c:pt idx="2">
                  <c:v>3.5714285714285712</c:v>
                </c:pt>
                <c:pt idx="3">
                  <c:v>11.607142857142858</c:v>
                </c:pt>
                <c:pt idx="4">
                  <c:v>66.964285714285708</c:v>
                </c:pt>
                <c:pt idx="5">
                  <c:v>8.9285714285714288</c:v>
                </c:pt>
              </c:numCache>
            </c:numRef>
          </c:val>
          <c:extLst>
            <c:ext xmlns:c16="http://schemas.microsoft.com/office/drawing/2014/chart" uri="{C3380CC4-5D6E-409C-BE32-E72D297353CC}">
              <c16:uniqueId val="{00000013-4A33-4E6F-9C7C-F1BDF42749B0}"/>
            </c:ext>
          </c:extLst>
        </c:ser>
        <c:dLbls>
          <c:showLegendKey val="0"/>
          <c:showVal val="0"/>
          <c:showCatName val="0"/>
          <c:showSerName val="0"/>
          <c:showPercent val="0"/>
          <c:showBubbleSize val="0"/>
        </c:dLbls>
        <c:gapWidth val="135"/>
        <c:overlap val="-5"/>
        <c:axId val="189336224"/>
        <c:axId val="189336784"/>
      </c:barChart>
      <c:catAx>
        <c:axId val="189335104"/>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s-ES"/>
          </a:p>
        </c:txPr>
        <c:crossAx val="189335664"/>
        <c:crosses val="autoZero"/>
        <c:auto val="1"/>
        <c:lblAlgn val="ctr"/>
        <c:lblOffset val="100"/>
        <c:noMultiLvlLbl val="0"/>
      </c:catAx>
      <c:valAx>
        <c:axId val="189335664"/>
        <c:scaling>
          <c:orientation val="minMax"/>
          <c:max val="80"/>
          <c:min val="0"/>
        </c:scaling>
        <c:delete val="0"/>
        <c:axPos val="b"/>
        <c:majorGridlines/>
        <c:title>
          <c:tx>
            <c:rich>
              <a:bodyPr/>
              <a:lstStyle/>
              <a:p>
                <a:pPr>
                  <a:defRPr sz="1200" b="0" i="0" u="none" strike="noStrike" baseline="0">
                    <a:solidFill>
                      <a:srgbClr val="000000"/>
                    </a:solidFill>
                    <a:latin typeface="Arial"/>
                    <a:ea typeface="Arial"/>
                    <a:cs typeface="Arial"/>
                  </a:defRPr>
                </a:pPr>
                <a:r>
                  <a:rPr lang="es-CO"/>
                  <a:t>Numero  de Acueductos</a:t>
                </a:r>
              </a:p>
            </c:rich>
          </c:tx>
          <c:layout>
            <c:manualLayout>
              <c:xMode val="edge"/>
              <c:yMode val="edge"/>
              <c:x val="0.4403355044405981"/>
              <c:y val="0.9292419209317585"/>
            </c:manualLayout>
          </c:layout>
          <c:overlay val="0"/>
        </c:title>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89335104"/>
        <c:crosses val="autoZero"/>
        <c:crossBetween val="between"/>
      </c:valAx>
      <c:catAx>
        <c:axId val="189336224"/>
        <c:scaling>
          <c:orientation val="minMax"/>
        </c:scaling>
        <c:delete val="1"/>
        <c:axPos val="l"/>
        <c:numFmt formatCode="General" sourceLinked="1"/>
        <c:majorTickMark val="out"/>
        <c:minorTickMark val="none"/>
        <c:tickLblPos val="nextTo"/>
        <c:crossAx val="189336784"/>
        <c:crosses val="autoZero"/>
        <c:auto val="1"/>
        <c:lblAlgn val="ctr"/>
        <c:lblOffset val="100"/>
        <c:noMultiLvlLbl val="0"/>
      </c:catAx>
      <c:valAx>
        <c:axId val="189336784"/>
        <c:scaling>
          <c:orientation val="minMax"/>
          <c:max val="80"/>
          <c:min val="0"/>
        </c:scaling>
        <c:delete val="0"/>
        <c:axPos val="t"/>
        <c:title>
          <c:tx>
            <c:rich>
              <a:bodyPr/>
              <a:lstStyle/>
              <a:p>
                <a:pPr>
                  <a:defRPr sz="1200" b="0" i="0" u="none" strike="noStrike" baseline="0">
                    <a:solidFill>
                      <a:srgbClr val="000000"/>
                    </a:solidFill>
                    <a:latin typeface="Arial"/>
                    <a:ea typeface="Arial"/>
                    <a:cs typeface="Arial"/>
                  </a:defRPr>
                </a:pPr>
                <a:r>
                  <a:rPr lang="es-CO"/>
                  <a:t>Porcentaje</a:t>
                </a:r>
              </a:p>
            </c:rich>
          </c:tx>
          <c:layout>
            <c:manualLayout>
              <c:xMode val="edge"/>
              <c:yMode val="edge"/>
              <c:x val="0.49828972776115821"/>
              <c:y val="0.10547346620734908"/>
            </c:manualLayout>
          </c:layout>
          <c:overlay val="0"/>
        </c:title>
        <c:numFmt formatCode="0.0"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89336224"/>
        <c:crosses val="max"/>
        <c:crossBetween val="between"/>
      </c:valAx>
      <c:spPr>
        <a:noFill/>
        <a:ln w="25400">
          <a:noFill/>
        </a:ln>
      </c:spPr>
    </c:plotArea>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19</a:t>
            </a:r>
            <a:r>
              <a:rPr lang="es-CO" sz="1200" b="0" i="0" u="none" strike="noStrike" baseline="0">
                <a:solidFill>
                  <a:srgbClr val="000000"/>
                </a:solidFill>
                <a:latin typeface="Arial"/>
                <a:cs typeface="Arial"/>
              </a:rPr>
              <a:t>. Número y porcentaje de acueductos rurales  subregión </a:t>
            </a:r>
          </a:p>
          <a:p>
            <a:pPr>
              <a:defRPr sz="1000" b="0" i="0" u="none" strike="noStrike" baseline="0">
                <a:solidFill>
                  <a:srgbClr val="000000"/>
                </a:solidFill>
                <a:latin typeface="Calibri"/>
                <a:ea typeface="Calibri"/>
                <a:cs typeface="Calibri"/>
              </a:defRPr>
            </a:pPr>
            <a:r>
              <a:rPr lang="es-CO" sz="1200" b="0" i="0" u="none" strike="noStrike" baseline="0">
                <a:solidFill>
                  <a:srgbClr val="000000"/>
                </a:solidFill>
                <a:latin typeface="Arial"/>
                <a:cs typeface="Arial"/>
              </a:rPr>
              <a:t>Oriente   Antioquia- Colombia 2020</a:t>
            </a:r>
          </a:p>
        </c:rich>
      </c:tx>
      <c:layout>
        <c:manualLayout>
          <c:xMode val="edge"/>
          <c:yMode val="edge"/>
          <c:x val="0.17977430486163851"/>
          <c:y val="1.1976090879265091E-2"/>
        </c:manualLayout>
      </c:layout>
      <c:overlay val="0"/>
    </c:title>
    <c:autoTitleDeleted val="0"/>
    <c:plotArea>
      <c:layout>
        <c:manualLayout>
          <c:layoutTarget val="inner"/>
          <c:xMode val="edge"/>
          <c:yMode val="edge"/>
          <c:x val="0.14438480088466099"/>
          <c:y val="0.10723879515060618"/>
          <c:w val="0.73332374062379257"/>
          <c:h val="0.63053478315210598"/>
        </c:manualLayout>
      </c:layout>
      <c:barChart>
        <c:barDir val="col"/>
        <c:grouping val="clustered"/>
        <c:varyColors val="0"/>
        <c:ser>
          <c:idx val="0"/>
          <c:order val="0"/>
          <c:tx>
            <c:strRef>
              <c:f>'CONSOLIDADO-ACUEDUCTOSRURALES2'!$B$170</c:f>
              <c:strCache>
                <c:ptCount val="1"/>
                <c:pt idx="0">
                  <c:v>Número de Sistemas</c:v>
                </c:pt>
              </c:strCache>
            </c:strRef>
          </c:tx>
          <c:spPr>
            <a:solidFill>
              <a:schemeClr val="tx1">
                <a:lumMod val="65000"/>
                <a:lumOff val="35000"/>
              </a:schemeClr>
            </a:solidFill>
            <a:scene3d>
              <a:camera prst="orthographicFront"/>
              <a:lightRig rig="threePt" dir="t"/>
            </a:scene3d>
            <a:sp3d/>
          </c:spPr>
          <c:invertIfNegative val="0"/>
          <c:dLbls>
            <c:spPr>
              <a:noFill/>
              <a:ln w="25400">
                <a:noFill/>
              </a:ln>
            </c:spPr>
            <c:txPr>
              <a:bodyPr rot="-5400000" vert="horz"/>
              <a:lstStyle/>
              <a:p>
                <a:pPr>
                  <a:defRPr sz="1400" b="1" i="0" u="none" strike="noStrike" baseline="0">
                    <a:solidFill>
                      <a:sysClr val="windowText" lastClr="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'CONSOLIDADO-ACUEDUCTOSRURALES2'!$A$171:$A$193</c:f>
              <c:strCache>
                <c:ptCount val="23"/>
                <c:pt idx="0">
                  <c:v>Abejorral</c:v>
                </c:pt>
                <c:pt idx="1">
                  <c:v>Alejandría</c:v>
                </c:pt>
                <c:pt idx="2">
                  <c:v>Argelia</c:v>
                </c:pt>
                <c:pt idx="3">
                  <c:v>Cocorná</c:v>
                </c:pt>
                <c:pt idx="4">
                  <c:v>Concepción</c:v>
                </c:pt>
                <c:pt idx="5">
                  <c:v>El Carmen de Viboral</c:v>
                </c:pt>
                <c:pt idx="6">
                  <c:v>El Peñol</c:v>
                </c:pt>
                <c:pt idx="7">
                  <c:v>El Retiro</c:v>
                </c:pt>
                <c:pt idx="8">
                  <c:v>El Santuario</c:v>
                </c:pt>
                <c:pt idx="9">
                  <c:v>Granada</c:v>
                </c:pt>
                <c:pt idx="10">
                  <c:v>Guarne</c:v>
                </c:pt>
                <c:pt idx="11">
                  <c:v>Guatapé</c:v>
                </c:pt>
                <c:pt idx="12">
                  <c:v>La Ceja</c:v>
                </c:pt>
                <c:pt idx="13">
                  <c:v>La Unión</c:v>
                </c:pt>
                <c:pt idx="14">
                  <c:v>Marinilla</c:v>
                </c:pt>
                <c:pt idx="15">
                  <c:v>Nariño</c:v>
                </c:pt>
                <c:pt idx="16">
                  <c:v>Rionegro</c:v>
                </c:pt>
                <c:pt idx="17">
                  <c:v>San Carlos</c:v>
                </c:pt>
                <c:pt idx="18">
                  <c:v>San Francisco</c:v>
                </c:pt>
                <c:pt idx="19">
                  <c:v>San Luis</c:v>
                </c:pt>
                <c:pt idx="20">
                  <c:v>San Rafael</c:v>
                </c:pt>
                <c:pt idx="21">
                  <c:v>San Vicente</c:v>
                </c:pt>
                <c:pt idx="22">
                  <c:v>Sonsón</c:v>
                </c:pt>
              </c:strCache>
            </c:strRef>
          </c:cat>
          <c:val>
            <c:numRef>
              <c:f>'CONSOLIDADO-ACUEDUCTOSRURALES2'!$B$171:$B$193</c:f>
              <c:numCache>
                <c:formatCode>General</c:formatCode>
                <c:ptCount val="23"/>
                <c:pt idx="0">
                  <c:v>50</c:v>
                </c:pt>
                <c:pt idx="1">
                  <c:v>10</c:v>
                </c:pt>
                <c:pt idx="2">
                  <c:v>19</c:v>
                </c:pt>
                <c:pt idx="3">
                  <c:v>23</c:v>
                </c:pt>
                <c:pt idx="4">
                  <c:v>4</c:v>
                </c:pt>
                <c:pt idx="5">
                  <c:v>36</c:v>
                </c:pt>
                <c:pt idx="6">
                  <c:v>28</c:v>
                </c:pt>
                <c:pt idx="7">
                  <c:v>22</c:v>
                </c:pt>
                <c:pt idx="8">
                  <c:v>37</c:v>
                </c:pt>
                <c:pt idx="9">
                  <c:v>25</c:v>
                </c:pt>
                <c:pt idx="10">
                  <c:v>80</c:v>
                </c:pt>
                <c:pt idx="11">
                  <c:v>6</c:v>
                </c:pt>
                <c:pt idx="12">
                  <c:v>18</c:v>
                </c:pt>
                <c:pt idx="13">
                  <c:v>18</c:v>
                </c:pt>
                <c:pt idx="14">
                  <c:v>38</c:v>
                </c:pt>
                <c:pt idx="15">
                  <c:v>11</c:v>
                </c:pt>
                <c:pt idx="16">
                  <c:v>24</c:v>
                </c:pt>
                <c:pt idx="17">
                  <c:v>15</c:v>
                </c:pt>
                <c:pt idx="18">
                  <c:v>7</c:v>
                </c:pt>
                <c:pt idx="19">
                  <c:v>9</c:v>
                </c:pt>
                <c:pt idx="20">
                  <c:v>17</c:v>
                </c:pt>
                <c:pt idx="21">
                  <c:v>47</c:v>
                </c:pt>
                <c:pt idx="22">
                  <c:v>17</c:v>
                </c:pt>
              </c:numCache>
            </c:numRef>
          </c:val>
          <c:extLst>
            <c:ext xmlns:c16="http://schemas.microsoft.com/office/drawing/2014/chart" uri="{C3380CC4-5D6E-409C-BE32-E72D297353CC}">
              <c16:uniqueId val="{00000000-D800-4237-8439-17105CE6C658}"/>
            </c:ext>
          </c:extLst>
        </c:ser>
        <c:dLbls>
          <c:showLegendKey val="0"/>
          <c:showVal val="0"/>
          <c:showCatName val="0"/>
          <c:showSerName val="0"/>
          <c:showPercent val="0"/>
          <c:showBubbleSize val="0"/>
        </c:dLbls>
        <c:gapWidth val="142"/>
        <c:overlap val="-78"/>
        <c:axId val="189529600"/>
        <c:axId val="189530160"/>
      </c:barChart>
      <c:barChart>
        <c:barDir val="col"/>
        <c:grouping val="clustered"/>
        <c:varyColors val="0"/>
        <c:ser>
          <c:idx val="1"/>
          <c:order val="1"/>
          <c:tx>
            <c:strRef>
              <c:f>'CONSOLIDADO-ACUEDUCTOSRURALES2'!$C$55</c:f>
              <c:strCache>
                <c:ptCount val="1"/>
                <c:pt idx="0">
                  <c:v>%</c:v>
                </c:pt>
              </c:strCache>
            </c:strRef>
          </c:tx>
          <c:spPr>
            <a:pattFill prst="ltDnDiag">
              <a:fgClr>
                <a:schemeClr val="tx2">
                  <a:lumMod val="60000"/>
                  <a:lumOff val="40000"/>
                </a:schemeClr>
              </a:fgClr>
              <a:bgClr>
                <a:schemeClr val="bg1"/>
              </a:bgClr>
            </a:pattFill>
            <a:scene3d>
              <a:camera prst="orthographicFront"/>
              <a:lightRig rig="threePt" dir="t"/>
            </a:scene3d>
            <a:sp3d/>
          </c:spPr>
          <c:invertIfNegative val="0"/>
          <c:dLbls>
            <c:spPr>
              <a:noFill/>
              <a:ln w="25400">
                <a:noFill/>
              </a:ln>
            </c:spPr>
            <c:txPr>
              <a:bodyPr rot="-5400000" vert="horz"/>
              <a:lstStyle/>
              <a:p>
                <a:pPr>
                  <a:defRPr sz="1400" b="0" i="0" u="none" strike="noStrike" baseline="0">
                    <a:solidFill>
                      <a:sysClr val="windowText" lastClr="000000"/>
                    </a:solidFill>
                    <a:latin typeface="Calibri"/>
                    <a:ea typeface="Calibri"/>
                    <a:cs typeface="Calibri"/>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'CONSOLIDADO-ACUEDUCTOSRURALES2'!$A$56:$A$72</c:f>
              <c:strCache>
                <c:ptCount val="17"/>
                <c:pt idx="0">
                  <c:v>Angostura</c:v>
                </c:pt>
                <c:pt idx="1">
                  <c:v>Belmira</c:v>
                </c:pt>
                <c:pt idx="2">
                  <c:v>Briceño</c:v>
                </c:pt>
                <c:pt idx="3">
                  <c:v>Campamento</c:v>
                </c:pt>
                <c:pt idx="4">
                  <c:v>Carolina del Príncipe</c:v>
                </c:pt>
                <c:pt idx="5">
                  <c:v>Don Matías</c:v>
                </c:pt>
                <c:pt idx="6">
                  <c:v>Entrerríos</c:v>
                </c:pt>
                <c:pt idx="7">
                  <c:v>Gómez Plata</c:v>
                </c:pt>
                <c:pt idx="8">
                  <c:v>Guadalupe</c:v>
                </c:pt>
                <c:pt idx="9">
                  <c:v>Ituango</c:v>
                </c:pt>
                <c:pt idx="10">
                  <c:v>San Andrés de Cuerquia</c:v>
                </c:pt>
                <c:pt idx="11">
                  <c:v>San José de la Montaña</c:v>
                </c:pt>
                <c:pt idx="12">
                  <c:v>San Pedro de los Milagros</c:v>
                </c:pt>
                <c:pt idx="13">
                  <c:v>Santa Rosa de Osos</c:v>
                </c:pt>
                <c:pt idx="14">
                  <c:v>Toledo</c:v>
                </c:pt>
                <c:pt idx="15">
                  <c:v>Valdivia</c:v>
                </c:pt>
                <c:pt idx="16">
                  <c:v>Yarumal</c:v>
                </c:pt>
              </c:strCache>
            </c:strRef>
          </c:cat>
          <c:val>
            <c:numRef>
              <c:f>'CONSOLIDADO-ACUEDUCTOSRURALES2'!$C$171:$C$193</c:f>
              <c:numCache>
                <c:formatCode>0.0</c:formatCode>
                <c:ptCount val="23"/>
                <c:pt idx="0">
                  <c:v>8.9126559714795004</c:v>
                </c:pt>
                <c:pt idx="1">
                  <c:v>1.7825311942959003</c:v>
                </c:pt>
                <c:pt idx="2">
                  <c:v>3.3868092691622103</c:v>
                </c:pt>
                <c:pt idx="3">
                  <c:v>4.0998217468805702</c:v>
                </c:pt>
                <c:pt idx="4">
                  <c:v>0.71301247771836007</c:v>
                </c:pt>
                <c:pt idx="5">
                  <c:v>6.4171122994652414</c:v>
                </c:pt>
                <c:pt idx="6">
                  <c:v>4.9910873440285206</c:v>
                </c:pt>
                <c:pt idx="7">
                  <c:v>3.9215686274509802</c:v>
                </c:pt>
                <c:pt idx="8">
                  <c:v>6.5953654188948301</c:v>
                </c:pt>
                <c:pt idx="9">
                  <c:v>4.4563279857397502</c:v>
                </c:pt>
                <c:pt idx="10">
                  <c:v>14.260249554367203</c:v>
                </c:pt>
                <c:pt idx="11">
                  <c:v>1.0695187165775399</c:v>
                </c:pt>
                <c:pt idx="12">
                  <c:v>3.2085561497326207</c:v>
                </c:pt>
                <c:pt idx="13">
                  <c:v>3.2085561497326207</c:v>
                </c:pt>
                <c:pt idx="14">
                  <c:v>6.7736185383244205</c:v>
                </c:pt>
                <c:pt idx="15">
                  <c:v>1.9607843137254901</c:v>
                </c:pt>
                <c:pt idx="16">
                  <c:v>4.2780748663101598</c:v>
                </c:pt>
                <c:pt idx="17">
                  <c:v>2.6737967914438503</c:v>
                </c:pt>
                <c:pt idx="18">
                  <c:v>1.2477718360071302</c:v>
                </c:pt>
                <c:pt idx="19">
                  <c:v>1.6042780748663104</c:v>
                </c:pt>
                <c:pt idx="20">
                  <c:v>3.0303030303030303</c:v>
                </c:pt>
                <c:pt idx="21">
                  <c:v>8.3778966131907318</c:v>
                </c:pt>
                <c:pt idx="22">
                  <c:v>3.0303030303030303</c:v>
                </c:pt>
              </c:numCache>
            </c:numRef>
          </c:val>
          <c:extLst>
            <c:ext xmlns:c16="http://schemas.microsoft.com/office/drawing/2014/chart" uri="{C3380CC4-5D6E-409C-BE32-E72D297353CC}">
              <c16:uniqueId val="{00000001-D800-4237-8439-17105CE6C658}"/>
            </c:ext>
          </c:extLst>
        </c:ser>
        <c:dLbls>
          <c:showLegendKey val="0"/>
          <c:showVal val="0"/>
          <c:showCatName val="0"/>
          <c:showSerName val="0"/>
          <c:showPercent val="0"/>
          <c:showBubbleSize val="0"/>
        </c:dLbls>
        <c:gapWidth val="239"/>
        <c:axId val="189530720"/>
        <c:axId val="189531280"/>
      </c:barChart>
      <c:catAx>
        <c:axId val="189529600"/>
        <c:scaling>
          <c:orientation val="minMax"/>
        </c:scaling>
        <c:delete val="0"/>
        <c:axPos val="b"/>
        <c:numFmt formatCode="General" sourceLinked="1"/>
        <c:majorTickMark val="none"/>
        <c:minorTickMark val="none"/>
        <c:tickLblPos val="nextTo"/>
        <c:txPr>
          <a:bodyPr rot="-3360000" vert="horz"/>
          <a:lstStyle/>
          <a:p>
            <a:pPr>
              <a:defRPr sz="1200" b="0" i="0" u="none" strike="noStrike" baseline="0">
                <a:solidFill>
                  <a:srgbClr val="000000"/>
                </a:solidFill>
                <a:latin typeface="Calibri"/>
                <a:ea typeface="Calibri"/>
                <a:cs typeface="Calibri"/>
              </a:defRPr>
            </a:pPr>
            <a:endParaRPr lang="es-ES"/>
          </a:p>
        </c:txPr>
        <c:crossAx val="189530160"/>
        <c:crossesAt val="0"/>
        <c:auto val="1"/>
        <c:lblAlgn val="ctr"/>
        <c:lblOffset val="100"/>
        <c:noMultiLvlLbl val="0"/>
      </c:catAx>
      <c:valAx>
        <c:axId val="189530160"/>
        <c:scaling>
          <c:orientation val="minMax"/>
          <c:max val="85"/>
          <c:min val="0"/>
        </c:scaling>
        <c:delete val="0"/>
        <c:axPos val="l"/>
        <c:majorGridlines/>
        <c:title>
          <c:tx>
            <c:rich>
              <a:bodyPr/>
              <a:lstStyle/>
              <a:p>
                <a:pPr>
                  <a:defRPr sz="1800" b="1" i="0" u="none" strike="noStrike" baseline="0">
                    <a:solidFill>
                      <a:srgbClr val="000000"/>
                    </a:solidFill>
                    <a:latin typeface="Calibri"/>
                    <a:ea typeface="Calibri"/>
                    <a:cs typeface="Calibri"/>
                  </a:defRPr>
                </a:pPr>
                <a:r>
                  <a:rPr lang="es-CO"/>
                  <a:t>Numero de Sistemas</a:t>
                </a:r>
              </a:p>
            </c:rich>
          </c:tx>
          <c:layout>
            <c:manualLayout>
              <c:xMode val="edge"/>
              <c:yMode val="edge"/>
              <c:x val="1.8067735187923845E-2"/>
              <c:y val="0.22487430282152232"/>
            </c:manualLayout>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189529600"/>
        <c:crosses val="autoZero"/>
        <c:crossBetween val="between"/>
        <c:majorUnit val="20"/>
      </c:valAx>
      <c:catAx>
        <c:axId val="189530720"/>
        <c:scaling>
          <c:orientation val="minMax"/>
        </c:scaling>
        <c:delete val="1"/>
        <c:axPos val="b"/>
        <c:numFmt formatCode="General" sourceLinked="1"/>
        <c:majorTickMark val="out"/>
        <c:minorTickMark val="none"/>
        <c:tickLblPos val="nextTo"/>
        <c:crossAx val="189531280"/>
        <c:crosses val="autoZero"/>
        <c:auto val="1"/>
        <c:lblAlgn val="ctr"/>
        <c:lblOffset val="100"/>
        <c:noMultiLvlLbl val="0"/>
      </c:catAx>
      <c:valAx>
        <c:axId val="189531280"/>
        <c:scaling>
          <c:orientation val="minMax"/>
          <c:max val="20"/>
          <c:min val="0"/>
        </c:scaling>
        <c:delete val="0"/>
        <c:axPos val="r"/>
        <c:title>
          <c:tx>
            <c:rich>
              <a:bodyPr/>
              <a:lstStyle/>
              <a:p>
                <a:pPr>
                  <a:defRPr sz="2000" b="1" i="0" u="none" strike="noStrike" baseline="0">
                    <a:solidFill>
                      <a:srgbClr val="000000"/>
                    </a:solidFill>
                    <a:latin typeface="Calibri"/>
                    <a:ea typeface="Calibri"/>
                    <a:cs typeface="Calibri"/>
                  </a:defRPr>
                </a:pPr>
                <a:r>
                  <a:rPr lang="es-CO"/>
                  <a:t>Porcentaje</a:t>
                </a:r>
              </a:p>
            </c:rich>
          </c:tx>
          <c:layout/>
          <c:overlay val="0"/>
        </c:title>
        <c:numFmt formatCode="0.0" sourceLinked="1"/>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189530720"/>
        <c:crosses val="max"/>
        <c:crossBetween val="between"/>
      </c:valAx>
      <c:spPr>
        <a:solidFill>
          <a:sysClr val="window" lastClr="FFFFFF"/>
        </a:solidFill>
        <a:scene3d>
          <a:camera prst="orthographicFront"/>
          <a:lightRig rig="threePt" dir="t"/>
        </a:scene3d>
        <a:sp3d>
          <a:bevelT/>
          <a:bevelB/>
        </a:sp3d>
      </c:spPr>
    </c:plotArea>
    <c:legend>
      <c:legendPos val="t"/>
      <c:layout>
        <c:manualLayout>
          <c:xMode val="edge"/>
          <c:yMode val="edge"/>
          <c:x val="0.29130154415977189"/>
          <c:y val="0.92708825459317579"/>
          <c:w val="0.4600726114819404"/>
          <c:h val="6.0105807086614171E-2"/>
        </c:manualLayout>
      </c:layout>
      <c:overlay val="0"/>
      <c:txPr>
        <a:bodyPr/>
        <a:lstStyle/>
        <a:p>
          <a:pPr>
            <a:defRPr sz="1100" b="1" i="0" u="none" strike="noStrike" baseline="0">
              <a:solidFill>
                <a:srgbClr val="000000"/>
              </a:solidFill>
              <a:latin typeface="Arial"/>
              <a:ea typeface="Arial"/>
              <a:cs typeface="Arial"/>
            </a:defRPr>
          </a:pPr>
          <a:endParaRPr lang="es-ES"/>
        </a:p>
      </c:txPr>
    </c:legend>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1</a:t>
            </a:r>
            <a:r>
              <a:rPr lang="es-CO" sz="1200" b="0" i="0" u="none" strike="noStrike" baseline="0">
                <a:solidFill>
                  <a:srgbClr val="000000"/>
                </a:solidFill>
                <a:latin typeface="Arial"/>
                <a:cs typeface="Arial"/>
              </a:rPr>
              <a:t>. Número y porcentaje de acueductos rurales por subregión </a:t>
            </a:r>
          </a:p>
          <a:p>
            <a:pPr>
              <a:defRPr sz="1000" b="0" i="0" u="none" strike="noStrike" baseline="0">
                <a:solidFill>
                  <a:srgbClr val="000000"/>
                </a:solidFill>
                <a:latin typeface="Calibri"/>
                <a:ea typeface="Calibri"/>
                <a:cs typeface="Calibri"/>
              </a:defRPr>
            </a:pPr>
            <a:r>
              <a:rPr lang="es-CO" sz="1200" b="0" i="0" u="none" strike="noStrike" baseline="0">
                <a:solidFill>
                  <a:srgbClr val="000000"/>
                </a:solidFill>
                <a:latin typeface="Arial"/>
                <a:cs typeface="Arial"/>
              </a:rPr>
              <a:t>Antioquia - Colombia 2020</a:t>
            </a:r>
          </a:p>
        </c:rich>
      </c:tx>
      <c:layout>
        <c:manualLayout>
          <c:xMode val="edge"/>
          <c:yMode val="edge"/>
          <c:x val="0.17977430486163851"/>
          <c:y val="1.1976002999625047E-2"/>
        </c:manualLayout>
      </c:layout>
      <c:overlay val="0"/>
    </c:title>
    <c:autoTitleDeleted val="0"/>
    <c:plotArea>
      <c:layout>
        <c:manualLayout>
          <c:layoutTarget val="inner"/>
          <c:xMode val="edge"/>
          <c:yMode val="edge"/>
          <c:x val="0.16299738642606248"/>
          <c:y val="0.11739752530933634"/>
          <c:w val="0.71471119175642162"/>
          <c:h val="0.62037605299337584"/>
        </c:manualLayout>
      </c:layout>
      <c:barChart>
        <c:barDir val="col"/>
        <c:grouping val="clustered"/>
        <c:varyColors val="0"/>
        <c:ser>
          <c:idx val="0"/>
          <c:order val="0"/>
          <c:tx>
            <c:strRef>
              <c:f>'CONSOLIDADO-ACUEDUCTOSRURALES2'!$B$7</c:f>
              <c:strCache>
                <c:ptCount val="1"/>
                <c:pt idx="0">
                  <c:v>Número de Sistemas</c:v>
                </c:pt>
              </c:strCache>
            </c:strRef>
          </c:tx>
          <c:spPr>
            <a:solidFill>
              <a:schemeClr val="tx1">
                <a:lumMod val="65000"/>
                <a:lumOff val="35000"/>
              </a:schemeClr>
            </a:solidFill>
            <a:scene3d>
              <a:camera prst="orthographicFront"/>
              <a:lightRig rig="threePt" dir="t"/>
            </a:scene3d>
            <a:sp3d/>
          </c:spPr>
          <c:invertIfNegative val="0"/>
          <c:dLbls>
            <c:spPr>
              <a:noFill/>
              <a:ln w="25400">
                <a:noFill/>
              </a:ln>
            </c:spPr>
            <c:txPr>
              <a:bodyPr rot="-5400000" vert="horz"/>
              <a:lstStyle/>
              <a:p>
                <a:pPr>
                  <a:defRPr sz="14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9"/>
              <c:pt idx="0">
                <c:v>Valle de Aburra</c:v>
              </c:pt>
              <c:pt idx="1">
                <c:v>Uraba</c:v>
              </c:pt>
              <c:pt idx="2">
                <c:v>Norte</c:v>
              </c:pt>
              <c:pt idx="3">
                <c:v>Occidente</c:v>
              </c:pt>
              <c:pt idx="4">
                <c:v>Suroeste</c:v>
              </c:pt>
              <c:pt idx="5">
                <c:v>Bajo Cauca</c:v>
              </c:pt>
              <c:pt idx="6">
                <c:v>Magdalena Medio</c:v>
              </c:pt>
              <c:pt idx="7">
                <c:v>Nordeste </c:v>
              </c:pt>
              <c:pt idx="8">
                <c:v>Oriente</c:v>
              </c:pt>
            </c:strLit>
          </c:cat>
          <c:val>
            <c:numRef>
              <c:f>'CONSOLIDADO-ACUEDUCTOSRURALES2'!$B$8:$B$16</c:f>
              <c:numCache>
                <c:formatCode>General</c:formatCode>
                <c:ptCount val="9"/>
                <c:pt idx="0">
                  <c:v>223</c:v>
                </c:pt>
                <c:pt idx="1">
                  <c:v>117</c:v>
                </c:pt>
                <c:pt idx="2">
                  <c:v>261</c:v>
                </c:pt>
                <c:pt idx="3">
                  <c:v>522</c:v>
                </c:pt>
                <c:pt idx="4">
                  <c:v>513</c:v>
                </c:pt>
                <c:pt idx="5">
                  <c:v>62</c:v>
                </c:pt>
                <c:pt idx="6">
                  <c:v>72</c:v>
                </c:pt>
                <c:pt idx="7">
                  <c:v>112</c:v>
                </c:pt>
                <c:pt idx="8">
                  <c:v>561</c:v>
                </c:pt>
              </c:numCache>
            </c:numRef>
          </c:val>
          <c:extLst>
            <c:ext xmlns:c16="http://schemas.microsoft.com/office/drawing/2014/chart" uri="{C3380CC4-5D6E-409C-BE32-E72D297353CC}">
              <c16:uniqueId val="{00000000-E13B-46F8-A1C8-7F4CE577D5E5}"/>
            </c:ext>
          </c:extLst>
        </c:ser>
        <c:dLbls>
          <c:showLegendKey val="0"/>
          <c:showVal val="0"/>
          <c:showCatName val="0"/>
          <c:showSerName val="0"/>
          <c:showPercent val="0"/>
          <c:showBubbleSize val="0"/>
        </c:dLbls>
        <c:gapWidth val="166"/>
        <c:overlap val="-78"/>
        <c:axId val="179642112"/>
        <c:axId val="187064448"/>
      </c:barChart>
      <c:barChart>
        <c:barDir val="col"/>
        <c:grouping val="clustered"/>
        <c:varyColors val="0"/>
        <c:ser>
          <c:idx val="1"/>
          <c:order val="1"/>
          <c:tx>
            <c:strRef>
              <c:f>'CONSOLIDADO-ACUEDUCTOSRURALES2'!$C$7</c:f>
              <c:strCache>
                <c:ptCount val="1"/>
                <c:pt idx="0">
                  <c:v>%</c:v>
                </c:pt>
              </c:strCache>
            </c:strRef>
          </c:tx>
          <c:spPr>
            <a:pattFill prst="ltDnDiag">
              <a:fgClr>
                <a:schemeClr val="accent1"/>
              </a:fgClr>
              <a:bgClr>
                <a:schemeClr val="bg1"/>
              </a:bgClr>
            </a:pattFill>
            <a:ln w="19050">
              <a:prstDash val="sysDash"/>
            </a:ln>
            <a:scene3d>
              <a:camera prst="orthographicFront"/>
              <a:lightRig rig="threePt" dir="t"/>
            </a:scene3d>
            <a:sp3d/>
          </c:spPr>
          <c:invertIfNegative val="0"/>
          <c:dLbls>
            <c:spPr>
              <a:noFill/>
              <a:ln w="25400">
                <a:noFill/>
              </a:ln>
            </c:spPr>
            <c:txPr>
              <a:bodyPr rot="-5400000" vert="horz"/>
              <a:lstStyle/>
              <a:p>
                <a:pPr>
                  <a:defRPr sz="1400" b="1" i="0" u="none" strike="noStrike" baseline="0">
                    <a:solidFill>
                      <a:srgbClr val="000000"/>
                    </a:solidFill>
                    <a:latin typeface="Calibri"/>
                    <a:ea typeface="Calibri"/>
                    <a:cs typeface="Calibri"/>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'CONSOLIDADO-ACUEDUCTOSRURALES2'!$A$8:$A$16</c:f>
              <c:strCache>
                <c:ptCount val="9"/>
                <c:pt idx="0">
                  <c:v>Valle de Aburra</c:v>
                </c:pt>
                <c:pt idx="1">
                  <c:v>Uraba</c:v>
                </c:pt>
                <c:pt idx="2">
                  <c:v>Norte</c:v>
                </c:pt>
                <c:pt idx="3">
                  <c:v>Occidente</c:v>
                </c:pt>
                <c:pt idx="4">
                  <c:v>Suroeste</c:v>
                </c:pt>
                <c:pt idx="5">
                  <c:v>Bajo Cauca</c:v>
                </c:pt>
                <c:pt idx="6">
                  <c:v>Magdalena Medio</c:v>
                </c:pt>
                <c:pt idx="7">
                  <c:v>Nordeste </c:v>
                </c:pt>
                <c:pt idx="8">
                  <c:v>Oriente</c:v>
                </c:pt>
              </c:strCache>
            </c:strRef>
          </c:cat>
          <c:val>
            <c:numRef>
              <c:f>'CONSOLIDADO-ACUEDUCTOSRURALES2'!$C$8:$C$16</c:f>
              <c:numCache>
                <c:formatCode>0.0</c:formatCode>
                <c:ptCount val="9"/>
                <c:pt idx="0">
                  <c:v>9.1281211625051171</c:v>
                </c:pt>
                <c:pt idx="1">
                  <c:v>4.7891936144085143</c:v>
                </c:pt>
                <c:pt idx="2">
                  <c:v>10.683585755218992</c:v>
                </c:pt>
                <c:pt idx="3">
                  <c:v>21.367171510437984</c:v>
                </c:pt>
                <c:pt idx="4">
                  <c:v>20.998772001637331</c:v>
                </c:pt>
                <c:pt idx="5">
                  <c:v>2.5378632828489565</c:v>
                </c:pt>
                <c:pt idx="6">
                  <c:v>2.9471960704052393</c:v>
                </c:pt>
                <c:pt idx="7">
                  <c:v>4.5845272206303722</c:v>
                </c:pt>
                <c:pt idx="8">
                  <c:v>22.963569381907494</c:v>
                </c:pt>
              </c:numCache>
            </c:numRef>
          </c:val>
          <c:extLst>
            <c:ext xmlns:c16="http://schemas.microsoft.com/office/drawing/2014/chart" uri="{C3380CC4-5D6E-409C-BE32-E72D297353CC}">
              <c16:uniqueId val="{00000001-E13B-46F8-A1C8-7F4CE577D5E5}"/>
            </c:ext>
          </c:extLst>
        </c:ser>
        <c:dLbls>
          <c:showLegendKey val="0"/>
          <c:showVal val="0"/>
          <c:showCatName val="0"/>
          <c:showSerName val="0"/>
          <c:showPercent val="0"/>
          <c:showBubbleSize val="0"/>
        </c:dLbls>
        <c:gapWidth val="194"/>
        <c:axId val="187065008"/>
        <c:axId val="187065568"/>
      </c:barChart>
      <c:catAx>
        <c:axId val="179642112"/>
        <c:scaling>
          <c:orientation val="minMax"/>
        </c:scaling>
        <c:delete val="0"/>
        <c:axPos val="b"/>
        <c:numFmt formatCode="General" sourceLinked="1"/>
        <c:majorTickMark val="none"/>
        <c:minorTickMark val="none"/>
        <c:tickLblPos val="nextTo"/>
        <c:txPr>
          <a:bodyPr rot="-3360000" vert="horz"/>
          <a:lstStyle/>
          <a:p>
            <a:pPr>
              <a:defRPr sz="1400" b="0" i="0" u="none" strike="noStrike" baseline="0">
                <a:solidFill>
                  <a:srgbClr val="000000"/>
                </a:solidFill>
                <a:latin typeface="Calibri"/>
                <a:ea typeface="Calibri"/>
                <a:cs typeface="Calibri"/>
              </a:defRPr>
            </a:pPr>
            <a:endParaRPr lang="es-ES"/>
          </a:p>
        </c:txPr>
        <c:crossAx val="187064448"/>
        <c:crossesAt val="0"/>
        <c:auto val="1"/>
        <c:lblAlgn val="ctr"/>
        <c:lblOffset val="100"/>
        <c:noMultiLvlLbl val="0"/>
      </c:catAx>
      <c:valAx>
        <c:axId val="187064448"/>
        <c:scaling>
          <c:orientation val="minMax"/>
          <c:max val="600"/>
          <c:min val="1"/>
        </c:scaling>
        <c:delete val="0"/>
        <c:axPos val="l"/>
        <c:majorGridlines/>
        <c:title>
          <c:tx>
            <c:rich>
              <a:bodyPr/>
              <a:lstStyle/>
              <a:p>
                <a:pPr>
                  <a:defRPr sz="1800" b="1" i="0" u="none" strike="noStrike" baseline="0">
                    <a:solidFill>
                      <a:srgbClr val="000000"/>
                    </a:solidFill>
                    <a:latin typeface="Calibri"/>
                    <a:ea typeface="Calibri"/>
                    <a:cs typeface="Calibri"/>
                  </a:defRPr>
                </a:pPr>
                <a:r>
                  <a:rPr lang="es-CO"/>
                  <a:t>Numero de Sistemas</a:t>
                </a:r>
              </a:p>
            </c:rich>
          </c:tx>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179642112"/>
        <c:crosses val="autoZero"/>
        <c:crossBetween val="between"/>
        <c:majorUnit val="80"/>
      </c:valAx>
      <c:catAx>
        <c:axId val="187065008"/>
        <c:scaling>
          <c:orientation val="minMax"/>
        </c:scaling>
        <c:delete val="1"/>
        <c:axPos val="b"/>
        <c:numFmt formatCode="General" sourceLinked="1"/>
        <c:majorTickMark val="out"/>
        <c:minorTickMark val="none"/>
        <c:tickLblPos val="nextTo"/>
        <c:crossAx val="187065568"/>
        <c:crosses val="autoZero"/>
        <c:auto val="1"/>
        <c:lblAlgn val="ctr"/>
        <c:lblOffset val="100"/>
        <c:noMultiLvlLbl val="0"/>
      </c:catAx>
      <c:valAx>
        <c:axId val="187065568"/>
        <c:scaling>
          <c:orientation val="minMax"/>
          <c:max val="40"/>
        </c:scaling>
        <c:delete val="0"/>
        <c:axPos val="r"/>
        <c:title>
          <c:tx>
            <c:rich>
              <a:bodyPr/>
              <a:lstStyle/>
              <a:p>
                <a:pPr>
                  <a:defRPr sz="2000" b="1" i="0" u="none" strike="noStrike" baseline="0">
                    <a:solidFill>
                      <a:srgbClr val="000000"/>
                    </a:solidFill>
                    <a:latin typeface="Calibri"/>
                    <a:ea typeface="Calibri"/>
                    <a:cs typeface="Calibri"/>
                  </a:defRPr>
                </a:pPr>
                <a:r>
                  <a:rPr lang="es-CO"/>
                  <a:t>Porcentaje</a:t>
                </a:r>
              </a:p>
            </c:rich>
          </c:tx>
          <c:layout/>
          <c:overlay val="0"/>
        </c:title>
        <c:numFmt formatCode="0.0" sourceLinked="1"/>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187065008"/>
        <c:crosses val="max"/>
        <c:crossBetween val="between"/>
      </c:valAx>
      <c:spPr>
        <a:solidFill>
          <a:sysClr val="window" lastClr="FFFFFF"/>
        </a:solidFill>
        <a:scene3d>
          <a:camera prst="orthographicFront"/>
          <a:lightRig rig="threePt" dir="t"/>
        </a:scene3d>
        <a:sp3d>
          <a:bevelT/>
          <a:bevelB/>
        </a:sp3d>
      </c:spPr>
    </c:plotArea>
    <c:legend>
      <c:legendPos val="t"/>
      <c:layout>
        <c:manualLayout>
          <c:xMode val="edge"/>
          <c:yMode val="edge"/>
          <c:x val="0.29130154415977189"/>
          <c:y val="0.92708839026700607"/>
          <c:w val="0.4600726114819404"/>
          <c:h val="6.0105973595405815E-2"/>
        </c:manualLayout>
      </c:layout>
      <c:overlay val="0"/>
      <c:txPr>
        <a:bodyPr/>
        <a:lstStyle/>
        <a:p>
          <a:pPr>
            <a:defRPr sz="1200" b="1" i="0" u="none" strike="noStrike" baseline="0">
              <a:solidFill>
                <a:srgbClr val="000000"/>
              </a:solidFill>
              <a:latin typeface="Arial"/>
              <a:ea typeface="Arial"/>
              <a:cs typeface="Arial"/>
            </a:defRPr>
          </a:pPr>
          <a:endParaRPr lang="es-ES"/>
        </a:p>
      </c:txPr>
    </c:legend>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20</a:t>
            </a:r>
            <a:r>
              <a:rPr lang="es-CO" sz="1200" b="0" i="0" u="none" strike="noStrike" baseline="0">
                <a:solidFill>
                  <a:srgbClr val="000000"/>
                </a:solidFill>
                <a:latin typeface="Arial"/>
                <a:cs typeface="Arial"/>
              </a:rPr>
              <a:t>. Numero y porcentaje de acueductos rurales por  nivel de riesgo sanitario subregión  Oriente - Antioquia - Colombia  2020</a:t>
            </a:r>
          </a:p>
        </c:rich>
      </c:tx>
      <c:layout/>
      <c:overlay val="1"/>
      <c:spPr>
        <a:scene3d>
          <a:camera prst="orthographicFront"/>
          <a:lightRig rig="threePt" dir="t"/>
        </a:scene3d>
        <a:sp3d>
          <a:bevelB/>
        </a:sp3d>
      </c:spPr>
    </c:title>
    <c:autoTitleDeleted val="0"/>
    <c:plotArea>
      <c:layout>
        <c:manualLayout>
          <c:layoutTarget val="inner"/>
          <c:xMode val="edge"/>
          <c:yMode val="edge"/>
          <c:x val="0.21014317301823926"/>
          <c:y val="0.2080573725184732"/>
          <c:w val="0.69094811687293856"/>
          <c:h val="0.66975581216643609"/>
        </c:manualLayout>
      </c:layout>
      <c:barChart>
        <c:barDir val="bar"/>
        <c:grouping val="stacked"/>
        <c:varyColors val="0"/>
        <c:ser>
          <c:idx val="1"/>
          <c:order val="1"/>
          <c:tx>
            <c:strRef>
              <c:f>'CONSOLIDADO-ACUEDUCTOSRURALES2'!$B$170</c:f>
              <c:strCache>
                <c:ptCount val="1"/>
                <c:pt idx="0">
                  <c:v>Número de Sistemas</c:v>
                </c:pt>
              </c:strCache>
            </c:strRef>
          </c:tx>
          <c:spPr>
            <a:solidFill>
              <a:schemeClr val="bg1">
                <a:lumMod val="85000"/>
              </a:schemeClr>
            </a:solidFill>
          </c:spPr>
          <c:invertIfNegative val="0"/>
          <c:dLbls>
            <c:dLbl>
              <c:idx val="0"/>
              <c:layout>
                <c:manualLayout>
                  <c:x val="0.37102922490470142"/>
                  <c:y val="5.150699350241888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0B5-437F-9035-6060AEF10B01}"/>
                </c:ext>
              </c:extLst>
            </c:dLbl>
            <c:dLbl>
              <c:idx val="1"/>
              <c:layout>
                <c:manualLayout>
                  <c:x val="0.1524774968567302"/>
                  <c:y val="3.238669716413983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0B5-437F-9035-6060AEF10B01}"/>
                </c:ext>
              </c:extLst>
            </c:dLbl>
            <c:dLbl>
              <c:idx val="2"/>
              <c:layout>
                <c:manualLayout>
                  <c:x val="0.11689961880559085"/>
                  <c:y val="3.8459202882416046E-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0B5-437F-9035-6060AEF10B01}"/>
                </c:ext>
              </c:extLst>
            </c:dLbl>
            <c:dLbl>
              <c:idx val="3"/>
              <c:layout>
                <c:manualLayout>
                  <c:x val="0.15078316608136816"/>
                  <c:y val="-1.6598182296621662E-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0B5-437F-9035-6060AEF10B01}"/>
                </c:ext>
              </c:extLst>
            </c:dLbl>
            <c:dLbl>
              <c:idx val="4"/>
              <c:layout>
                <c:manualLayout>
                  <c:x val="0.28473067931311635"/>
                  <c:y val="2.568062668258965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0B5-437F-9035-6060AEF10B01}"/>
                </c:ext>
              </c:extLst>
            </c:dLbl>
            <c:dLbl>
              <c:idx val="5"/>
              <c:layout>
                <c:manualLayout>
                  <c:x val="0.22335150926972755"/>
                  <c:y val="-1.9836852013035646E-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0B5-437F-9035-6060AEF10B01}"/>
                </c:ext>
              </c:extLst>
            </c:dLbl>
            <c:spPr>
              <a:noFill/>
              <a:ln>
                <a:noFill/>
              </a:ln>
              <a:effectLst/>
            </c:spPr>
            <c:txPr>
              <a:bodyPr/>
              <a:lstStyle/>
              <a:p>
                <a:pPr>
                  <a:defRPr sz="1100" b="0"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('CONSOLIDADO-ACUEDUCTOSRURALES2'!$D$170,'CONSOLIDADO-ACUEDUCTOSRURALES2'!$F$170,'CONSOLIDADO-ACUEDUCTOSRURALES2'!$H$170,'CONSOLIDADO-ACUEDUCTOSRURALES2'!$J$170,'CONSOLIDADO-ACUEDUCTOSRURALES2'!$L$170,'CONSOLIDADO-ACUEDUCTOSRURALES2'!$N$170)</c:f>
              <c:strCache>
                <c:ptCount val="6"/>
                <c:pt idx="0">
                  <c:v>Sin Riesgo</c:v>
                </c:pt>
                <c:pt idx="1">
                  <c:v>Bajo</c:v>
                </c:pt>
                <c:pt idx="2">
                  <c:v>Medio</c:v>
                </c:pt>
                <c:pt idx="3">
                  <c:v>Alto</c:v>
                </c:pt>
                <c:pt idx="4">
                  <c:v>Inviable Sanitariamente</c:v>
                </c:pt>
                <c:pt idx="5">
                  <c:v>Sin Dato</c:v>
                </c:pt>
              </c:strCache>
            </c:strRef>
          </c:cat>
          <c:val>
            <c:numRef>
              <c:f>('CONSOLIDADO-ACUEDUCTOSRURALES2'!$D$194,'CONSOLIDADO-ACUEDUCTOSRURALES2'!$F$194,'CONSOLIDADO-ACUEDUCTOSRURALES2'!$H$194,'CONSOLIDADO-ACUEDUCTOSRURALES2'!$J$194,'CONSOLIDADO-ACUEDUCTOSRURALES2'!$L$194,'CONSOLIDADO-ACUEDUCTOSRURALES2'!$N$194)</c:f>
              <c:numCache>
                <c:formatCode>General</c:formatCode>
                <c:ptCount val="6"/>
                <c:pt idx="0">
                  <c:v>195</c:v>
                </c:pt>
                <c:pt idx="1">
                  <c:v>34</c:v>
                </c:pt>
                <c:pt idx="2">
                  <c:v>32</c:v>
                </c:pt>
                <c:pt idx="3">
                  <c:v>67</c:v>
                </c:pt>
                <c:pt idx="4">
                  <c:v>149</c:v>
                </c:pt>
                <c:pt idx="5">
                  <c:v>84</c:v>
                </c:pt>
              </c:numCache>
            </c:numRef>
          </c:val>
          <c:extLst>
            <c:ext xmlns:c16="http://schemas.microsoft.com/office/drawing/2014/chart" uri="{C3380CC4-5D6E-409C-BE32-E72D297353CC}">
              <c16:uniqueId val="{00000006-80B5-437F-9035-6060AEF10B01}"/>
            </c:ext>
          </c:extLst>
        </c:ser>
        <c:dLbls>
          <c:showLegendKey val="0"/>
          <c:showVal val="0"/>
          <c:showCatName val="0"/>
          <c:showSerName val="0"/>
          <c:showPercent val="0"/>
          <c:showBubbleSize val="0"/>
        </c:dLbls>
        <c:gapWidth val="135"/>
        <c:overlap val="-5"/>
        <c:axId val="189533520"/>
        <c:axId val="189534080"/>
      </c:barChart>
      <c:barChart>
        <c:barDir val="bar"/>
        <c:grouping val="stacked"/>
        <c:varyColors val="0"/>
        <c:ser>
          <c:idx val="0"/>
          <c:order val="0"/>
          <c:tx>
            <c:strRef>
              <c:f>'CONSOLIDADO-ACUEDUCTOSRURALES2'!$C$170</c:f>
              <c:strCache>
                <c:ptCount val="1"/>
                <c:pt idx="0">
                  <c:v>%</c:v>
                </c:pt>
              </c:strCache>
            </c:strRef>
          </c:tx>
          <c:spPr>
            <a:scene3d>
              <a:camera prst="orthographicFront"/>
              <a:lightRig rig="threePt" dir="t"/>
            </a:scene3d>
            <a:sp3d/>
          </c:spPr>
          <c:invertIfNegative val="0"/>
          <c:dPt>
            <c:idx val="0"/>
            <c:invertIfNegative val="0"/>
            <c:bubble3D val="0"/>
            <c:spPr>
              <a:solidFill>
                <a:schemeClr val="tx2">
                  <a:lumMod val="60000"/>
                  <a:lumOff val="40000"/>
                </a:schemeClr>
              </a:solidFill>
              <a:scene3d>
                <a:camera prst="orthographicFront"/>
                <a:lightRig rig="threePt" dir="t"/>
              </a:scene3d>
              <a:sp3d/>
            </c:spPr>
            <c:extLst>
              <c:ext xmlns:c16="http://schemas.microsoft.com/office/drawing/2014/chart" uri="{C3380CC4-5D6E-409C-BE32-E72D297353CC}">
                <c16:uniqueId val="{00000008-80B5-437F-9035-6060AEF10B01}"/>
              </c:ext>
            </c:extLst>
          </c:dPt>
          <c:dPt>
            <c:idx val="1"/>
            <c:invertIfNegative val="0"/>
            <c:bubble3D val="0"/>
            <c:spPr>
              <a:solidFill>
                <a:srgbClr val="92D050"/>
              </a:solidFill>
              <a:scene3d>
                <a:camera prst="orthographicFront"/>
                <a:lightRig rig="threePt" dir="t"/>
              </a:scene3d>
              <a:sp3d/>
            </c:spPr>
            <c:extLst>
              <c:ext xmlns:c16="http://schemas.microsoft.com/office/drawing/2014/chart" uri="{C3380CC4-5D6E-409C-BE32-E72D297353CC}">
                <c16:uniqueId val="{0000000A-80B5-437F-9035-6060AEF10B01}"/>
              </c:ext>
            </c:extLst>
          </c:dPt>
          <c:dPt>
            <c:idx val="2"/>
            <c:invertIfNegative val="0"/>
            <c:bubble3D val="0"/>
            <c:spPr>
              <a:solidFill>
                <a:srgbClr val="FFFF00"/>
              </a:solidFill>
              <a:scene3d>
                <a:camera prst="orthographicFront"/>
                <a:lightRig rig="threePt" dir="t"/>
              </a:scene3d>
              <a:sp3d/>
            </c:spPr>
            <c:extLst>
              <c:ext xmlns:c16="http://schemas.microsoft.com/office/drawing/2014/chart" uri="{C3380CC4-5D6E-409C-BE32-E72D297353CC}">
                <c16:uniqueId val="{0000000C-80B5-437F-9035-6060AEF10B01}"/>
              </c:ext>
            </c:extLst>
          </c:dPt>
          <c:dPt>
            <c:idx val="3"/>
            <c:invertIfNegative val="0"/>
            <c:bubble3D val="0"/>
            <c:spPr>
              <a:solidFill>
                <a:schemeClr val="accent6">
                  <a:lumMod val="75000"/>
                </a:schemeClr>
              </a:solidFill>
              <a:scene3d>
                <a:camera prst="orthographicFront"/>
                <a:lightRig rig="threePt" dir="t"/>
              </a:scene3d>
              <a:sp3d/>
            </c:spPr>
            <c:extLst>
              <c:ext xmlns:c16="http://schemas.microsoft.com/office/drawing/2014/chart" uri="{C3380CC4-5D6E-409C-BE32-E72D297353CC}">
                <c16:uniqueId val="{0000000E-80B5-437F-9035-6060AEF10B01}"/>
              </c:ext>
            </c:extLst>
          </c:dPt>
          <c:dPt>
            <c:idx val="4"/>
            <c:invertIfNegative val="0"/>
            <c:bubble3D val="0"/>
            <c:spPr>
              <a:solidFill>
                <a:srgbClr val="C00000"/>
              </a:solidFill>
              <a:scene3d>
                <a:camera prst="orthographicFront"/>
                <a:lightRig rig="threePt" dir="t"/>
              </a:scene3d>
              <a:sp3d/>
            </c:spPr>
            <c:extLst>
              <c:ext xmlns:c16="http://schemas.microsoft.com/office/drawing/2014/chart" uri="{C3380CC4-5D6E-409C-BE32-E72D297353CC}">
                <c16:uniqueId val="{00000010-80B5-437F-9035-6060AEF10B01}"/>
              </c:ext>
            </c:extLst>
          </c:dPt>
          <c:dPt>
            <c:idx val="5"/>
            <c:invertIfNegative val="0"/>
            <c:bubble3D val="0"/>
            <c:spPr>
              <a:solidFill>
                <a:schemeClr val="tx1">
                  <a:lumMod val="50000"/>
                  <a:lumOff val="50000"/>
                </a:schemeClr>
              </a:solidFill>
              <a:scene3d>
                <a:camera prst="orthographicFront"/>
                <a:lightRig rig="threePt" dir="t"/>
              </a:scene3d>
              <a:sp3d/>
            </c:spPr>
            <c:extLst>
              <c:ext xmlns:c16="http://schemas.microsoft.com/office/drawing/2014/chart" uri="{C3380CC4-5D6E-409C-BE32-E72D297353CC}">
                <c16:uniqueId val="{00000012-80B5-437F-9035-6060AEF10B01}"/>
              </c:ext>
            </c:extLst>
          </c:dPt>
          <c:dLbls>
            <c:dLbl>
              <c:idx val="0"/>
              <c:layout>
                <c:manualLayout>
                  <c:x val="-2.4780638125443976E-3"/>
                  <c:y val="5.1703730384718618E-3"/>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0B5-437F-9035-6060AEF10B01}"/>
                </c:ext>
              </c:extLst>
            </c:dLbl>
            <c:dLbl>
              <c:idx val="2"/>
              <c:layout>
                <c:manualLayout>
                  <c:x val="-7.0223814145214062E-3"/>
                  <c:y val="2.9951698821339763E-3"/>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0B5-437F-9035-6060AEF10B01}"/>
                </c:ext>
              </c:extLst>
            </c:dLbl>
            <c:dLbl>
              <c:idx val="3"/>
              <c:layout>
                <c:manualLayout>
                  <c:x val="-5.8641240365919951E-2"/>
                  <c:y val="-3.4937926613793935E-4"/>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0B5-437F-9035-6060AEF10B01}"/>
                </c:ext>
              </c:extLst>
            </c:dLbl>
            <c:dLbl>
              <c:idx val="4"/>
              <c:layout>
                <c:manualLayout>
                  <c:x val="4.1459811170363242E-3"/>
                  <c:y val="-3.3777300973625085E-3"/>
                </c:manualLayout>
              </c:layout>
              <c:spPr/>
              <c:txPr>
                <a:bodyPr/>
                <a:lstStyle/>
                <a:p>
                  <a:pPr>
                    <a:defRPr sz="1200" b="1" i="0" u="none" strike="noStrike" baseline="0">
                      <a:solidFill>
                        <a:srgbClr val="FFFFFF"/>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0B5-437F-9035-6060AEF10B01}"/>
                </c:ext>
              </c:extLst>
            </c:dLbl>
            <c:dLbl>
              <c:idx val="5"/>
              <c:layout>
                <c:manualLayout>
                  <c:x val="7.0845464520238651E-3"/>
                  <c:y val="4.5846280709164232E-3"/>
                </c:manualLayout>
              </c:layout>
              <c:spPr/>
              <c:txPr>
                <a:bodyPr/>
                <a:lstStyle/>
                <a:p>
                  <a:pPr>
                    <a:defRPr sz="1200" b="1" i="0" u="none" strike="noStrike" baseline="0">
                      <a:solidFill>
                        <a:srgbClr val="FFFFFF"/>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0B5-437F-9035-6060AEF10B01}"/>
                </c:ext>
              </c:extLst>
            </c:dLbl>
            <c:spPr>
              <a:noFill/>
              <a:ln w="25400">
                <a:noFill/>
              </a:ln>
            </c:spPr>
            <c:txPr>
              <a:bodyPr/>
              <a:lstStyle/>
              <a:p>
                <a:pPr>
                  <a:defRPr sz="1200" b="1"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('CONSOLIDADO-ACUEDUCTOSRURALES2'!$D$102,'CONSOLIDADO-ACUEDUCTOSRURALES2'!$F$102,'CONSOLIDADO-ACUEDUCTOSRURALES2'!$H$102,'CONSOLIDADO-ACUEDUCTOSRURALES2'!$J$102,'CONSOLIDADO-ACUEDUCTOSRURALES2'!$L$102,'CONSOLIDADO-ACUEDUCTOSRURALES2'!$N$102)</c:f>
              <c:strCache>
                <c:ptCount val="6"/>
                <c:pt idx="0">
                  <c:v>Sin Riesgo</c:v>
                </c:pt>
                <c:pt idx="1">
                  <c:v>Bajo</c:v>
                </c:pt>
                <c:pt idx="2">
                  <c:v>Medio</c:v>
                </c:pt>
                <c:pt idx="3">
                  <c:v>Alto</c:v>
                </c:pt>
                <c:pt idx="4">
                  <c:v>Inviable Sanitariamente</c:v>
                </c:pt>
                <c:pt idx="5">
                  <c:v>Sin Dato</c:v>
                </c:pt>
              </c:strCache>
            </c:strRef>
          </c:cat>
          <c:val>
            <c:numRef>
              <c:f>('CONSOLIDADO-ACUEDUCTOSRURALES2'!$E$194,'CONSOLIDADO-ACUEDUCTOSRURALES2'!$G$194,'CONSOLIDADO-ACUEDUCTOSRURALES2'!$I$194,'CONSOLIDADO-ACUEDUCTOSRURALES2'!$K$194,'CONSOLIDADO-ACUEDUCTOSRURALES2'!$M$194,'CONSOLIDADO-ACUEDUCTOSRURALES2'!$O$194)</c:f>
              <c:numCache>
                <c:formatCode>0.0</c:formatCode>
                <c:ptCount val="6"/>
                <c:pt idx="0">
                  <c:v>34.759358288770052</c:v>
                </c:pt>
                <c:pt idx="1">
                  <c:v>6.0606060606060606</c:v>
                </c:pt>
                <c:pt idx="2">
                  <c:v>5.7040998217468806</c:v>
                </c:pt>
                <c:pt idx="3">
                  <c:v>11.942959001782532</c:v>
                </c:pt>
                <c:pt idx="4">
                  <c:v>26.559714795008915</c:v>
                </c:pt>
                <c:pt idx="5">
                  <c:v>14.973262032085561</c:v>
                </c:pt>
              </c:numCache>
            </c:numRef>
          </c:val>
          <c:extLst>
            <c:ext xmlns:c16="http://schemas.microsoft.com/office/drawing/2014/chart" uri="{C3380CC4-5D6E-409C-BE32-E72D297353CC}">
              <c16:uniqueId val="{00000013-80B5-437F-9035-6060AEF10B01}"/>
            </c:ext>
          </c:extLst>
        </c:ser>
        <c:dLbls>
          <c:showLegendKey val="0"/>
          <c:showVal val="0"/>
          <c:showCatName val="0"/>
          <c:showSerName val="0"/>
          <c:showPercent val="0"/>
          <c:showBubbleSize val="0"/>
        </c:dLbls>
        <c:gapWidth val="135"/>
        <c:overlap val="-5"/>
        <c:axId val="189534640"/>
        <c:axId val="189535200"/>
      </c:barChart>
      <c:catAx>
        <c:axId val="189533520"/>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s-ES"/>
          </a:p>
        </c:txPr>
        <c:crossAx val="189534080"/>
        <c:crosses val="autoZero"/>
        <c:auto val="1"/>
        <c:lblAlgn val="ctr"/>
        <c:lblOffset val="100"/>
        <c:noMultiLvlLbl val="0"/>
      </c:catAx>
      <c:valAx>
        <c:axId val="189534080"/>
        <c:scaling>
          <c:orientation val="minMax"/>
          <c:max val="200"/>
          <c:min val="0"/>
        </c:scaling>
        <c:delete val="0"/>
        <c:axPos val="b"/>
        <c:majorGridlines/>
        <c:title>
          <c:tx>
            <c:rich>
              <a:bodyPr/>
              <a:lstStyle/>
              <a:p>
                <a:pPr>
                  <a:defRPr sz="1200" b="0" i="0" u="none" strike="noStrike" baseline="0">
                    <a:solidFill>
                      <a:srgbClr val="000000"/>
                    </a:solidFill>
                    <a:latin typeface="Arial"/>
                    <a:ea typeface="Arial"/>
                    <a:cs typeface="Arial"/>
                  </a:defRPr>
                </a:pPr>
                <a:r>
                  <a:rPr lang="es-CO"/>
                  <a:t>Numero  de Acueductos</a:t>
                </a:r>
              </a:p>
            </c:rich>
          </c:tx>
          <c:layout>
            <c:manualLayout>
              <c:xMode val="edge"/>
              <c:yMode val="edge"/>
              <c:x val="0.4403355044405981"/>
              <c:y val="0.9292419390601715"/>
            </c:manualLayout>
          </c:layout>
          <c:overlay val="0"/>
        </c:title>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89533520"/>
        <c:crosses val="autoZero"/>
        <c:crossBetween val="between"/>
      </c:valAx>
      <c:catAx>
        <c:axId val="189534640"/>
        <c:scaling>
          <c:orientation val="minMax"/>
        </c:scaling>
        <c:delete val="1"/>
        <c:axPos val="l"/>
        <c:numFmt formatCode="General" sourceLinked="1"/>
        <c:majorTickMark val="out"/>
        <c:minorTickMark val="none"/>
        <c:tickLblPos val="nextTo"/>
        <c:crossAx val="189535200"/>
        <c:crosses val="autoZero"/>
        <c:auto val="1"/>
        <c:lblAlgn val="ctr"/>
        <c:lblOffset val="100"/>
        <c:noMultiLvlLbl val="0"/>
      </c:catAx>
      <c:valAx>
        <c:axId val="189535200"/>
        <c:scaling>
          <c:orientation val="minMax"/>
          <c:max val="50"/>
          <c:min val="0"/>
        </c:scaling>
        <c:delete val="0"/>
        <c:axPos val="t"/>
        <c:title>
          <c:tx>
            <c:rich>
              <a:bodyPr/>
              <a:lstStyle/>
              <a:p>
                <a:pPr>
                  <a:defRPr sz="1200" b="0" i="0" u="none" strike="noStrike" baseline="0">
                    <a:solidFill>
                      <a:srgbClr val="000000"/>
                    </a:solidFill>
                    <a:latin typeface="Arial"/>
                    <a:ea typeface="Arial"/>
                    <a:cs typeface="Arial"/>
                  </a:defRPr>
                </a:pPr>
                <a:r>
                  <a:rPr lang="es-CO"/>
                  <a:t>Porcentaje</a:t>
                </a:r>
              </a:p>
            </c:rich>
          </c:tx>
          <c:layout>
            <c:manualLayout>
              <c:xMode val="edge"/>
              <c:yMode val="edge"/>
              <c:x val="0.49828972776115821"/>
              <c:y val="0.10547365272857592"/>
            </c:manualLayout>
          </c:layout>
          <c:overlay val="0"/>
        </c:title>
        <c:numFmt formatCode="0.0"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89534640"/>
        <c:crosses val="max"/>
        <c:crossBetween val="between"/>
      </c:valAx>
      <c:spPr>
        <a:noFill/>
        <a:ln w="25400">
          <a:noFill/>
        </a:ln>
      </c:spPr>
    </c:plotArea>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3</a:t>
            </a:r>
            <a:r>
              <a:rPr lang="es-CO" sz="1200" b="0" i="0" u="none" strike="noStrike" baseline="0">
                <a:solidFill>
                  <a:srgbClr val="000000"/>
                </a:solidFill>
                <a:latin typeface="Arial"/>
                <a:cs typeface="Arial"/>
              </a:rPr>
              <a:t>. Número y porcentaje de acueductos rurales  subregión </a:t>
            </a:r>
          </a:p>
          <a:p>
            <a:pPr>
              <a:defRPr sz="1000" b="0" i="0" u="none" strike="noStrike" baseline="0">
                <a:solidFill>
                  <a:srgbClr val="000000"/>
                </a:solidFill>
                <a:latin typeface="Calibri"/>
                <a:ea typeface="Calibri"/>
                <a:cs typeface="Calibri"/>
              </a:defRPr>
            </a:pPr>
            <a:r>
              <a:rPr lang="es-CO" sz="1200" b="0" i="0" u="none" strike="noStrike" baseline="0">
                <a:solidFill>
                  <a:srgbClr val="000000"/>
                </a:solidFill>
                <a:latin typeface="Arial"/>
                <a:cs typeface="Arial"/>
              </a:rPr>
              <a:t>Valle de Aburra - Antiquia -Colombia 2020</a:t>
            </a:r>
          </a:p>
        </c:rich>
      </c:tx>
      <c:layout>
        <c:manualLayout>
          <c:xMode val="edge"/>
          <c:yMode val="edge"/>
          <c:x val="0.18485044699361819"/>
          <c:y val="1.1976017504581753E-2"/>
        </c:manualLayout>
      </c:layout>
      <c:overlay val="0"/>
    </c:title>
    <c:autoTitleDeleted val="0"/>
    <c:plotArea>
      <c:layout>
        <c:manualLayout>
          <c:layoutTarget val="inner"/>
          <c:xMode val="edge"/>
          <c:yMode val="edge"/>
          <c:x val="0.16299738642606248"/>
          <c:y val="0.1020621368015899"/>
          <c:w val="0.71471119175642162"/>
          <c:h val="0.67405016226006897"/>
        </c:manualLayout>
      </c:layout>
      <c:barChart>
        <c:barDir val="col"/>
        <c:grouping val="clustered"/>
        <c:varyColors val="0"/>
        <c:ser>
          <c:idx val="0"/>
          <c:order val="0"/>
          <c:tx>
            <c:strRef>
              <c:f>'CONSOLIDADO-ACUEDUCTOSRURALES2'!$B$23</c:f>
              <c:strCache>
                <c:ptCount val="1"/>
                <c:pt idx="0">
                  <c:v>Número de Sistemas</c:v>
                </c:pt>
              </c:strCache>
            </c:strRef>
          </c:tx>
          <c:spPr>
            <a:solidFill>
              <a:schemeClr val="tx1">
                <a:lumMod val="65000"/>
                <a:lumOff val="35000"/>
              </a:schemeClr>
            </a:solidFill>
            <a:scene3d>
              <a:camera prst="orthographicFront"/>
              <a:lightRig rig="threePt" dir="t"/>
            </a:scene3d>
            <a:sp3d/>
          </c:spPr>
          <c:invertIfNegative val="0"/>
          <c:dLbls>
            <c:spPr>
              <a:noFill/>
              <a:ln w="25400">
                <a:noFill/>
              </a:ln>
            </c:spPr>
            <c:txPr>
              <a:bodyPr rot="-5400000" vert="horz"/>
              <a:lstStyle/>
              <a:p>
                <a:pPr>
                  <a:defRPr sz="14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'CONSOLIDADO-ACUEDUCTOSRURALES2'!$A$24:$A$33</c:f>
              <c:strCache>
                <c:ptCount val="10"/>
                <c:pt idx="0">
                  <c:v>Medellín</c:v>
                </c:pt>
                <c:pt idx="1">
                  <c:v>Barbosa</c:v>
                </c:pt>
                <c:pt idx="2">
                  <c:v>Bello</c:v>
                </c:pt>
                <c:pt idx="3">
                  <c:v>Caldas</c:v>
                </c:pt>
                <c:pt idx="4">
                  <c:v>Copacabana</c:v>
                </c:pt>
                <c:pt idx="5">
                  <c:v>Girardota</c:v>
                </c:pt>
                <c:pt idx="6">
                  <c:v>Itagui</c:v>
                </c:pt>
                <c:pt idx="7">
                  <c:v>Envigado</c:v>
                </c:pt>
                <c:pt idx="8">
                  <c:v>Sabaneta</c:v>
                </c:pt>
                <c:pt idx="9">
                  <c:v>La Estrella</c:v>
                </c:pt>
              </c:strCache>
            </c:strRef>
          </c:cat>
          <c:val>
            <c:numRef>
              <c:f>'CONSOLIDADO-ACUEDUCTOSRURALES2'!$B$24:$B$33</c:f>
              <c:numCache>
                <c:formatCode>General</c:formatCode>
                <c:ptCount val="10"/>
                <c:pt idx="0">
                  <c:v>29</c:v>
                </c:pt>
                <c:pt idx="1">
                  <c:v>66</c:v>
                </c:pt>
                <c:pt idx="2">
                  <c:v>16</c:v>
                </c:pt>
                <c:pt idx="3">
                  <c:v>19</c:v>
                </c:pt>
                <c:pt idx="4">
                  <c:v>20</c:v>
                </c:pt>
                <c:pt idx="5">
                  <c:v>31</c:v>
                </c:pt>
                <c:pt idx="6">
                  <c:v>8</c:v>
                </c:pt>
                <c:pt idx="7">
                  <c:v>15</c:v>
                </c:pt>
                <c:pt idx="8">
                  <c:v>8</c:v>
                </c:pt>
                <c:pt idx="9">
                  <c:v>11</c:v>
                </c:pt>
              </c:numCache>
            </c:numRef>
          </c:val>
          <c:extLst>
            <c:ext xmlns:c16="http://schemas.microsoft.com/office/drawing/2014/chart" uri="{C3380CC4-5D6E-409C-BE32-E72D297353CC}">
              <c16:uniqueId val="{00000000-097C-46D8-B81D-4CF35D2432A4}"/>
            </c:ext>
          </c:extLst>
        </c:ser>
        <c:dLbls>
          <c:showLegendKey val="0"/>
          <c:showVal val="0"/>
          <c:showCatName val="0"/>
          <c:showSerName val="0"/>
          <c:showPercent val="0"/>
          <c:showBubbleSize val="0"/>
        </c:dLbls>
        <c:gapWidth val="168"/>
        <c:overlap val="-78"/>
        <c:axId val="94845344"/>
        <c:axId val="94842544"/>
      </c:barChart>
      <c:barChart>
        <c:barDir val="col"/>
        <c:grouping val="clustered"/>
        <c:varyColors val="0"/>
        <c:ser>
          <c:idx val="1"/>
          <c:order val="1"/>
          <c:tx>
            <c:strRef>
              <c:f>'CONSOLIDADO-ACUEDUCTOSRURALES2'!$C$23</c:f>
              <c:strCache>
                <c:ptCount val="1"/>
                <c:pt idx="0">
                  <c:v>%</c:v>
                </c:pt>
              </c:strCache>
            </c:strRef>
          </c:tx>
          <c:spPr>
            <a:pattFill prst="ltDnDiag">
              <a:fgClr>
                <a:schemeClr val="tx2">
                  <a:lumMod val="60000"/>
                  <a:lumOff val="40000"/>
                </a:schemeClr>
              </a:fgClr>
              <a:bgClr>
                <a:schemeClr val="bg1"/>
              </a:bgClr>
            </a:pattFill>
            <a:scene3d>
              <a:camera prst="orthographicFront"/>
              <a:lightRig rig="threePt" dir="t"/>
            </a:scene3d>
            <a:sp3d/>
          </c:spPr>
          <c:invertIfNegative val="0"/>
          <c:dLbls>
            <c:spPr>
              <a:noFill/>
              <a:ln w="25400">
                <a:noFill/>
              </a:ln>
            </c:spPr>
            <c:txPr>
              <a:bodyPr rot="-5400000" vert="horz"/>
              <a:lstStyle/>
              <a:p>
                <a:pPr>
                  <a:defRPr sz="1400" b="1" i="0" u="none" strike="noStrike" baseline="0">
                    <a:solidFill>
                      <a:srgbClr val="000000"/>
                    </a:solidFill>
                    <a:latin typeface="Calibri"/>
                    <a:ea typeface="Calibri"/>
                    <a:cs typeface="Calibri"/>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'CONSOLIDADO-ACUEDUCTOSRURALES2'!$A$8:$A$16</c:f>
              <c:strCache>
                <c:ptCount val="9"/>
                <c:pt idx="0">
                  <c:v>Valle de Aburra</c:v>
                </c:pt>
                <c:pt idx="1">
                  <c:v>Uraba</c:v>
                </c:pt>
                <c:pt idx="2">
                  <c:v>Norte</c:v>
                </c:pt>
                <c:pt idx="3">
                  <c:v>Occidente</c:v>
                </c:pt>
                <c:pt idx="4">
                  <c:v>Suroeste</c:v>
                </c:pt>
                <c:pt idx="5">
                  <c:v>Bajo Cauca</c:v>
                </c:pt>
                <c:pt idx="6">
                  <c:v>Magdalena Medio</c:v>
                </c:pt>
                <c:pt idx="7">
                  <c:v>Nordeste </c:v>
                </c:pt>
                <c:pt idx="8">
                  <c:v>Oriente</c:v>
                </c:pt>
              </c:strCache>
            </c:strRef>
          </c:cat>
          <c:val>
            <c:numRef>
              <c:f>'CONSOLIDADO-ACUEDUCTOSRURALES2'!$C$24:$C$33</c:f>
              <c:numCache>
                <c:formatCode>0.0</c:formatCode>
                <c:ptCount val="10"/>
                <c:pt idx="0">
                  <c:v>13.004484304932735</c:v>
                </c:pt>
                <c:pt idx="1">
                  <c:v>29.596412556053814</c:v>
                </c:pt>
                <c:pt idx="2">
                  <c:v>7.1748878923766819</c:v>
                </c:pt>
                <c:pt idx="3">
                  <c:v>8.5201793721973083</c:v>
                </c:pt>
                <c:pt idx="4">
                  <c:v>8.9686098654708513</c:v>
                </c:pt>
                <c:pt idx="5">
                  <c:v>13.901345291479823</c:v>
                </c:pt>
                <c:pt idx="6">
                  <c:v>3.5874439461883409</c:v>
                </c:pt>
                <c:pt idx="7">
                  <c:v>6.7264573991031389</c:v>
                </c:pt>
                <c:pt idx="8">
                  <c:v>3.5874439461883409</c:v>
                </c:pt>
                <c:pt idx="9">
                  <c:v>4.9327354260089686</c:v>
                </c:pt>
              </c:numCache>
            </c:numRef>
          </c:val>
          <c:extLst>
            <c:ext xmlns:c16="http://schemas.microsoft.com/office/drawing/2014/chart" uri="{C3380CC4-5D6E-409C-BE32-E72D297353CC}">
              <c16:uniqueId val="{00000001-097C-46D8-B81D-4CF35D2432A4}"/>
            </c:ext>
          </c:extLst>
        </c:ser>
        <c:dLbls>
          <c:showLegendKey val="0"/>
          <c:showVal val="0"/>
          <c:showCatName val="0"/>
          <c:showSerName val="0"/>
          <c:showPercent val="0"/>
          <c:showBubbleSize val="0"/>
        </c:dLbls>
        <c:gapWidth val="216"/>
        <c:axId val="94841984"/>
        <c:axId val="94841424"/>
      </c:barChart>
      <c:catAx>
        <c:axId val="94845344"/>
        <c:scaling>
          <c:orientation val="minMax"/>
        </c:scaling>
        <c:delete val="0"/>
        <c:axPos val="b"/>
        <c:numFmt formatCode="General" sourceLinked="1"/>
        <c:majorTickMark val="none"/>
        <c:minorTickMark val="none"/>
        <c:tickLblPos val="nextTo"/>
        <c:txPr>
          <a:bodyPr rot="-3360000" vert="horz"/>
          <a:lstStyle/>
          <a:p>
            <a:pPr>
              <a:defRPr sz="1400" b="0" i="0" u="none" strike="noStrike" baseline="0">
                <a:solidFill>
                  <a:srgbClr val="000000"/>
                </a:solidFill>
                <a:latin typeface="Calibri"/>
                <a:ea typeface="Calibri"/>
                <a:cs typeface="Calibri"/>
              </a:defRPr>
            </a:pPr>
            <a:endParaRPr lang="es-ES"/>
          </a:p>
        </c:txPr>
        <c:crossAx val="94842544"/>
        <c:crossesAt val="0"/>
        <c:auto val="1"/>
        <c:lblAlgn val="ctr"/>
        <c:lblOffset val="100"/>
        <c:noMultiLvlLbl val="0"/>
      </c:catAx>
      <c:valAx>
        <c:axId val="94842544"/>
        <c:scaling>
          <c:orientation val="minMax"/>
          <c:min val="0"/>
        </c:scaling>
        <c:delete val="0"/>
        <c:axPos val="l"/>
        <c:majorGridlines/>
        <c:title>
          <c:tx>
            <c:rich>
              <a:bodyPr/>
              <a:lstStyle/>
              <a:p>
                <a:pPr>
                  <a:defRPr sz="1800" b="1" i="0" u="none" strike="noStrike" baseline="0">
                    <a:solidFill>
                      <a:srgbClr val="000000"/>
                    </a:solidFill>
                    <a:latin typeface="Calibri"/>
                    <a:ea typeface="Calibri"/>
                    <a:cs typeface="Calibri"/>
                  </a:defRPr>
                </a:pPr>
                <a:r>
                  <a:rPr lang="es-CO"/>
                  <a:t>Numero de Sistemas</a:t>
                </a:r>
              </a:p>
            </c:rich>
          </c:tx>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94845344"/>
        <c:crosses val="autoZero"/>
        <c:crossBetween val="between"/>
        <c:majorUnit val="5"/>
      </c:valAx>
      <c:catAx>
        <c:axId val="94841984"/>
        <c:scaling>
          <c:orientation val="minMax"/>
        </c:scaling>
        <c:delete val="1"/>
        <c:axPos val="b"/>
        <c:numFmt formatCode="General" sourceLinked="1"/>
        <c:majorTickMark val="out"/>
        <c:minorTickMark val="none"/>
        <c:tickLblPos val="nextTo"/>
        <c:crossAx val="94841424"/>
        <c:crosses val="autoZero"/>
        <c:auto val="1"/>
        <c:lblAlgn val="ctr"/>
        <c:lblOffset val="100"/>
        <c:noMultiLvlLbl val="0"/>
      </c:catAx>
      <c:valAx>
        <c:axId val="94841424"/>
        <c:scaling>
          <c:orientation val="minMax"/>
          <c:max val="40"/>
        </c:scaling>
        <c:delete val="0"/>
        <c:axPos val="r"/>
        <c:title>
          <c:tx>
            <c:rich>
              <a:bodyPr/>
              <a:lstStyle/>
              <a:p>
                <a:pPr>
                  <a:defRPr sz="2000" b="1" i="0" u="none" strike="noStrike" baseline="0">
                    <a:solidFill>
                      <a:srgbClr val="000000"/>
                    </a:solidFill>
                    <a:latin typeface="Calibri"/>
                    <a:ea typeface="Calibri"/>
                    <a:cs typeface="Calibri"/>
                  </a:defRPr>
                </a:pPr>
                <a:r>
                  <a:rPr lang="es-CO"/>
                  <a:t>Porcentaje</a:t>
                </a:r>
              </a:p>
            </c:rich>
          </c:tx>
          <c:layout/>
          <c:overlay val="0"/>
        </c:title>
        <c:numFmt formatCode="0.0" sourceLinked="1"/>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94841984"/>
        <c:crosses val="max"/>
        <c:crossBetween val="between"/>
      </c:valAx>
      <c:spPr>
        <a:solidFill>
          <a:sysClr val="window" lastClr="FFFFFF"/>
        </a:solidFill>
        <a:scene3d>
          <a:camera prst="orthographicFront"/>
          <a:lightRig rig="threePt" dir="t"/>
        </a:scene3d>
        <a:sp3d>
          <a:bevelT/>
          <a:bevelB/>
        </a:sp3d>
      </c:spPr>
    </c:plotArea>
    <c:legend>
      <c:legendPos val="t"/>
      <c:layout>
        <c:manualLayout>
          <c:xMode val="edge"/>
          <c:yMode val="edge"/>
          <c:x val="0.29130154415977189"/>
          <c:y val="0.92708813719368244"/>
          <c:w val="0.4600726114819404"/>
          <c:h val="6.0105697619519005E-2"/>
        </c:manualLayout>
      </c:layout>
      <c:overlay val="0"/>
      <c:txPr>
        <a:bodyPr/>
        <a:lstStyle/>
        <a:p>
          <a:pPr>
            <a:defRPr sz="1200" b="1" i="0" u="none" strike="noStrike" baseline="0">
              <a:solidFill>
                <a:srgbClr val="000000"/>
              </a:solidFill>
              <a:latin typeface="Arial"/>
              <a:ea typeface="Arial"/>
              <a:cs typeface="Arial"/>
            </a:defRPr>
          </a:pPr>
          <a:endParaRPr lang="es-ES"/>
        </a:p>
      </c:txPr>
    </c:legend>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4</a:t>
            </a:r>
            <a:r>
              <a:rPr lang="es-CO" sz="1200" b="0" i="0" u="none" strike="noStrike" baseline="0">
                <a:solidFill>
                  <a:srgbClr val="000000"/>
                </a:solidFill>
                <a:latin typeface="Arial"/>
                <a:cs typeface="Arial"/>
              </a:rPr>
              <a:t>. Numero y porcentaje de acueductos rurales por  nivel de riesgo sanitario subregión </a:t>
            </a:r>
            <a:r>
              <a:rPr lang="es-CO" sz="1200" b="1" i="0" u="none" strike="noStrike" baseline="0">
                <a:solidFill>
                  <a:srgbClr val="000000"/>
                </a:solidFill>
                <a:latin typeface="Arial"/>
                <a:cs typeface="Arial"/>
              </a:rPr>
              <a:t>.</a:t>
            </a:r>
            <a:r>
              <a:rPr lang="es-CO" sz="1200" b="0" i="0" u="none" strike="noStrike" baseline="0">
                <a:solidFill>
                  <a:srgbClr val="000000"/>
                </a:solidFill>
                <a:latin typeface="Arial"/>
                <a:cs typeface="Arial"/>
              </a:rPr>
              <a:t>Valle de Aburra-  Antioquia - Colombia  2020</a:t>
            </a:r>
          </a:p>
        </c:rich>
      </c:tx>
      <c:layout/>
      <c:overlay val="1"/>
      <c:spPr>
        <a:scene3d>
          <a:camera prst="orthographicFront"/>
          <a:lightRig rig="threePt" dir="t"/>
        </a:scene3d>
        <a:sp3d>
          <a:bevelB/>
        </a:sp3d>
      </c:spPr>
    </c:title>
    <c:autoTitleDeleted val="0"/>
    <c:plotArea>
      <c:layout>
        <c:manualLayout>
          <c:layoutTarget val="inner"/>
          <c:xMode val="edge"/>
          <c:yMode val="edge"/>
          <c:x val="0.21014317301823926"/>
          <c:y val="0.2080573725184732"/>
          <c:w val="0.69094811687293856"/>
          <c:h val="0.66975581216643609"/>
        </c:manualLayout>
      </c:layout>
      <c:barChart>
        <c:barDir val="bar"/>
        <c:grouping val="stacked"/>
        <c:varyColors val="0"/>
        <c:ser>
          <c:idx val="1"/>
          <c:order val="1"/>
          <c:tx>
            <c:strRef>
              <c:f>'CONSOLIDADO-ACUEDUCTOSRURALES2'!$B$23</c:f>
              <c:strCache>
                <c:ptCount val="1"/>
                <c:pt idx="0">
                  <c:v>Número de Sistemas</c:v>
                </c:pt>
              </c:strCache>
            </c:strRef>
          </c:tx>
          <c:spPr>
            <a:solidFill>
              <a:schemeClr val="bg1">
                <a:lumMod val="85000"/>
              </a:schemeClr>
            </a:solidFill>
          </c:spPr>
          <c:invertIfNegative val="0"/>
          <c:dLbls>
            <c:dLbl>
              <c:idx val="0"/>
              <c:layout>
                <c:manualLayout>
                  <c:x val="0.35239305379076674"/>
                  <c:y val="-2.563698768423083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2EC-4338-8B5E-7BD1F2E4B605}"/>
                </c:ext>
              </c:extLst>
            </c:dLbl>
            <c:dLbl>
              <c:idx val="1"/>
              <c:layout>
                <c:manualLayout>
                  <c:x val="0.13214712836880141"/>
                  <c:y val="4.0379567938623056E-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2EC-4338-8B5E-7BD1F2E4B605}"/>
                </c:ext>
              </c:extLst>
            </c:dLbl>
            <c:dLbl>
              <c:idx val="2"/>
              <c:layout>
                <c:manualLayout>
                  <c:x val="0.1355357899195257"/>
                  <c:y val="2.595598627094690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2EC-4338-8B5E-7BD1F2E4B605}"/>
                </c:ext>
              </c:extLst>
            </c:dLbl>
            <c:dLbl>
              <c:idx val="3"/>
              <c:layout>
                <c:manualLayout>
                  <c:x val="0.19652689538331217"/>
                  <c:y val="2.2208762366242679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2EC-4338-8B5E-7BD1F2E4B605}"/>
                </c:ext>
              </c:extLst>
            </c:dLbl>
            <c:dLbl>
              <c:idx val="4"/>
              <c:layout>
                <c:manualLayout>
                  <c:x val="0.16094875052943669"/>
                  <c:y val="-6.0569351907464507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2EC-4338-8B5E-7BD1F2E4B605}"/>
                </c:ext>
              </c:extLst>
            </c:dLbl>
            <c:dLbl>
              <c:idx val="5"/>
              <c:layout>
                <c:manualLayout>
                  <c:x val="7.2981220422415435E-2"/>
                  <c:y val="2.543710882293559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2EC-4338-8B5E-7BD1F2E4B605}"/>
                </c:ext>
              </c:extLst>
            </c:dLbl>
            <c:spPr>
              <a:noFill/>
              <a:ln>
                <a:noFill/>
              </a:ln>
              <a:effectLst/>
            </c:spPr>
            <c:txPr>
              <a:bodyPr/>
              <a:lstStyle/>
              <a:p>
                <a:pPr>
                  <a:defRPr sz="1100" b="0"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('CONSOLIDADO-ACUEDUCTOSRURALES2'!$D$23,'CONSOLIDADO-ACUEDUCTOSRURALES2'!$F$23,'CONSOLIDADO-ACUEDUCTOSRURALES2'!$H$23,'CONSOLIDADO-ACUEDUCTOSRURALES2'!$J$23,'CONSOLIDADO-ACUEDUCTOSRURALES2'!$L$23,'CONSOLIDADO-ACUEDUCTOSRURALES2'!$N$23)</c:f>
              <c:strCache>
                <c:ptCount val="6"/>
                <c:pt idx="0">
                  <c:v>Sin Riesgo</c:v>
                </c:pt>
                <c:pt idx="1">
                  <c:v>Bajo</c:v>
                </c:pt>
                <c:pt idx="2">
                  <c:v>Medio</c:v>
                </c:pt>
                <c:pt idx="3">
                  <c:v>Alto</c:v>
                </c:pt>
                <c:pt idx="4">
                  <c:v>Inviable Sanitariamente</c:v>
                </c:pt>
                <c:pt idx="5">
                  <c:v>Sin Dato</c:v>
                </c:pt>
              </c:strCache>
            </c:strRef>
          </c:cat>
          <c:val>
            <c:numRef>
              <c:f>('CONSOLIDADO-ACUEDUCTOSRURALES2'!$D$34,'CONSOLIDADO-ACUEDUCTOSRURALES2'!$F$34,'CONSOLIDADO-ACUEDUCTOSRURALES2'!$H$34,'CONSOLIDADO-ACUEDUCTOSRURALES2'!$J$34,'CONSOLIDADO-ACUEDUCTOSRURALES2'!$L$34,'CONSOLIDADO-ACUEDUCTOSRURALES2'!$N$34)</c:f>
              <c:numCache>
                <c:formatCode>General</c:formatCode>
                <c:ptCount val="6"/>
                <c:pt idx="0">
                  <c:v>54</c:v>
                </c:pt>
                <c:pt idx="1">
                  <c:v>28</c:v>
                </c:pt>
                <c:pt idx="2">
                  <c:v>46</c:v>
                </c:pt>
                <c:pt idx="3">
                  <c:v>41</c:v>
                </c:pt>
                <c:pt idx="4">
                  <c:v>39</c:v>
                </c:pt>
                <c:pt idx="5">
                  <c:v>15</c:v>
                </c:pt>
              </c:numCache>
            </c:numRef>
          </c:val>
          <c:extLst>
            <c:ext xmlns:c16="http://schemas.microsoft.com/office/drawing/2014/chart" uri="{C3380CC4-5D6E-409C-BE32-E72D297353CC}">
              <c16:uniqueId val="{00000006-C2EC-4338-8B5E-7BD1F2E4B605}"/>
            </c:ext>
          </c:extLst>
        </c:ser>
        <c:dLbls>
          <c:showLegendKey val="0"/>
          <c:showVal val="0"/>
          <c:showCatName val="0"/>
          <c:showSerName val="0"/>
          <c:showPercent val="0"/>
          <c:showBubbleSize val="0"/>
        </c:dLbls>
        <c:gapWidth val="134"/>
        <c:overlap val="-5"/>
        <c:axId val="187070048"/>
        <c:axId val="187070608"/>
      </c:barChart>
      <c:barChart>
        <c:barDir val="bar"/>
        <c:grouping val="stacked"/>
        <c:varyColors val="0"/>
        <c:ser>
          <c:idx val="0"/>
          <c:order val="0"/>
          <c:tx>
            <c:strRef>
              <c:f>'CONSOLIDADO-ACUEDUCTOSRURALES2'!$C$23</c:f>
              <c:strCache>
                <c:ptCount val="1"/>
                <c:pt idx="0">
                  <c:v>%</c:v>
                </c:pt>
              </c:strCache>
            </c:strRef>
          </c:tx>
          <c:spPr>
            <a:scene3d>
              <a:camera prst="orthographicFront"/>
              <a:lightRig rig="threePt" dir="t"/>
            </a:scene3d>
            <a:sp3d/>
          </c:spPr>
          <c:invertIfNegative val="0"/>
          <c:dPt>
            <c:idx val="0"/>
            <c:invertIfNegative val="0"/>
            <c:bubble3D val="0"/>
            <c:spPr>
              <a:solidFill>
                <a:schemeClr val="tx2">
                  <a:lumMod val="60000"/>
                  <a:lumOff val="40000"/>
                </a:schemeClr>
              </a:solidFill>
              <a:scene3d>
                <a:camera prst="orthographicFront"/>
                <a:lightRig rig="threePt" dir="t"/>
              </a:scene3d>
              <a:sp3d/>
            </c:spPr>
            <c:extLst>
              <c:ext xmlns:c16="http://schemas.microsoft.com/office/drawing/2014/chart" uri="{C3380CC4-5D6E-409C-BE32-E72D297353CC}">
                <c16:uniqueId val="{00000008-C2EC-4338-8B5E-7BD1F2E4B605}"/>
              </c:ext>
            </c:extLst>
          </c:dPt>
          <c:dPt>
            <c:idx val="1"/>
            <c:invertIfNegative val="0"/>
            <c:bubble3D val="0"/>
            <c:spPr>
              <a:solidFill>
                <a:srgbClr val="92D050"/>
              </a:solidFill>
              <a:scene3d>
                <a:camera prst="orthographicFront"/>
                <a:lightRig rig="threePt" dir="t"/>
              </a:scene3d>
              <a:sp3d/>
            </c:spPr>
            <c:extLst>
              <c:ext xmlns:c16="http://schemas.microsoft.com/office/drawing/2014/chart" uri="{C3380CC4-5D6E-409C-BE32-E72D297353CC}">
                <c16:uniqueId val="{0000000A-C2EC-4338-8B5E-7BD1F2E4B605}"/>
              </c:ext>
            </c:extLst>
          </c:dPt>
          <c:dPt>
            <c:idx val="2"/>
            <c:invertIfNegative val="0"/>
            <c:bubble3D val="0"/>
            <c:spPr>
              <a:solidFill>
                <a:srgbClr val="FFFF00"/>
              </a:solidFill>
              <a:scene3d>
                <a:camera prst="orthographicFront"/>
                <a:lightRig rig="threePt" dir="t"/>
              </a:scene3d>
              <a:sp3d/>
            </c:spPr>
            <c:extLst>
              <c:ext xmlns:c16="http://schemas.microsoft.com/office/drawing/2014/chart" uri="{C3380CC4-5D6E-409C-BE32-E72D297353CC}">
                <c16:uniqueId val="{0000000C-C2EC-4338-8B5E-7BD1F2E4B605}"/>
              </c:ext>
            </c:extLst>
          </c:dPt>
          <c:dPt>
            <c:idx val="3"/>
            <c:invertIfNegative val="0"/>
            <c:bubble3D val="0"/>
            <c:spPr>
              <a:solidFill>
                <a:schemeClr val="accent6">
                  <a:lumMod val="75000"/>
                </a:schemeClr>
              </a:solidFill>
              <a:scene3d>
                <a:camera prst="orthographicFront"/>
                <a:lightRig rig="threePt" dir="t"/>
              </a:scene3d>
              <a:sp3d/>
            </c:spPr>
            <c:extLst>
              <c:ext xmlns:c16="http://schemas.microsoft.com/office/drawing/2014/chart" uri="{C3380CC4-5D6E-409C-BE32-E72D297353CC}">
                <c16:uniqueId val="{0000000E-C2EC-4338-8B5E-7BD1F2E4B605}"/>
              </c:ext>
            </c:extLst>
          </c:dPt>
          <c:dPt>
            <c:idx val="4"/>
            <c:invertIfNegative val="0"/>
            <c:bubble3D val="0"/>
            <c:spPr>
              <a:solidFill>
                <a:srgbClr val="C00000"/>
              </a:solidFill>
              <a:scene3d>
                <a:camera prst="orthographicFront"/>
                <a:lightRig rig="threePt" dir="t"/>
              </a:scene3d>
              <a:sp3d/>
            </c:spPr>
            <c:extLst>
              <c:ext xmlns:c16="http://schemas.microsoft.com/office/drawing/2014/chart" uri="{C3380CC4-5D6E-409C-BE32-E72D297353CC}">
                <c16:uniqueId val="{00000010-C2EC-4338-8B5E-7BD1F2E4B605}"/>
              </c:ext>
            </c:extLst>
          </c:dPt>
          <c:dPt>
            <c:idx val="5"/>
            <c:invertIfNegative val="0"/>
            <c:bubble3D val="0"/>
            <c:spPr>
              <a:solidFill>
                <a:schemeClr val="tx1">
                  <a:lumMod val="50000"/>
                  <a:lumOff val="50000"/>
                </a:schemeClr>
              </a:solidFill>
              <a:scene3d>
                <a:camera prst="orthographicFront"/>
                <a:lightRig rig="threePt" dir="t"/>
              </a:scene3d>
              <a:sp3d/>
            </c:spPr>
            <c:extLst>
              <c:ext xmlns:c16="http://schemas.microsoft.com/office/drawing/2014/chart" uri="{C3380CC4-5D6E-409C-BE32-E72D297353CC}">
                <c16:uniqueId val="{00000012-C2EC-4338-8B5E-7BD1F2E4B605}"/>
              </c:ext>
            </c:extLst>
          </c:dPt>
          <c:dLbls>
            <c:dLbl>
              <c:idx val="0"/>
              <c:layout>
                <c:manualLayout>
                  <c:x val="-1.7725840178490999E-2"/>
                  <c:y val="5.1706111855084752E-3"/>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2EC-4338-8B5E-7BD1F2E4B605}"/>
                </c:ext>
              </c:extLst>
            </c:dLbl>
            <c:dLbl>
              <c:idx val="2"/>
              <c:layout>
                <c:manualLayout>
                  <c:x val="4.8370002034370859E-3"/>
                  <c:y val="-2.1330506763577628E-3"/>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2EC-4338-8B5E-7BD1F2E4B605}"/>
                </c:ext>
              </c:extLst>
            </c:dLbl>
            <c:dLbl>
              <c:idx val="3"/>
              <c:layout>
                <c:manualLayout>
                  <c:x val="-7.8153191460978745E-3"/>
                  <c:y val="-2.9133858267716534E-3"/>
                </c:manualLayout>
              </c:layout>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2EC-4338-8B5E-7BD1F2E4B605}"/>
                </c:ext>
              </c:extLst>
            </c:dLbl>
            <c:dLbl>
              <c:idx val="4"/>
              <c:layout>
                <c:manualLayout>
                  <c:x val="5.8401784910304564E-3"/>
                  <c:y val="1.7638599772729091E-3"/>
                </c:manualLayout>
              </c:layout>
              <c:spPr/>
              <c:txPr>
                <a:bodyPr/>
                <a:lstStyle/>
                <a:p>
                  <a:pPr>
                    <a:defRPr sz="1200" b="1" i="0" u="none" strike="noStrike" baseline="0">
                      <a:solidFill>
                        <a:srgbClr val="FFFFFF"/>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2EC-4338-8B5E-7BD1F2E4B605}"/>
                </c:ext>
              </c:extLst>
            </c:dLbl>
            <c:dLbl>
              <c:idx val="5"/>
              <c:layout>
                <c:manualLayout>
                  <c:x val="3.6961517040356938E-3"/>
                  <c:y val="-5.2392489400363419E-4"/>
                </c:manualLayout>
              </c:layout>
              <c:spPr/>
              <c:txPr>
                <a:bodyPr/>
                <a:lstStyle/>
                <a:p>
                  <a:pPr>
                    <a:defRPr sz="1200" b="1" i="0" u="none" strike="noStrike" baseline="0">
                      <a:solidFill>
                        <a:srgbClr val="FFFFFF"/>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2EC-4338-8B5E-7BD1F2E4B605}"/>
                </c:ext>
              </c:extLst>
            </c:dLbl>
            <c:spPr>
              <a:noFill/>
              <a:ln w="25400">
                <a:noFill/>
              </a:ln>
            </c:spPr>
            <c:txPr>
              <a:bodyPr/>
              <a:lstStyle/>
              <a:p>
                <a:pPr>
                  <a:defRPr sz="1200" b="1"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('CONSOLIDADO-ACUEDUCTOSRURALES2'!$D$23,'CONSOLIDADO-ACUEDUCTOSRURALES2'!$F$23,'CONSOLIDADO-ACUEDUCTOSRURALES2'!$H$23,'CONSOLIDADO-ACUEDUCTOSRURALES2'!$J$23,'CONSOLIDADO-ACUEDUCTOSRURALES2'!$L$23,'CONSOLIDADO-ACUEDUCTOSRURALES2'!$N$23)</c:f>
              <c:strCache>
                <c:ptCount val="6"/>
                <c:pt idx="0">
                  <c:v>Sin Riesgo</c:v>
                </c:pt>
                <c:pt idx="1">
                  <c:v>Bajo</c:v>
                </c:pt>
                <c:pt idx="2">
                  <c:v>Medio</c:v>
                </c:pt>
                <c:pt idx="3">
                  <c:v>Alto</c:v>
                </c:pt>
                <c:pt idx="4">
                  <c:v>Inviable Sanitariamente</c:v>
                </c:pt>
                <c:pt idx="5">
                  <c:v>Sin Dato</c:v>
                </c:pt>
              </c:strCache>
            </c:strRef>
          </c:cat>
          <c:val>
            <c:numRef>
              <c:f>('CONSOLIDADO-ACUEDUCTOSRURALES2'!$E$34,'CONSOLIDADO-ACUEDUCTOSRURALES2'!$G$34,'CONSOLIDADO-ACUEDUCTOSRURALES2'!$I$34,'CONSOLIDADO-ACUEDUCTOSRURALES2'!$K$34,'CONSOLIDADO-ACUEDUCTOSRURALES2'!$M$34,'CONSOLIDADO-ACUEDUCTOSRURALES2'!$O$34)</c:f>
              <c:numCache>
                <c:formatCode>0.0</c:formatCode>
                <c:ptCount val="6"/>
                <c:pt idx="0">
                  <c:v>24.215246636771301</c:v>
                </c:pt>
                <c:pt idx="1">
                  <c:v>12.556053811659194</c:v>
                </c:pt>
                <c:pt idx="2">
                  <c:v>20.627802690582961</c:v>
                </c:pt>
                <c:pt idx="3">
                  <c:v>18.385650224215247</c:v>
                </c:pt>
                <c:pt idx="4">
                  <c:v>17.488789237668161</c:v>
                </c:pt>
                <c:pt idx="5">
                  <c:v>6.7264573991031389</c:v>
                </c:pt>
              </c:numCache>
            </c:numRef>
          </c:val>
          <c:extLst>
            <c:ext xmlns:c16="http://schemas.microsoft.com/office/drawing/2014/chart" uri="{C3380CC4-5D6E-409C-BE32-E72D297353CC}">
              <c16:uniqueId val="{00000013-C2EC-4338-8B5E-7BD1F2E4B605}"/>
            </c:ext>
          </c:extLst>
        </c:ser>
        <c:dLbls>
          <c:showLegendKey val="0"/>
          <c:showVal val="0"/>
          <c:showCatName val="0"/>
          <c:showSerName val="0"/>
          <c:showPercent val="0"/>
          <c:showBubbleSize val="0"/>
        </c:dLbls>
        <c:gapWidth val="137"/>
        <c:overlap val="-5"/>
        <c:axId val="187071168"/>
        <c:axId val="187071728"/>
      </c:barChart>
      <c:catAx>
        <c:axId val="187070048"/>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s-ES"/>
          </a:p>
        </c:txPr>
        <c:crossAx val="187070608"/>
        <c:crosses val="autoZero"/>
        <c:auto val="1"/>
        <c:lblAlgn val="ctr"/>
        <c:lblOffset val="100"/>
        <c:noMultiLvlLbl val="0"/>
      </c:catAx>
      <c:valAx>
        <c:axId val="187070608"/>
        <c:scaling>
          <c:orientation val="minMax"/>
          <c:max val="75"/>
          <c:min val="0"/>
        </c:scaling>
        <c:delete val="0"/>
        <c:axPos val="b"/>
        <c:majorGridlines/>
        <c:title>
          <c:tx>
            <c:rich>
              <a:bodyPr/>
              <a:lstStyle/>
              <a:p>
                <a:pPr>
                  <a:defRPr sz="1200" b="0" i="0" u="none" strike="noStrike" baseline="0">
                    <a:solidFill>
                      <a:srgbClr val="000000"/>
                    </a:solidFill>
                    <a:latin typeface="Arial"/>
                    <a:ea typeface="Arial"/>
                    <a:cs typeface="Arial"/>
                  </a:defRPr>
                </a:pPr>
                <a:r>
                  <a:rPr lang="es-CO"/>
                  <a:t>Numero  de Acueductos</a:t>
                </a:r>
              </a:p>
            </c:rich>
          </c:tx>
          <c:layout>
            <c:manualLayout>
              <c:xMode val="edge"/>
              <c:yMode val="edge"/>
              <c:x val="0.4403355044405981"/>
              <c:y val="0.92924190301455034"/>
            </c:manualLayout>
          </c:layout>
          <c:overlay val="0"/>
        </c:title>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87070048"/>
        <c:crosses val="autoZero"/>
        <c:crossBetween val="between"/>
      </c:valAx>
      <c:catAx>
        <c:axId val="187071168"/>
        <c:scaling>
          <c:orientation val="minMax"/>
        </c:scaling>
        <c:delete val="1"/>
        <c:axPos val="l"/>
        <c:numFmt formatCode="General" sourceLinked="1"/>
        <c:majorTickMark val="out"/>
        <c:minorTickMark val="none"/>
        <c:tickLblPos val="nextTo"/>
        <c:crossAx val="187071728"/>
        <c:crosses val="autoZero"/>
        <c:auto val="1"/>
        <c:lblAlgn val="ctr"/>
        <c:lblOffset val="100"/>
        <c:noMultiLvlLbl val="0"/>
      </c:catAx>
      <c:valAx>
        <c:axId val="187071728"/>
        <c:scaling>
          <c:orientation val="minMax"/>
          <c:max val="50"/>
          <c:min val="0"/>
        </c:scaling>
        <c:delete val="0"/>
        <c:axPos val="t"/>
        <c:title>
          <c:tx>
            <c:rich>
              <a:bodyPr/>
              <a:lstStyle/>
              <a:p>
                <a:pPr>
                  <a:defRPr sz="1200" b="0" i="0" u="none" strike="noStrike" baseline="0">
                    <a:solidFill>
                      <a:srgbClr val="000000"/>
                    </a:solidFill>
                    <a:latin typeface="Arial"/>
                    <a:ea typeface="Arial"/>
                    <a:cs typeface="Arial"/>
                  </a:defRPr>
                </a:pPr>
                <a:r>
                  <a:rPr lang="es-CO"/>
                  <a:t>Porcentaje</a:t>
                </a:r>
              </a:p>
            </c:rich>
          </c:tx>
          <c:layout>
            <c:manualLayout>
              <c:xMode val="edge"/>
              <c:yMode val="edge"/>
              <c:x val="0.49828972776115821"/>
              <c:y val="0.10547368957521087"/>
            </c:manualLayout>
          </c:layout>
          <c:overlay val="0"/>
        </c:title>
        <c:numFmt formatCode="0.0"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87071168"/>
        <c:crosses val="max"/>
        <c:crossBetween val="between"/>
      </c:valAx>
      <c:spPr>
        <a:noFill/>
        <a:ln w="25400">
          <a:noFill/>
        </a:ln>
      </c:spPr>
    </c:plotArea>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5</a:t>
            </a:r>
            <a:r>
              <a:rPr lang="es-CO" sz="1200" b="0" i="0" u="none" strike="noStrike" baseline="0">
                <a:solidFill>
                  <a:srgbClr val="000000"/>
                </a:solidFill>
                <a:latin typeface="Arial"/>
                <a:cs typeface="Arial"/>
              </a:rPr>
              <a:t>. Número y porcentaje de acueductos rurales  subregión </a:t>
            </a:r>
          </a:p>
          <a:p>
            <a:pPr>
              <a:defRPr sz="1000" b="0" i="0" u="none" strike="noStrike" baseline="0">
                <a:solidFill>
                  <a:srgbClr val="000000"/>
                </a:solidFill>
                <a:latin typeface="Calibri"/>
                <a:ea typeface="Calibri"/>
                <a:cs typeface="Calibri"/>
              </a:defRPr>
            </a:pPr>
            <a:r>
              <a:rPr lang="es-CO" sz="1200" b="0" i="0" u="none" strike="noStrike" baseline="0">
                <a:solidFill>
                  <a:srgbClr val="000000"/>
                </a:solidFill>
                <a:latin typeface="Arial"/>
                <a:cs typeface="Arial"/>
              </a:rPr>
              <a:t>Uraba- Antioquia - Colombia 2020</a:t>
            </a:r>
          </a:p>
        </c:rich>
      </c:tx>
      <c:layout>
        <c:manualLayout>
          <c:xMode val="edge"/>
          <c:yMode val="edge"/>
          <c:x val="0.17977430486163851"/>
          <c:y val="1.1975988550564127E-2"/>
        </c:manualLayout>
      </c:layout>
      <c:overlay val="0"/>
    </c:title>
    <c:autoTitleDeleted val="0"/>
    <c:plotArea>
      <c:layout>
        <c:manualLayout>
          <c:layoutTarget val="inner"/>
          <c:xMode val="edge"/>
          <c:yMode val="edge"/>
          <c:x val="0.16299738642606248"/>
          <c:y val="0.11739752530933634"/>
          <c:w val="0.71471119175642162"/>
          <c:h val="0.62037605299337584"/>
        </c:manualLayout>
      </c:layout>
      <c:barChart>
        <c:barDir val="col"/>
        <c:grouping val="clustered"/>
        <c:varyColors val="0"/>
        <c:ser>
          <c:idx val="0"/>
          <c:order val="0"/>
          <c:tx>
            <c:strRef>
              <c:f>'CONSOLIDADO-ACUEDUCTOSRURALES2'!$B$38</c:f>
              <c:strCache>
                <c:ptCount val="1"/>
                <c:pt idx="0">
                  <c:v>Número de Sistemas</c:v>
                </c:pt>
              </c:strCache>
            </c:strRef>
          </c:tx>
          <c:spPr>
            <a:solidFill>
              <a:schemeClr val="tx1">
                <a:lumMod val="65000"/>
                <a:lumOff val="35000"/>
              </a:schemeClr>
            </a:solidFill>
            <a:scene3d>
              <a:camera prst="orthographicFront"/>
              <a:lightRig rig="threePt" dir="t"/>
            </a:scene3d>
            <a:sp3d/>
          </c:spPr>
          <c:invertIfNegative val="0"/>
          <c:dLbls>
            <c:spPr>
              <a:noFill/>
              <a:ln w="25400">
                <a:noFill/>
              </a:ln>
            </c:spPr>
            <c:txPr>
              <a:bodyPr rot="-5400000" vert="horz"/>
              <a:lstStyle/>
              <a:p>
                <a:pPr>
                  <a:defRPr sz="14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'CONSOLIDADO-ACUEDUCTOSRURALES2'!$A$39:$A$49</c:f>
              <c:strCache>
                <c:ptCount val="11"/>
                <c:pt idx="0">
                  <c:v>Apartado</c:v>
                </c:pt>
                <c:pt idx="1">
                  <c:v>Arboletes</c:v>
                </c:pt>
                <c:pt idx="2">
                  <c:v>Carepa</c:v>
                </c:pt>
                <c:pt idx="3">
                  <c:v>Chigorodo</c:v>
                </c:pt>
                <c:pt idx="4">
                  <c:v>Murindo</c:v>
                </c:pt>
                <c:pt idx="5">
                  <c:v>Mutata</c:v>
                </c:pt>
                <c:pt idx="6">
                  <c:v>Necocli</c:v>
                </c:pt>
                <c:pt idx="7">
                  <c:v>San Juan de Urabá</c:v>
                </c:pt>
                <c:pt idx="8">
                  <c:v>San Pedro de Urabá</c:v>
                </c:pt>
                <c:pt idx="9">
                  <c:v>Vigía del Fuerte</c:v>
                </c:pt>
                <c:pt idx="10">
                  <c:v>Turbo</c:v>
                </c:pt>
              </c:strCache>
            </c:strRef>
          </c:cat>
          <c:val>
            <c:numRef>
              <c:f>'CONSOLIDADO-ACUEDUCTOSRURALES2'!$B$39:$B$49</c:f>
              <c:numCache>
                <c:formatCode>General</c:formatCode>
                <c:ptCount val="11"/>
                <c:pt idx="0">
                  <c:v>10</c:v>
                </c:pt>
                <c:pt idx="1">
                  <c:v>25</c:v>
                </c:pt>
                <c:pt idx="2">
                  <c:v>17</c:v>
                </c:pt>
                <c:pt idx="3">
                  <c:v>4</c:v>
                </c:pt>
                <c:pt idx="4">
                  <c:v>0</c:v>
                </c:pt>
                <c:pt idx="5">
                  <c:v>14</c:v>
                </c:pt>
                <c:pt idx="6">
                  <c:v>23</c:v>
                </c:pt>
                <c:pt idx="7">
                  <c:v>4</c:v>
                </c:pt>
                <c:pt idx="8">
                  <c:v>6</c:v>
                </c:pt>
                <c:pt idx="9">
                  <c:v>0</c:v>
                </c:pt>
                <c:pt idx="10">
                  <c:v>14</c:v>
                </c:pt>
              </c:numCache>
            </c:numRef>
          </c:val>
          <c:extLst>
            <c:ext xmlns:c16="http://schemas.microsoft.com/office/drawing/2014/chart" uri="{C3380CC4-5D6E-409C-BE32-E72D297353CC}">
              <c16:uniqueId val="{00000000-124F-406B-B7EA-AF45F6425FC4}"/>
            </c:ext>
          </c:extLst>
        </c:ser>
        <c:dLbls>
          <c:showLegendKey val="0"/>
          <c:showVal val="0"/>
          <c:showCatName val="0"/>
          <c:showSerName val="0"/>
          <c:showPercent val="0"/>
          <c:showBubbleSize val="0"/>
        </c:dLbls>
        <c:gapWidth val="164"/>
        <c:overlap val="-78"/>
        <c:axId val="187421584"/>
        <c:axId val="187422144"/>
      </c:barChart>
      <c:barChart>
        <c:barDir val="col"/>
        <c:grouping val="clustered"/>
        <c:varyColors val="0"/>
        <c:ser>
          <c:idx val="1"/>
          <c:order val="1"/>
          <c:tx>
            <c:strRef>
              <c:f>'CONSOLIDADO-ACUEDUCTOSRURALES2'!$C$38</c:f>
              <c:strCache>
                <c:ptCount val="1"/>
                <c:pt idx="0">
                  <c:v>%</c:v>
                </c:pt>
              </c:strCache>
            </c:strRef>
          </c:tx>
          <c:spPr>
            <a:pattFill prst="ltDnDiag">
              <a:fgClr>
                <a:schemeClr val="tx2">
                  <a:lumMod val="60000"/>
                  <a:lumOff val="40000"/>
                </a:schemeClr>
              </a:fgClr>
              <a:bgClr>
                <a:schemeClr val="bg1"/>
              </a:bgClr>
            </a:pattFill>
            <a:scene3d>
              <a:camera prst="orthographicFront"/>
              <a:lightRig rig="threePt" dir="t"/>
            </a:scene3d>
            <a:sp3d/>
          </c:spPr>
          <c:invertIfNegative val="0"/>
          <c:dLbls>
            <c:spPr>
              <a:noFill/>
              <a:ln w="25400">
                <a:noFill/>
              </a:ln>
            </c:spPr>
            <c:txPr>
              <a:bodyPr rot="-5400000" vert="horz"/>
              <a:lstStyle/>
              <a:p>
                <a:pPr>
                  <a:defRPr sz="1400" b="1" i="0" u="none" strike="noStrike" baseline="0">
                    <a:solidFill>
                      <a:srgbClr val="000000"/>
                    </a:solidFill>
                    <a:latin typeface="Calibri"/>
                    <a:ea typeface="Calibri"/>
                    <a:cs typeface="Calibri"/>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'CONSOLIDADO-ACUEDUCTOSRURALES2'!$A$8:$A$16</c:f>
              <c:strCache>
                <c:ptCount val="9"/>
                <c:pt idx="0">
                  <c:v>Valle de Aburra</c:v>
                </c:pt>
                <c:pt idx="1">
                  <c:v>Uraba</c:v>
                </c:pt>
                <c:pt idx="2">
                  <c:v>Norte</c:v>
                </c:pt>
                <c:pt idx="3">
                  <c:v>Occidente</c:v>
                </c:pt>
                <c:pt idx="4">
                  <c:v>Suroeste</c:v>
                </c:pt>
                <c:pt idx="5">
                  <c:v>Bajo Cauca</c:v>
                </c:pt>
                <c:pt idx="6">
                  <c:v>Magdalena Medio</c:v>
                </c:pt>
                <c:pt idx="7">
                  <c:v>Nordeste </c:v>
                </c:pt>
                <c:pt idx="8">
                  <c:v>Oriente</c:v>
                </c:pt>
              </c:strCache>
            </c:strRef>
          </c:cat>
          <c:val>
            <c:numRef>
              <c:f>'CONSOLIDADO-ACUEDUCTOSRURALES2'!$C$39:$C$49</c:f>
              <c:numCache>
                <c:formatCode>0.0</c:formatCode>
                <c:ptCount val="11"/>
                <c:pt idx="0">
                  <c:v>8.5470085470085468</c:v>
                </c:pt>
                <c:pt idx="1">
                  <c:v>21.367521367521366</c:v>
                </c:pt>
                <c:pt idx="2">
                  <c:v>14.529914529914532</c:v>
                </c:pt>
                <c:pt idx="3">
                  <c:v>3.4188034188034191</c:v>
                </c:pt>
                <c:pt idx="4">
                  <c:v>0</c:v>
                </c:pt>
                <c:pt idx="5">
                  <c:v>11.965811965811966</c:v>
                </c:pt>
                <c:pt idx="6">
                  <c:v>19.658119658119659</c:v>
                </c:pt>
                <c:pt idx="7">
                  <c:v>3.4188034188034191</c:v>
                </c:pt>
                <c:pt idx="8">
                  <c:v>5.1282051282051277</c:v>
                </c:pt>
                <c:pt idx="9">
                  <c:v>0</c:v>
                </c:pt>
                <c:pt idx="10">
                  <c:v>11.965811965811966</c:v>
                </c:pt>
              </c:numCache>
            </c:numRef>
          </c:val>
          <c:extLst>
            <c:ext xmlns:c16="http://schemas.microsoft.com/office/drawing/2014/chart" uri="{C3380CC4-5D6E-409C-BE32-E72D297353CC}">
              <c16:uniqueId val="{00000001-124F-406B-B7EA-AF45F6425FC4}"/>
            </c:ext>
          </c:extLst>
        </c:ser>
        <c:dLbls>
          <c:showLegendKey val="0"/>
          <c:showVal val="0"/>
          <c:showCatName val="0"/>
          <c:showSerName val="0"/>
          <c:showPercent val="0"/>
          <c:showBubbleSize val="0"/>
        </c:dLbls>
        <c:gapWidth val="182"/>
        <c:axId val="187422704"/>
        <c:axId val="187423264"/>
      </c:barChart>
      <c:catAx>
        <c:axId val="187421584"/>
        <c:scaling>
          <c:orientation val="minMax"/>
        </c:scaling>
        <c:delete val="0"/>
        <c:axPos val="b"/>
        <c:numFmt formatCode="General" sourceLinked="1"/>
        <c:majorTickMark val="none"/>
        <c:minorTickMark val="none"/>
        <c:tickLblPos val="nextTo"/>
        <c:txPr>
          <a:bodyPr rot="-3360000" vert="horz"/>
          <a:lstStyle/>
          <a:p>
            <a:pPr>
              <a:defRPr sz="1400" b="0" i="0" u="none" strike="noStrike" baseline="0">
                <a:solidFill>
                  <a:srgbClr val="000000"/>
                </a:solidFill>
                <a:latin typeface="Calibri"/>
                <a:ea typeface="Calibri"/>
                <a:cs typeface="Calibri"/>
              </a:defRPr>
            </a:pPr>
            <a:endParaRPr lang="es-ES"/>
          </a:p>
        </c:txPr>
        <c:crossAx val="187422144"/>
        <c:crossesAt val="0"/>
        <c:auto val="1"/>
        <c:lblAlgn val="ctr"/>
        <c:lblOffset val="100"/>
        <c:noMultiLvlLbl val="0"/>
      </c:catAx>
      <c:valAx>
        <c:axId val="187422144"/>
        <c:scaling>
          <c:orientation val="minMax"/>
          <c:max val="30"/>
          <c:min val="0"/>
        </c:scaling>
        <c:delete val="0"/>
        <c:axPos val="l"/>
        <c:majorGridlines/>
        <c:title>
          <c:tx>
            <c:rich>
              <a:bodyPr/>
              <a:lstStyle/>
              <a:p>
                <a:pPr>
                  <a:defRPr sz="1800" b="1" i="0" u="none" strike="noStrike" baseline="0">
                    <a:solidFill>
                      <a:srgbClr val="000000"/>
                    </a:solidFill>
                    <a:latin typeface="Calibri"/>
                    <a:ea typeface="Calibri"/>
                    <a:cs typeface="Calibri"/>
                  </a:defRPr>
                </a:pPr>
                <a:r>
                  <a:rPr lang="es-CO"/>
                  <a:t>Numero de Sistemas</a:t>
                </a:r>
              </a:p>
            </c:rich>
          </c:tx>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187421584"/>
        <c:crosses val="autoZero"/>
        <c:crossBetween val="between"/>
        <c:majorUnit val="5"/>
      </c:valAx>
      <c:catAx>
        <c:axId val="187422704"/>
        <c:scaling>
          <c:orientation val="minMax"/>
        </c:scaling>
        <c:delete val="1"/>
        <c:axPos val="b"/>
        <c:numFmt formatCode="General" sourceLinked="1"/>
        <c:majorTickMark val="out"/>
        <c:minorTickMark val="none"/>
        <c:tickLblPos val="nextTo"/>
        <c:crossAx val="187423264"/>
        <c:crosses val="autoZero"/>
        <c:auto val="1"/>
        <c:lblAlgn val="ctr"/>
        <c:lblOffset val="100"/>
        <c:noMultiLvlLbl val="0"/>
      </c:catAx>
      <c:valAx>
        <c:axId val="187423264"/>
        <c:scaling>
          <c:orientation val="minMax"/>
          <c:max val="40"/>
        </c:scaling>
        <c:delete val="0"/>
        <c:axPos val="r"/>
        <c:title>
          <c:tx>
            <c:rich>
              <a:bodyPr/>
              <a:lstStyle/>
              <a:p>
                <a:pPr>
                  <a:defRPr sz="2000" b="1" i="0" u="none" strike="noStrike" baseline="0">
                    <a:solidFill>
                      <a:srgbClr val="000000"/>
                    </a:solidFill>
                    <a:latin typeface="Calibri"/>
                    <a:ea typeface="Calibri"/>
                    <a:cs typeface="Calibri"/>
                  </a:defRPr>
                </a:pPr>
                <a:r>
                  <a:rPr lang="es-CO"/>
                  <a:t>Porcentaje</a:t>
                </a:r>
              </a:p>
            </c:rich>
          </c:tx>
          <c:layout/>
          <c:overlay val="0"/>
        </c:title>
        <c:numFmt formatCode="0.0" sourceLinked="1"/>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187422704"/>
        <c:crosses val="max"/>
        <c:crossBetween val="between"/>
      </c:valAx>
      <c:spPr>
        <a:solidFill>
          <a:sysClr val="window" lastClr="FFFFFF"/>
        </a:solidFill>
        <a:scene3d>
          <a:camera prst="orthographicFront"/>
          <a:lightRig rig="threePt" dir="t"/>
        </a:scene3d>
        <a:sp3d>
          <a:bevelT/>
          <a:bevelB/>
        </a:sp3d>
      </c:spPr>
    </c:plotArea>
    <c:legend>
      <c:legendPos val="t"/>
      <c:layout>
        <c:manualLayout>
          <c:xMode val="edge"/>
          <c:yMode val="edge"/>
          <c:x val="0.29130154415977189"/>
          <c:y val="0.92454863142107235"/>
          <c:w val="0.4600726114819404"/>
          <c:h val="7.0264616922884646E-2"/>
        </c:manualLayout>
      </c:layout>
      <c:overlay val="0"/>
      <c:txPr>
        <a:bodyPr/>
        <a:lstStyle/>
        <a:p>
          <a:pPr>
            <a:defRPr sz="1100" b="1" i="0" u="none" strike="noStrike" baseline="0">
              <a:solidFill>
                <a:srgbClr val="000000"/>
              </a:solidFill>
              <a:latin typeface="Arial"/>
              <a:ea typeface="Arial"/>
              <a:cs typeface="Arial"/>
            </a:defRPr>
          </a:pPr>
          <a:endParaRPr lang="es-ES"/>
        </a:p>
      </c:txPr>
    </c:legend>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6</a:t>
            </a:r>
            <a:r>
              <a:rPr lang="es-CO" sz="1200" b="0" i="0" u="none" strike="noStrike" baseline="0">
                <a:solidFill>
                  <a:srgbClr val="000000"/>
                </a:solidFill>
                <a:latin typeface="Arial"/>
                <a:cs typeface="Arial"/>
              </a:rPr>
              <a:t>. Numero y porcentaje de acueductos rurales por  nivel de riesgo sanitario  subregión Uraba - Antioquia - Colombia  2020</a:t>
            </a:r>
          </a:p>
        </c:rich>
      </c:tx>
      <c:layout/>
      <c:overlay val="1"/>
      <c:spPr>
        <a:scene3d>
          <a:camera prst="orthographicFront"/>
          <a:lightRig rig="threePt" dir="t"/>
        </a:scene3d>
        <a:sp3d>
          <a:bevelB/>
        </a:sp3d>
      </c:spPr>
    </c:title>
    <c:autoTitleDeleted val="0"/>
    <c:plotArea>
      <c:layout>
        <c:manualLayout>
          <c:layoutTarget val="inner"/>
          <c:xMode val="edge"/>
          <c:yMode val="edge"/>
          <c:x val="0.21014317301823926"/>
          <c:y val="0.2080573725184732"/>
          <c:w val="0.69094811687293856"/>
          <c:h val="0.66975581216643609"/>
        </c:manualLayout>
      </c:layout>
      <c:barChart>
        <c:barDir val="bar"/>
        <c:grouping val="stacked"/>
        <c:varyColors val="0"/>
        <c:ser>
          <c:idx val="1"/>
          <c:order val="1"/>
          <c:tx>
            <c:strRef>
              <c:f>'CONSOLIDADO-ACUEDUCTOSRURALES2'!$B$38</c:f>
              <c:strCache>
                <c:ptCount val="1"/>
                <c:pt idx="0">
                  <c:v>Número de Sistemas</c:v>
                </c:pt>
              </c:strCache>
            </c:strRef>
          </c:tx>
          <c:spPr>
            <a:solidFill>
              <a:schemeClr val="bg1">
                <a:lumMod val="85000"/>
              </a:schemeClr>
            </a:solidFill>
          </c:spPr>
          <c:invertIfNegative val="0"/>
          <c:dLbls>
            <c:dLbl>
              <c:idx val="0"/>
              <c:layout>
                <c:manualLayout>
                  <c:x val="5.5908513341804321E-2"/>
                  <c:y val="5.126004271905609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AD-46E9-8A51-C478B93727B6}"/>
                </c:ext>
              </c:extLst>
            </c:dLbl>
            <c:dLbl>
              <c:idx val="1"/>
              <c:layout>
                <c:manualLayout>
                  <c:x val="4.5743195696471839E-2"/>
                  <c:y val="3.2268193866502045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3AD-46E9-8A51-C478B93727B6}"/>
                </c:ext>
              </c:extLst>
            </c:dLbl>
            <c:dLbl>
              <c:idx val="2"/>
              <c:layout>
                <c:manualLayout>
                  <c:x val="3.8966539601863616E-2"/>
                  <c:y val="2.592693154734968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3AD-46E9-8A51-C478B93727B6}"/>
                </c:ext>
              </c:extLst>
            </c:dLbl>
            <c:dLbl>
              <c:idx val="3"/>
              <c:layout>
                <c:manualLayout>
                  <c:x val="8.3015671325709514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3AD-46E9-8A51-C478B93727B6}"/>
                </c:ext>
              </c:extLst>
            </c:dLbl>
            <c:dLbl>
              <c:idx val="4"/>
              <c:layout>
                <c:manualLayout>
                  <c:x val="0.35069885641677256"/>
                  <c:y val="2.568155991995206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3AD-46E9-8A51-C478B93727B6}"/>
                </c:ext>
              </c:extLst>
            </c:dLbl>
            <c:dLbl>
              <c:idx val="5"/>
              <c:layout>
                <c:manualLayout>
                  <c:x val="0.31703035214626124"/>
                  <c:y val="5.10493659556923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3AD-46E9-8A51-C478B93727B6}"/>
                </c:ext>
              </c:extLst>
            </c:dLbl>
            <c:spPr>
              <a:noFill/>
              <a:ln>
                <a:noFill/>
              </a:ln>
              <a:effectLst/>
            </c:spPr>
            <c:txPr>
              <a:bodyPr/>
              <a:lstStyle/>
              <a:p>
                <a:pPr>
                  <a:defRPr sz="1100" b="0"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('CONSOLIDADO-ACUEDUCTOSRURALES2'!$D$38,'CONSOLIDADO-ACUEDUCTOSRURALES2'!$F$38,'CONSOLIDADO-ACUEDUCTOSRURALES2'!$H$38,'CONSOLIDADO-ACUEDUCTOSRURALES2'!$J$38,'CONSOLIDADO-ACUEDUCTOSRURALES2'!$L$38,'CONSOLIDADO-ACUEDUCTOSRURALES2'!$N$38)</c:f>
              <c:strCache>
                <c:ptCount val="6"/>
                <c:pt idx="0">
                  <c:v>Sin Riesgo</c:v>
                </c:pt>
                <c:pt idx="1">
                  <c:v>Bajo</c:v>
                </c:pt>
                <c:pt idx="2">
                  <c:v>Medio</c:v>
                </c:pt>
                <c:pt idx="3">
                  <c:v>Alto</c:v>
                </c:pt>
                <c:pt idx="4">
                  <c:v>Inviable Sanitariamente</c:v>
                </c:pt>
                <c:pt idx="5">
                  <c:v>Sin Dato</c:v>
                </c:pt>
              </c:strCache>
            </c:strRef>
          </c:cat>
          <c:val>
            <c:numRef>
              <c:f>('CONSOLIDADO-ACUEDUCTOSRURALES2'!$D$50,'CONSOLIDADO-ACUEDUCTOSRURALES2'!$F$50,'CONSOLIDADO-ACUEDUCTOSRURALES2'!$H$50,'CONSOLIDADO-ACUEDUCTOSRURALES2'!$J$50,'CONSOLIDADO-ACUEDUCTOSRURALES2'!$L$50,'CONSOLIDADO-ACUEDUCTOSRURALES2'!$N$50)</c:f>
              <c:numCache>
                <c:formatCode>General</c:formatCode>
                <c:ptCount val="6"/>
                <c:pt idx="0">
                  <c:v>13</c:v>
                </c:pt>
                <c:pt idx="1">
                  <c:v>0</c:v>
                </c:pt>
                <c:pt idx="2">
                  <c:v>6</c:v>
                </c:pt>
                <c:pt idx="3">
                  <c:v>23</c:v>
                </c:pt>
                <c:pt idx="4">
                  <c:v>59</c:v>
                </c:pt>
                <c:pt idx="5">
                  <c:v>16</c:v>
                </c:pt>
              </c:numCache>
            </c:numRef>
          </c:val>
          <c:extLst>
            <c:ext xmlns:c16="http://schemas.microsoft.com/office/drawing/2014/chart" uri="{C3380CC4-5D6E-409C-BE32-E72D297353CC}">
              <c16:uniqueId val="{00000006-E3AD-46E9-8A51-C478B93727B6}"/>
            </c:ext>
          </c:extLst>
        </c:ser>
        <c:dLbls>
          <c:showLegendKey val="0"/>
          <c:showVal val="0"/>
          <c:showCatName val="0"/>
          <c:showSerName val="0"/>
          <c:showPercent val="0"/>
          <c:showBubbleSize val="0"/>
        </c:dLbls>
        <c:gapWidth val="133"/>
        <c:overlap val="-5"/>
        <c:axId val="187456768"/>
        <c:axId val="187457328"/>
      </c:barChart>
      <c:barChart>
        <c:barDir val="bar"/>
        <c:grouping val="stacked"/>
        <c:varyColors val="0"/>
        <c:ser>
          <c:idx val="0"/>
          <c:order val="0"/>
          <c:tx>
            <c:strRef>
              <c:f>'CONSOLIDADO-ACUEDUCTOSRURALES2'!$C$38</c:f>
              <c:strCache>
                <c:ptCount val="1"/>
                <c:pt idx="0">
                  <c:v>%</c:v>
                </c:pt>
              </c:strCache>
            </c:strRef>
          </c:tx>
          <c:spPr>
            <a:scene3d>
              <a:camera prst="orthographicFront"/>
              <a:lightRig rig="threePt" dir="t"/>
            </a:scene3d>
            <a:sp3d/>
          </c:spPr>
          <c:invertIfNegative val="0"/>
          <c:dPt>
            <c:idx val="0"/>
            <c:invertIfNegative val="0"/>
            <c:bubble3D val="0"/>
            <c:spPr>
              <a:solidFill>
                <a:schemeClr val="tx2">
                  <a:lumMod val="60000"/>
                  <a:lumOff val="40000"/>
                </a:schemeClr>
              </a:solidFill>
              <a:scene3d>
                <a:camera prst="orthographicFront"/>
                <a:lightRig rig="threePt" dir="t"/>
              </a:scene3d>
              <a:sp3d/>
            </c:spPr>
            <c:extLst>
              <c:ext xmlns:c16="http://schemas.microsoft.com/office/drawing/2014/chart" uri="{C3380CC4-5D6E-409C-BE32-E72D297353CC}">
                <c16:uniqueId val="{00000008-E3AD-46E9-8A51-C478B93727B6}"/>
              </c:ext>
            </c:extLst>
          </c:dPt>
          <c:dPt>
            <c:idx val="1"/>
            <c:invertIfNegative val="0"/>
            <c:bubble3D val="0"/>
            <c:spPr>
              <a:solidFill>
                <a:srgbClr val="92D050"/>
              </a:solidFill>
              <a:scene3d>
                <a:camera prst="orthographicFront"/>
                <a:lightRig rig="threePt" dir="t"/>
              </a:scene3d>
              <a:sp3d/>
            </c:spPr>
            <c:extLst>
              <c:ext xmlns:c16="http://schemas.microsoft.com/office/drawing/2014/chart" uri="{C3380CC4-5D6E-409C-BE32-E72D297353CC}">
                <c16:uniqueId val="{0000000A-E3AD-46E9-8A51-C478B93727B6}"/>
              </c:ext>
            </c:extLst>
          </c:dPt>
          <c:dPt>
            <c:idx val="2"/>
            <c:invertIfNegative val="0"/>
            <c:bubble3D val="0"/>
            <c:spPr>
              <a:solidFill>
                <a:srgbClr val="FFFF00"/>
              </a:solidFill>
              <a:scene3d>
                <a:camera prst="orthographicFront"/>
                <a:lightRig rig="threePt" dir="t"/>
              </a:scene3d>
              <a:sp3d/>
            </c:spPr>
            <c:extLst>
              <c:ext xmlns:c16="http://schemas.microsoft.com/office/drawing/2014/chart" uri="{C3380CC4-5D6E-409C-BE32-E72D297353CC}">
                <c16:uniqueId val="{0000000C-E3AD-46E9-8A51-C478B93727B6}"/>
              </c:ext>
            </c:extLst>
          </c:dPt>
          <c:dPt>
            <c:idx val="3"/>
            <c:invertIfNegative val="0"/>
            <c:bubble3D val="0"/>
            <c:spPr>
              <a:solidFill>
                <a:schemeClr val="accent6">
                  <a:lumMod val="75000"/>
                </a:schemeClr>
              </a:solidFill>
              <a:scene3d>
                <a:camera prst="orthographicFront"/>
                <a:lightRig rig="threePt" dir="t"/>
              </a:scene3d>
              <a:sp3d/>
            </c:spPr>
            <c:extLst>
              <c:ext xmlns:c16="http://schemas.microsoft.com/office/drawing/2014/chart" uri="{C3380CC4-5D6E-409C-BE32-E72D297353CC}">
                <c16:uniqueId val="{0000000E-E3AD-46E9-8A51-C478B93727B6}"/>
              </c:ext>
            </c:extLst>
          </c:dPt>
          <c:dPt>
            <c:idx val="4"/>
            <c:invertIfNegative val="0"/>
            <c:bubble3D val="0"/>
            <c:spPr>
              <a:solidFill>
                <a:srgbClr val="C00000"/>
              </a:solidFill>
              <a:scene3d>
                <a:camera prst="orthographicFront"/>
                <a:lightRig rig="threePt" dir="t"/>
              </a:scene3d>
              <a:sp3d/>
            </c:spPr>
            <c:extLst>
              <c:ext xmlns:c16="http://schemas.microsoft.com/office/drawing/2014/chart" uri="{C3380CC4-5D6E-409C-BE32-E72D297353CC}">
                <c16:uniqueId val="{00000010-E3AD-46E9-8A51-C478B93727B6}"/>
              </c:ext>
            </c:extLst>
          </c:dPt>
          <c:dPt>
            <c:idx val="5"/>
            <c:invertIfNegative val="0"/>
            <c:bubble3D val="0"/>
            <c:spPr>
              <a:solidFill>
                <a:schemeClr val="tx1">
                  <a:lumMod val="50000"/>
                  <a:lumOff val="50000"/>
                </a:schemeClr>
              </a:solidFill>
              <a:scene3d>
                <a:camera prst="orthographicFront"/>
                <a:lightRig rig="threePt" dir="t"/>
              </a:scene3d>
              <a:sp3d/>
            </c:spPr>
            <c:extLst>
              <c:ext xmlns:c16="http://schemas.microsoft.com/office/drawing/2014/chart" uri="{C3380CC4-5D6E-409C-BE32-E72D297353CC}">
                <c16:uniqueId val="{00000012-E3AD-46E9-8A51-C478B93727B6}"/>
              </c:ext>
            </c:extLst>
          </c:dPt>
          <c:dLbls>
            <c:dLbl>
              <c:idx val="4"/>
              <c:spPr/>
              <c:txPr>
                <a:bodyPr/>
                <a:lstStyle/>
                <a:p>
                  <a:pPr>
                    <a:defRPr sz="16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10-E3AD-46E9-8A51-C478B93727B6}"/>
                </c:ext>
              </c:extLst>
            </c:dLbl>
            <c:dLbl>
              <c:idx val="5"/>
              <c:spPr/>
              <c:txPr>
                <a:bodyPr/>
                <a:lstStyle/>
                <a:p>
                  <a:pPr>
                    <a:defRPr sz="16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12-E3AD-46E9-8A51-C478B93727B6}"/>
                </c:ext>
              </c:extLst>
            </c:dLbl>
            <c:spPr>
              <a:noFill/>
              <a:ln>
                <a:noFill/>
              </a:ln>
              <a:effectLst/>
            </c:spPr>
            <c:txPr>
              <a:bodyPr/>
              <a:lstStyle/>
              <a:p>
                <a:pPr>
                  <a:defRPr sz="16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('CONSOLIDADO-ACUEDUCTOSRURALES2'!$D$7,'CONSOLIDADO-ACUEDUCTOSRURALES2'!$F$7,'CONSOLIDADO-ACUEDUCTOSRURALES2'!$H$7,'CONSOLIDADO-ACUEDUCTOSRURALES2'!$J$7,'CONSOLIDADO-ACUEDUCTOSRURALES2'!$L$7,'CONSOLIDADO-ACUEDUCTOSRURALES2'!$N$7)</c:f>
              <c:strCache>
                <c:ptCount val="6"/>
                <c:pt idx="0">
                  <c:v>Sin Riesgo</c:v>
                </c:pt>
                <c:pt idx="1">
                  <c:v>Bajo</c:v>
                </c:pt>
                <c:pt idx="2">
                  <c:v>Medio</c:v>
                </c:pt>
                <c:pt idx="3">
                  <c:v>Alto</c:v>
                </c:pt>
                <c:pt idx="4">
                  <c:v>Inviable Sanitariamente</c:v>
                </c:pt>
                <c:pt idx="5">
                  <c:v>Sin Dato</c:v>
                </c:pt>
              </c:strCache>
            </c:strRef>
          </c:cat>
          <c:val>
            <c:numRef>
              <c:f>('CONSOLIDADO-ACUEDUCTOSRURALES2'!$E$50,'CONSOLIDADO-ACUEDUCTOSRURALES2'!$G$50,'CONSOLIDADO-ACUEDUCTOSRURALES2'!$I$50,'CONSOLIDADO-ACUEDUCTOSRURALES2'!$K$50,'CONSOLIDADO-ACUEDUCTOSRURALES2'!$M$50,'CONSOLIDADO-ACUEDUCTOSRURALES2'!$O$50)</c:f>
              <c:numCache>
                <c:formatCode>0.0</c:formatCode>
                <c:ptCount val="6"/>
                <c:pt idx="0">
                  <c:v>11.111111111111111</c:v>
                </c:pt>
                <c:pt idx="1">
                  <c:v>0</c:v>
                </c:pt>
                <c:pt idx="2">
                  <c:v>5.1282051282051277</c:v>
                </c:pt>
                <c:pt idx="3">
                  <c:v>19.658119658119659</c:v>
                </c:pt>
                <c:pt idx="4">
                  <c:v>50.427350427350426</c:v>
                </c:pt>
                <c:pt idx="5">
                  <c:v>13.675213675213676</c:v>
                </c:pt>
              </c:numCache>
            </c:numRef>
          </c:val>
          <c:extLst>
            <c:ext xmlns:c16="http://schemas.microsoft.com/office/drawing/2014/chart" uri="{C3380CC4-5D6E-409C-BE32-E72D297353CC}">
              <c16:uniqueId val="{00000013-E3AD-46E9-8A51-C478B93727B6}"/>
            </c:ext>
          </c:extLst>
        </c:ser>
        <c:dLbls>
          <c:showLegendKey val="0"/>
          <c:showVal val="0"/>
          <c:showCatName val="0"/>
          <c:showSerName val="0"/>
          <c:showPercent val="0"/>
          <c:showBubbleSize val="0"/>
        </c:dLbls>
        <c:gapWidth val="133"/>
        <c:overlap val="-5"/>
        <c:axId val="187457888"/>
        <c:axId val="187458448"/>
      </c:barChart>
      <c:catAx>
        <c:axId val="187456768"/>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s-ES"/>
          </a:p>
        </c:txPr>
        <c:crossAx val="187457328"/>
        <c:crosses val="autoZero"/>
        <c:auto val="1"/>
        <c:lblAlgn val="ctr"/>
        <c:lblOffset val="100"/>
        <c:noMultiLvlLbl val="0"/>
      </c:catAx>
      <c:valAx>
        <c:axId val="187457328"/>
        <c:scaling>
          <c:orientation val="minMax"/>
          <c:max val="65"/>
          <c:min val="0"/>
        </c:scaling>
        <c:delete val="0"/>
        <c:axPos val="b"/>
        <c:majorGridlines/>
        <c:title>
          <c:tx>
            <c:rich>
              <a:bodyPr/>
              <a:lstStyle/>
              <a:p>
                <a:pPr>
                  <a:defRPr sz="1200" b="0" i="0" u="none" strike="noStrike" baseline="0">
                    <a:solidFill>
                      <a:srgbClr val="000000"/>
                    </a:solidFill>
                    <a:latin typeface="Arial"/>
                    <a:ea typeface="Arial"/>
                    <a:cs typeface="Arial"/>
                  </a:defRPr>
                </a:pPr>
                <a:r>
                  <a:rPr lang="es-CO"/>
                  <a:t>Numero  de Acueductos</a:t>
                </a:r>
              </a:p>
            </c:rich>
          </c:tx>
          <c:layout>
            <c:manualLayout>
              <c:xMode val="edge"/>
              <c:yMode val="edge"/>
              <c:x val="0.4403355044405981"/>
              <c:y val="0.9292418970884454"/>
            </c:manualLayout>
          </c:layout>
          <c:overlay val="0"/>
        </c:title>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87456768"/>
        <c:crosses val="autoZero"/>
        <c:crossBetween val="between"/>
      </c:valAx>
      <c:catAx>
        <c:axId val="187457888"/>
        <c:scaling>
          <c:orientation val="minMax"/>
        </c:scaling>
        <c:delete val="1"/>
        <c:axPos val="l"/>
        <c:numFmt formatCode="General" sourceLinked="1"/>
        <c:majorTickMark val="out"/>
        <c:minorTickMark val="none"/>
        <c:tickLblPos val="nextTo"/>
        <c:crossAx val="187458448"/>
        <c:crosses val="autoZero"/>
        <c:auto val="1"/>
        <c:lblAlgn val="ctr"/>
        <c:lblOffset val="100"/>
        <c:noMultiLvlLbl val="0"/>
      </c:catAx>
      <c:valAx>
        <c:axId val="187458448"/>
        <c:scaling>
          <c:orientation val="minMax"/>
          <c:max val="65"/>
          <c:min val="0"/>
        </c:scaling>
        <c:delete val="0"/>
        <c:axPos val="t"/>
        <c:title>
          <c:tx>
            <c:rich>
              <a:bodyPr/>
              <a:lstStyle/>
              <a:p>
                <a:pPr>
                  <a:defRPr sz="1200" b="0" i="0" u="none" strike="noStrike" baseline="0">
                    <a:solidFill>
                      <a:srgbClr val="000000"/>
                    </a:solidFill>
                    <a:latin typeface="Arial"/>
                    <a:ea typeface="Arial"/>
                    <a:cs typeface="Arial"/>
                  </a:defRPr>
                </a:pPr>
                <a:r>
                  <a:rPr lang="es-CO"/>
                  <a:t>Porcentaje</a:t>
                </a:r>
              </a:p>
            </c:rich>
          </c:tx>
          <c:layout>
            <c:manualLayout>
              <c:xMode val="edge"/>
              <c:yMode val="edge"/>
              <c:x val="0.49828972776115821"/>
              <c:y val="0.10547355999104763"/>
            </c:manualLayout>
          </c:layout>
          <c:overlay val="0"/>
        </c:title>
        <c:numFmt formatCode="0.0"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87457888"/>
        <c:crosses val="max"/>
        <c:crossBetween val="between"/>
      </c:valAx>
      <c:spPr>
        <a:noFill/>
        <a:ln w="25400">
          <a:noFill/>
        </a:ln>
      </c:spPr>
    </c:plotArea>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7</a:t>
            </a:r>
            <a:r>
              <a:rPr lang="es-CO" sz="1200" b="0" i="0" u="none" strike="noStrike" baseline="0">
                <a:solidFill>
                  <a:srgbClr val="000000"/>
                </a:solidFill>
                <a:latin typeface="Arial"/>
                <a:cs typeface="Arial"/>
              </a:rPr>
              <a:t>. Número y porcentaje de acueductos rurales  subregión </a:t>
            </a:r>
          </a:p>
          <a:p>
            <a:pPr>
              <a:defRPr sz="1000" b="0" i="0" u="none" strike="noStrike" baseline="0">
                <a:solidFill>
                  <a:srgbClr val="000000"/>
                </a:solidFill>
                <a:latin typeface="Calibri"/>
                <a:ea typeface="Calibri"/>
                <a:cs typeface="Calibri"/>
              </a:defRPr>
            </a:pPr>
            <a:r>
              <a:rPr lang="es-CO" sz="1200" b="0" i="0" u="none" strike="noStrike" baseline="0">
                <a:solidFill>
                  <a:srgbClr val="000000"/>
                </a:solidFill>
                <a:latin typeface="Arial"/>
                <a:cs typeface="Arial"/>
              </a:rPr>
              <a:t>Norte - Antioquia- Colombia 2020</a:t>
            </a:r>
          </a:p>
        </c:rich>
      </c:tx>
      <c:layout>
        <c:manualLayout>
          <c:xMode val="edge"/>
          <c:yMode val="edge"/>
          <c:x val="0.17977430486163851"/>
          <c:y val="1.1976061358088994E-2"/>
        </c:manualLayout>
      </c:layout>
      <c:overlay val="0"/>
    </c:title>
    <c:autoTitleDeleted val="0"/>
    <c:plotArea>
      <c:layout>
        <c:manualLayout>
          <c:layoutTarget val="inner"/>
          <c:xMode val="edge"/>
          <c:yMode val="edge"/>
          <c:x val="0.16299738642606248"/>
          <c:y val="0.11739752530933634"/>
          <c:w val="0.71471119175642162"/>
          <c:h val="0.62037605299337584"/>
        </c:manualLayout>
      </c:layout>
      <c:barChart>
        <c:barDir val="col"/>
        <c:grouping val="clustered"/>
        <c:varyColors val="0"/>
        <c:ser>
          <c:idx val="0"/>
          <c:order val="0"/>
          <c:tx>
            <c:strRef>
              <c:f>'CONSOLIDADO-ACUEDUCTOSRURALES2'!$B$55</c:f>
              <c:strCache>
                <c:ptCount val="1"/>
                <c:pt idx="0">
                  <c:v>Número de Sistemas</c:v>
                </c:pt>
              </c:strCache>
            </c:strRef>
          </c:tx>
          <c:spPr>
            <a:solidFill>
              <a:schemeClr val="tx1">
                <a:lumMod val="65000"/>
                <a:lumOff val="35000"/>
              </a:schemeClr>
            </a:solidFill>
            <a:scene3d>
              <a:camera prst="orthographicFront"/>
              <a:lightRig rig="threePt" dir="t"/>
            </a:scene3d>
            <a:sp3d/>
          </c:spPr>
          <c:invertIfNegative val="0"/>
          <c:dLbls>
            <c:spPr>
              <a:noFill/>
              <a:ln w="25400">
                <a:noFill/>
              </a:ln>
            </c:spPr>
            <c:txPr>
              <a:bodyPr rot="-5400000" vert="horz"/>
              <a:lstStyle/>
              <a:p>
                <a:pPr>
                  <a:defRPr sz="14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'CONSOLIDADO-ACUEDUCTOSRURALES2'!$A$56:$A$72</c:f>
              <c:strCache>
                <c:ptCount val="17"/>
                <c:pt idx="0">
                  <c:v>Angostura</c:v>
                </c:pt>
                <c:pt idx="1">
                  <c:v>Belmira</c:v>
                </c:pt>
                <c:pt idx="2">
                  <c:v>Briceño</c:v>
                </c:pt>
                <c:pt idx="3">
                  <c:v>Campamento</c:v>
                </c:pt>
                <c:pt idx="4">
                  <c:v>Carolina del Príncipe</c:v>
                </c:pt>
                <c:pt idx="5">
                  <c:v>Don Matías</c:v>
                </c:pt>
                <c:pt idx="6">
                  <c:v>Entrerríos</c:v>
                </c:pt>
                <c:pt idx="7">
                  <c:v>Gómez Plata</c:v>
                </c:pt>
                <c:pt idx="8">
                  <c:v>Guadalupe</c:v>
                </c:pt>
                <c:pt idx="9">
                  <c:v>Ituango</c:v>
                </c:pt>
                <c:pt idx="10">
                  <c:v>San Andrés de Cuerquia</c:v>
                </c:pt>
                <c:pt idx="11">
                  <c:v>San José de la Montaña</c:v>
                </c:pt>
                <c:pt idx="12">
                  <c:v>San Pedro de los Milagros</c:v>
                </c:pt>
                <c:pt idx="13">
                  <c:v>Santa Rosa de Osos</c:v>
                </c:pt>
                <c:pt idx="14">
                  <c:v>Toledo</c:v>
                </c:pt>
                <c:pt idx="15">
                  <c:v>Valdivia</c:v>
                </c:pt>
                <c:pt idx="16">
                  <c:v>Yarumal</c:v>
                </c:pt>
              </c:strCache>
            </c:strRef>
          </c:cat>
          <c:val>
            <c:numRef>
              <c:f>'CONSOLIDADO-ACUEDUCTOSRURALES2'!$B$56:$B$72</c:f>
              <c:numCache>
                <c:formatCode>General</c:formatCode>
                <c:ptCount val="17"/>
                <c:pt idx="0">
                  <c:v>24</c:v>
                </c:pt>
                <c:pt idx="1">
                  <c:v>9</c:v>
                </c:pt>
                <c:pt idx="2">
                  <c:v>13</c:v>
                </c:pt>
                <c:pt idx="3">
                  <c:v>17</c:v>
                </c:pt>
                <c:pt idx="4">
                  <c:v>7</c:v>
                </c:pt>
                <c:pt idx="5">
                  <c:v>5</c:v>
                </c:pt>
                <c:pt idx="6">
                  <c:v>11</c:v>
                </c:pt>
                <c:pt idx="7">
                  <c:v>21</c:v>
                </c:pt>
                <c:pt idx="8">
                  <c:v>14</c:v>
                </c:pt>
                <c:pt idx="9">
                  <c:v>38</c:v>
                </c:pt>
                <c:pt idx="10">
                  <c:v>20</c:v>
                </c:pt>
                <c:pt idx="11">
                  <c:v>4</c:v>
                </c:pt>
                <c:pt idx="12">
                  <c:v>16</c:v>
                </c:pt>
                <c:pt idx="13">
                  <c:v>30</c:v>
                </c:pt>
                <c:pt idx="14">
                  <c:v>12</c:v>
                </c:pt>
                <c:pt idx="15">
                  <c:v>8</c:v>
                </c:pt>
                <c:pt idx="16">
                  <c:v>12</c:v>
                </c:pt>
              </c:numCache>
            </c:numRef>
          </c:val>
          <c:extLst>
            <c:ext xmlns:c16="http://schemas.microsoft.com/office/drawing/2014/chart" uri="{C3380CC4-5D6E-409C-BE32-E72D297353CC}">
              <c16:uniqueId val="{00000000-DADD-47E2-93AD-3D8456511C5F}"/>
            </c:ext>
          </c:extLst>
        </c:ser>
        <c:dLbls>
          <c:showLegendKey val="0"/>
          <c:showVal val="0"/>
          <c:showCatName val="0"/>
          <c:showSerName val="0"/>
          <c:showPercent val="0"/>
          <c:showBubbleSize val="0"/>
        </c:dLbls>
        <c:gapWidth val="115"/>
        <c:overlap val="-73"/>
        <c:axId val="187461808"/>
        <c:axId val="187462368"/>
      </c:barChart>
      <c:barChart>
        <c:barDir val="col"/>
        <c:grouping val="clustered"/>
        <c:varyColors val="0"/>
        <c:ser>
          <c:idx val="1"/>
          <c:order val="1"/>
          <c:tx>
            <c:strRef>
              <c:f>'CONSOLIDADO-ACUEDUCTOSRURALES2'!$C$55</c:f>
              <c:strCache>
                <c:ptCount val="1"/>
                <c:pt idx="0">
                  <c:v>%</c:v>
                </c:pt>
              </c:strCache>
            </c:strRef>
          </c:tx>
          <c:spPr>
            <a:pattFill prst="ltDnDiag">
              <a:fgClr>
                <a:schemeClr val="tx2">
                  <a:lumMod val="60000"/>
                  <a:lumOff val="40000"/>
                </a:schemeClr>
              </a:fgClr>
              <a:bgClr>
                <a:schemeClr val="bg1"/>
              </a:bgClr>
            </a:pattFill>
            <a:scene3d>
              <a:camera prst="orthographicFront"/>
              <a:lightRig rig="threePt" dir="t"/>
            </a:scene3d>
            <a:sp3d/>
          </c:spPr>
          <c:invertIfNegative val="0"/>
          <c:dLbls>
            <c:spPr>
              <a:noFill/>
              <a:ln w="25400">
                <a:noFill/>
              </a:ln>
            </c:spPr>
            <c:txPr>
              <a:bodyPr rot="-5400000" vert="horz"/>
              <a:lstStyle/>
              <a:p>
                <a:pPr>
                  <a:defRPr sz="1400" b="1" i="0" u="none" strike="noStrike" baseline="0">
                    <a:solidFill>
                      <a:srgbClr val="000000"/>
                    </a:solidFill>
                    <a:latin typeface="Calibri"/>
                    <a:ea typeface="Calibri"/>
                    <a:cs typeface="Calibri"/>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'CONSOLIDADO-ACUEDUCTOSRURALES2'!$A$56:$A$72</c:f>
              <c:strCache>
                <c:ptCount val="17"/>
                <c:pt idx="0">
                  <c:v>Angostura</c:v>
                </c:pt>
                <c:pt idx="1">
                  <c:v>Belmira</c:v>
                </c:pt>
                <c:pt idx="2">
                  <c:v>Briceño</c:v>
                </c:pt>
                <c:pt idx="3">
                  <c:v>Campamento</c:v>
                </c:pt>
                <c:pt idx="4">
                  <c:v>Carolina del Príncipe</c:v>
                </c:pt>
                <c:pt idx="5">
                  <c:v>Don Matías</c:v>
                </c:pt>
                <c:pt idx="6">
                  <c:v>Entrerríos</c:v>
                </c:pt>
                <c:pt idx="7">
                  <c:v>Gómez Plata</c:v>
                </c:pt>
                <c:pt idx="8">
                  <c:v>Guadalupe</c:v>
                </c:pt>
                <c:pt idx="9">
                  <c:v>Ituango</c:v>
                </c:pt>
                <c:pt idx="10">
                  <c:v>San Andrés de Cuerquia</c:v>
                </c:pt>
                <c:pt idx="11">
                  <c:v>San José de la Montaña</c:v>
                </c:pt>
                <c:pt idx="12">
                  <c:v>San Pedro de los Milagros</c:v>
                </c:pt>
                <c:pt idx="13">
                  <c:v>Santa Rosa de Osos</c:v>
                </c:pt>
                <c:pt idx="14">
                  <c:v>Toledo</c:v>
                </c:pt>
                <c:pt idx="15">
                  <c:v>Valdivia</c:v>
                </c:pt>
                <c:pt idx="16">
                  <c:v>Yarumal</c:v>
                </c:pt>
              </c:strCache>
            </c:strRef>
          </c:cat>
          <c:val>
            <c:numRef>
              <c:f>'CONSOLIDADO-ACUEDUCTOSRURALES2'!$C$56:$C$72</c:f>
              <c:numCache>
                <c:formatCode>0.0</c:formatCode>
                <c:ptCount val="17"/>
                <c:pt idx="0">
                  <c:v>9.1954022988505741</c:v>
                </c:pt>
                <c:pt idx="1">
                  <c:v>3.4482758620689653</c:v>
                </c:pt>
                <c:pt idx="2">
                  <c:v>4.980842911877394</c:v>
                </c:pt>
                <c:pt idx="3">
                  <c:v>6.5134099616858236</c:v>
                </c:pt>
                <c:pt idx="4">
                  <c:v>2.6819923371647509</c:v>
                </c:pt>
                <c:pt idx="5">
                  <c:v>1.9157088122605364</c:v>
                </c:pt>
                <c:pt idx="6">
                  <c:v>4.2145593869731801</c:v>
                </c:pt>
                <c:pt idx="7">
                  <c:v>8.0459770114942533</c:v>
                </c:pt>
                <c:pt idx="8">
                  <c:v>5.3639846743295019</c:v>
                </c:pt>
                <c:pt idx="9">
                  <c:v>14.559386973180077</c:v>
                </c:pt>
                <c:pt idx="10">
                  <c:v>7.6628352490421454</c:v>
                </c:pt>
                <c:pt idx="11">
                  <c:v>1.5325670498084289</c:v>
                </c:pt>
                <c:pt idx="12">
                  <c:v>6.1302681992337158</c:v>
                </c:pt>
                <c:pt idx="13">
                  <c:v>11.494252873563218</c:v>
                </c:pt>
                <c:pt idx="14">
                  <c:v>4.5977011494252871</c:v>
                </c:pt>
                <c:pt idx="15">
                  <c:v>3.0651340996168579</c:v>
                </c:pt>
                <c:pt idx="16">
                  <c:v>4.5977011494252871</c:v>
                </c:pt>
              </c:numCache>
            </c:numRef>
          </c:val>
          <c:extLst>
            <c:ext xmlns:c16="http://schemas.microsoft.com/office/drawing/2014/chart" uri="{C3380CC4-5D6E-409C-BE32-E72D297353CC}">
              <c16:uniqueId val="{00000001-DADD-47E2-93AD-3D8456511C5F}"/>
            </c:ext>
          </c:extLst>
        </c:ser>
        <c:dLbls>
          <c:showLegendKey val="0"/>
          <c:showVal val="0"/>
          <c:showCatName val="0"/>
          <c:showSerName val="0"/>
          <c:showPercent val="0"/>
          <c:showBubbleSize val="0"/>
        </c:dLbls>
        <c:gapWidth val="130"/>
        <c:axId val="187462928"/>
        <c:axId val="187463488"/>
      </c:barChart>
      <c:catAx>
        <c:axId val="187461808"/>
        <c:scaling>
          <c:orientation val="minMax"/>
        </c:scaling>
        <c:delete val="0"/>
        <c:axPos val="b"/>
        <c:numFmt formatCode="General" sourceLinked="1"/>
        <c:majorTickMark val="none"/>
        <c:minorTickMark val="none"/>
        <c:tickLblPos val="nextTo"/>
        <c:txPr>
          <a:bodyPr rot="-3360000" vert="horz"/>
          <a:lstStyle/>
          <a:p>
            <a:pPr>
              <a:defRPr sz="1400" b="0" i="0" u="none" strike="noStrike" baseline="0">
                <a:solidFill>
                  <a:srgbClr val="000000"/>
                </a:solidFill>
                <a:latin typeface="Calibri"/>
                <a:ea typeface="Calibri"/>
                <a:cs typeface="Calibri"/>
              </a:defRPr>
            </a:pPr>
            <a:endParaRPr lang="es-ES"/>
          </a:p>
        </c:txPr>
        <c:crossAx val="187462368"/>
        <c:crossesAt val="0"/>
        <c:auto val="1"/>
        <c:lblAlgn val="ctr"/>
        <c:lblOffset val="100"/>
        <c:noMultiLvlLbl val="0"/>
      </c:catAx>
      <c:valAx>
        <c:axId val="187462368"/>
        <c:scaling>
          <c:orientation val="minMax"/>
          <c:max val="40"/>
          <c:min val="0"/>
        </c:scaling>
        <c:delete val="0"/>
        <c:axPos val="l"/>
        <c:majorGridlines/>
        <c:title>
          <c:tx>
            <c:rich>
              <a:bodyPr/>
              <a:lstStyle/>
              <a:p>
                <a:pPr>
                  <a:defRPr sz="1800" b="1" i="0" u="none" strike="noStrike" baseline="0">
                    <a:solidFill>
                      <a:srgbClr val="000000"/>
                    </a:solidFill>
                    <a:latin typeface="Calibri"/>
                    <a:ea typeface="Calibri"/>
                    <a:cs typeface="Calibri"/>
                  </a:defRPr>
                </a:pPr>
                <a:r>
                  <a:rPr lang="es-CO"/>
                  <a:t>Numero de Sistemas</a:t>
                </a:r>
              </a:p>
            </c:rich>
          </c:tx>
          <c:layout/>
          <c:overlay val="0"/>
        </c:title>
        <c:numFmt formatCode="#,##0" sourceLinked="0"/>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187461808"/>
        <c:crosses val="autoZero"/>
        <c:crossBetween val="between"/>
        <c:majorUnit val="5"/>
      </c:valAx>
      <c:catAx>
        <c:axId val="187462928"/>
        <c:scaling>
          <c:orientation val="minMax"/>
        </c:scaling>
        <c:delete val="1"/>
        <c:axPos val="b"/>
        <c:numFmt formatCode="General" sourceLinked="1"/>
        <c:majorTickMark val="out"/>
        <c:minorTickMark val="none"/>
        <c:tickLblPos val="nextTo"/>
        <c:crossAx val="187463488"/>
        <c:crosses val="autoZero"/>
        <c:auto val="1"/>
        <c:lblAlgn val="ctr"/>
        <c:lblOffset val="100"/>
        <c:noMultiLvlLbl val="0"/>
      </c:catAx>
      <c:valAx>
        <c:axId val="187463488"/>
        <c:scaling>
          <c:orientation val="minMax"/>
          <c:max val="30"/>
          <c:min val="0"/>
        </c:scaling>
        <c:delete val="0"/>
        <c:axPos val="r"/>
        <c:title>
          <c:tx>
            <c:rich>
              <a:bodyPr/>
              <a:lstStyle/>
              <a:p>
                <a:pPr>
                  <a:defRPr sz="2000" b="1" i="0" u="none" strike="noStrike" baseline="0">
                    <a:solidFill>
                      <a:srgbClr val="000000"/>
                    </a:solidFill>
                    <a:latin typeface="Calibri"/>
                    <a:ea typeface="Calibri"/>
                    <a:cs typeface="Calibri"/>
                  </a:defRPr>
                </a:pPr>
                <a:r>
                  <a:rPr lang="es-CO"/>
                  <a:t>Porcentaje</a:t>
                </a:r>
              </a:p>
            </c:rich>
          </c:tx>
          <c:layout/>
          <c:overlay val="0"/>
        </c:title>
        <c:numFmt formatCode="0.0" sourceLinked="1"/>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187462928"/>
        <c:crosses val="max"/>
        <c:crossBetween val="between"/>
      </c:valAx>
      <c:spPr>
        <a:solidFill>
          <a:sysClr val="window" lastClr="FFFFFF"/>
        </a:solidFill>
        <a:scene3d>
          <a:camera prst="orthographicFront"/>
          <a:lightRig rig="threePt" dir="t"/>
        </a:scene3d>
        <a:sp3d>
          <a:bevelT/>
          <a:bevelB/>
        </a:sp3d>
      </c:spPr>
    </c:plotArea>
    <c:legend>
      <c:legendPos val="t"/>
      <c:layout>
        <c:manualLayout>
          <c:xMode val="edge"/>
          <c:yMode val="edge"/>
          <c:x val="0.29130154415977189"/>
          <c:y val="0.92708824821021885"/>
          <c:w val="0.4600726114819404"/>
          <c:h val="6.0105803895135645E-2"/>
        </c:manualLayout>
      </c:layout>
      <c:overlay val="0"/>
      <c:txPr>
        <a:bodyPr/>
        <a:lstStyle/>
        <a:p>
          <a:pPr>
            <a:defRPr sz="1100" b="1" i="0" u="none" strike="noStrike" baseline="0">
              <a:solidFill>
                <a:srgbClr val="000000"/>
              </a:solidFill>
              <a:latin typeface="Arial"/>
              <a:ea typeface="Arial"/>
              <a:cs typeface="Arial"/>
            </a:defRPr>
          </a:pPr>
          <a:endParaRPr lang="es-ES"/>
        </a:p>
      </c:txPr>
    </c:legend>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8</a:t>
            </a:r>
            <a:r>
              <a:rPr lang="es-CO" sz="1200" b="0" i="0" u="none" strike="noStrike" baseline="0">
                <a:solidFill>
                  <a:srgbClr val="000000"/>
                </a:solidFill>
                <a:latin typeface="Arial"/>
                <a:cs typeface="Arial"/>
              </a:rPr>
              <a:t>. Numero y porcentaje de acueductos rurales por  nivel de riesgo sanitario  subregión Norte - Antioquia - Colombia  2020</a:t>
            </a:r>
          </a:p>
        </c:rich>
      </c:tx>
      <c:layout/>
      <c:overlay val="1"/>
      <c:spPr>
        <a:scene3d>
          <a:camera prst="orthographicFront"/>
          <a:lightRig rig="threePt" dir="t"/>
        </a:scene3d>
        <a:sp3d>
          <a:bevelB/>
        </a:sp3d>
      </c:spPr>
    </c:title>
    <c:autoTitleDeleted val="0"/>
    <c:plotArea>
      <c:layout>
        <c:manualLayout>
          <c:layoutTarget val="inner"/>
          <c:xMode val="edge"/>
          <c:yMode val="edge"/>
          <c:x val="0.21014317301823926"/>
          <c:y val="0.2080573725184732"/>
          <c:w val="0.69094811687293856"/>
          <c:h val="0.66975581216643609"/>
        </c:manualLayout>
      </c:layout>
      <c:barChart>
        <c:barDir val="bar"/>
        <c:grouping val="stacked"/>
        <c:varyColors val="0"/>
        <c:ser>
          <c:idx val="1"/>
          <c:order val="1"/>
          <c:tx>
            <c:strRef>
              <c:f>'CONSOLIDADO-ACUEDUCTOSRURALES2'!$B$55</c:f>
              <c:strCache>
                <c:ptCount val="1"/>
                <c:pt idx="0">
                  <c:v>Número de Sistemas</c:v>
                </c:pt>
              </c:strCache>
            </c:strRef>
          </c:tx>
          <c:spPr>
            <a:solidFill>
              <a:schemeClr val="bg1">
                <a:lumMod val="85000"/>
              </a:schemeClr>
            </a:solidFill>
          </c:spPr>
          <c:invertIfNegative val="0"/>
          <c:dLbls>
            <c:dLbl>
              <c:idx val="0"/>
              <c:layout>
                <c:manualLayout>
                  <c:x val="0.16433701187605684"/>
                  <c:y val="2.571742986498098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D4A-4247-A780-888D2B64B2DC}"/>
                </c:ext>
              </c:extLst>
            </c:dLbl>
            <c:dLbl>
              <c:idx val="1"/>
              <c:layout>
                <c:manualLayout>
                  <c:x val="4.5743195696471839E-2"/>
                  <c:y val="3.2268193866502045E-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D4A-4247-A780-888D2B64B2DC}"/>
                </c:ext>
              </c:extLst>
            </c:dLbl>
            <c:dLbl>
              <c:idx val="2"/>
              <c:layout>
                <c:manualLayout>
                  <c:x val="5.0825921219822143E-2"/>
                  <c:y val="5.145696928279625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D4A-4247-A780-888D2B64B2DC}"/>
                </c:ext>
              </c:extLst>
            </c:dLbl>
            <c:dLbl>
              <c:idx val="3"/>
              <c:layout>
                <c:manualLayout>
                  <c:x val="0.21685726387124099"/>
                  <c:y val="2.552648372686662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D4A-4247-A780-888D2B64B2DC}"/>
                </c:ext>
              </c:extLst>
            </c:dLbl>
            <c:dLbl>
              <c:idx val="4"/>
              <c:layout>
                <c:manualLayout>
                  <c:x val="0.35408685096065645"/>
                  <c:y val="2.568326055605525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D4A-4247-A780-888D2B64B2DC}"/>
                </c:ext>
              </c:extLst>
            </c:dLbl>
            <c:dLbl>
              <c:idx val="5"/>
              <c:layout>
                <c:manualLayout>
                  <c:x val="0.3442610397969631"/>
                  <c:y val="-7.658347109929701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D4A-4247-A780-888D2B64B2DC}"/>
                </c:ext>
              </c:extLst>
            </c:dLbl>
            <c:spPr>
              <a:noFill/>
              <a:ln>
                <a:noFill/>
              </a:ln>
              <a:effectLst/>
            </c:spPr>
            <c:txPr>
              <a:bodyPr/>
              <a:lstStyle/>
              <a:p>
                <a:pPr>
                  <a:defRPr sz="1100" b="0"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('CONSOLIDADO-ACUEDUCTOSRURALES2'!$D$55,'CONSOLIDADO-ACUEDUCTOSRURALES2'!$F$55,'CONSOLIDADO-ACUEDUCTOSRURALES2'!$H$55,'CONSOLIDADO-ACUEDUCTOSRURALES2'!$J$55,'CONSOLIDADO-ACUEDUCTOSRURALES2'!$L$55,'CONSOLIDADO-ACUEDUCTOSRURALES2'!$N$55)</c:f>
              <c:strCache>
                <c:ptCount val="6"/>
                <c:pt idx="0">
                  <c:v>Sin Riesgo</c:v>
                </c:pt>
                <c:pt idx="1">
                  <c:v>Bajo</c:v>
                </c:pt>
                <c:pt idx="2">
                  <c:v>Medio</c:v>
                </c:pt>
                <c:pt idx="3">
                  <c:v>Alto</c:v>
                </c:pt>
                <c:pt idx="4">
                  <c:v>Inviable Sanitariamente</c:v>
                </c:pt>
                <c:pt idx="5">
                  <c:v>Sin Dato</c:v>
                </c:pt>
              </c:strCache>
            </c:strRef>
          </c:cat>
          <c:val>
            <c:numRef>
              <c:f>('CONSOLIDADO-ACUEDUCTOSRURALES2'!$D$73,'CONSOLIDADO-ACUEDUCTOSRURALES2'!$F$73,'CONSOLIDADO-ACUEDUCTOSRURALES2'!$H$73,'CONSOLIDADO-ACUEDUCTOSRURALES2'!$J$73,'CONSOLIDADO-ACUEDUCTOSRURALES2'!$L$73,'CONSOLIDADO-ACUEDUCTOSRURALES2'!$N$73)</c:f>
              <c:numCache>
                <c:formatCode>General</c:formatCode>
                <c:ptCount val="6"/>
                <c:pt idx="0">
                  <c:v>24</c:v>
                </c:pt>
                <c:pt idx="1">
                  <c:v>1</c:v>
                </c:pt>
                <c:pt idx="2">
                  <c:v>13</c:v>
                </c:pt>
                <c:pt idx="3">
                  <c:v>64</c:v>
                </c:pt>
                <c:pt idx="4">
                  <c:v>86</c:v>
                </c:pt>
                <c:pt idx="5">
                  <c:v>73</c:v>
                </c:pt>
              </c:numCache>
            </c:numRef>
          </c:val>
          <c:extLst>
            <c:ext xmlns:c16="http://schemas.microsoft.com/office/drawing/2014/chart" uri="{C3380CC4-5D6E-409C-BE32-E72D297353CC}">
              <c16:uniqueId val="{00000006-AD4A-4247-A780-888D2B64B2DC}"/>
            </c:ext>
          </c:extLst>
        </c:ser>
        <c:dLbls>
          <c:showLegendKey val="0"/>
          <c:showVal val="0"/>
          <c:showCatName val="0"/>
          <c:showSerName val="0"/>
          <c:showPercent val="0"/>
          <c:showBubbleSize val="0"/>
        </c:dLbls>
        <c:gapWidth val="136"/>
        <c:overlap val="-5"/>
        <c:axId val="187538720"/>
        <c:axId val="187539280"/>
      </c:barChart>
      <c:barChart>
        <c:barDir val="bar"/>
        <c:grouping val="stacked"/>
        <c:varyColors val="0"/>
        <c:ser>
          <c:idx val="0"/>
          <c:order val="0"/>
          <c:tx>
            <c:strRef>
              <c:f>'CONSOLIDADO-ACUEDUCTOSRURALES2'!$C$55</c:f>
              <c:strCache>
                <c:ptCount val="1"/>
                <c:pt idx="0">
                  <c:v>%</c:v>
                </c:pt>
              </c:strCache>
            </c:strRef>
          </c:tx>
          <c:spPr>
            <a:scene3d>
              <a:camera prst="orthographicFront"/>
              <a:lightRig rig="threePt" dir="t"/>
            </a:scene3d>
            <a:sp3d/>
          </c:spPr>
          <c:invertIfNegative val="0"/>
          <c:dPt>
            <c:idx val="0"/>
            <c:invertIfNegative val="0"/>
            <c:bubble3D val="0"/>
            <c:spPr>
              <a:solidFill>
                <a:schemeClr val="tx2">
                  <a:lumMod val="60000"/>
                  <a:lumOff val="40000"/>
                </a:schemeClr>
              </a:solidFill>
              <a:scene3d>
                <a:camera prst="orthographicFront"/>
                <a:lightRig rig="threePt" dir="t"/>
              </a:scene3d>
              <a:sp3d/>
            </c:spPr>
            <c:extLst>
              <c:ext xmlns:c16="http://schemas.microsoft.com/office/drawing/2014/chart" uri="{C3380CC4-5D6E-409C-BE32-E72D297353CC}">
                <c16:uniqueId val="{00000008-AD4A-4247-A780-888D2B64B2DC}"/>
              </c:ext>
            </c:extLst>
          </c:dPt>
          <c:dPt>
            <c:idx val="1"/>
            <c:invertIfNegative val="0"/>
            <c:bubble3D val="0"/>
            <c:spPr>
              <a:solidFill>
                <a:srgbClr val="92D050"/>
              </a:solidFill>
              <a:scene3d>
                <a:camera prst="orthographicFront"/>
                <a:lightRig rig="threePt" dir="t"/>
              </a:scene3d>
              <a:sp3d/>
            </c:spPr>
            <c:extLst>
              <c:ext xmlns:c16="http://schemas.microsoft.com/office/drawing/2014/chart" uri="{C3380CC4-5D6E-409C-BE32-E72D297353CC}">
                <c16:uniqueId val="{0000000A-AD4A-4247-A780-888D2B64B2DC}"/>
              </c:ext>
            </c:extLst>
          </c:dPt>
          <c:dPt>
            <c:idx val="2"/>
            <c:invertIfNegative val="0"/>
            <c:bubble3D val="0"/>
            <c:spPr>
              <a:solidFill>
                <a:srgbClr val="FFFF00"/>
              </a:solidFill>
              <a:scene3d>
                <a:camera prst="orthographicFront"/>
                <a:lightRig rig="threePt" dir="t"/>
              </a:scene3d>
              <a:sp3d/>
            </c:spPr>
            <c:extLst>
              <c:ext xmlns:c16="http://schemas.microsoft.com/office/drawing/2014/chart" uri="{C3380CC4-5D6E-409C-BE32-E72D297353CC}">
                <c16:uniqueId val="{0000000C-AD4A-4247-A780-888D2B64B2DC}"/>
              </c:ext>
            </c:extLst>
          </c:dPt>
          <c:dPt>
            <c:idx val="3"/>
            <c:invertIfNegative val="0"/>
            <c:bubble3D val="0"/>
            <c:spPr>
              <a:solidFill>
                <a:schemeClr val="accent6">
                  <a:lumMod val="75000"/>
                </a:schemeClr>
              </a:solidFill>
              <a:scene3d>
                <a:camera prst="orthographicFront"/>
                <a:lightRig rig="threePt" dir="t"/>
              </a:scene3d>
              <a:sp3d/>
            </c:spPr>
            <c:extLst>
              <c:ext xmlns:c16="http://schemas.microsoft.com/office/drawing/2014/chart" uri="{C3380CC4-5D6E-409C-BE32-E72D297353CC}">
                <c16:uniqueId val="{0000000E-AD4A-4247-A780-888D2B64B2DC}"/>
              </c:ext>
            </c:extLst>
          </c:dPt>
          <c:dPt>
            <c:idx val="4"/>
            <c:invertIfNegative val="0"/>
            <c:bubble3D val="0"/>
            <c:spPr>
              <a:solidFill>
                <a:srgbClr val="C00000"/>
              </a:solidFill>
              <a:scene3d>
                <a:camera prst="orthographicFront"/>
                <a:lightRig rig="threePt" dir="t"/>
              </a:scene3d>
              <a:sp3d/>
            </c:spPr>
            <c:extLst>
              <c:ext xmlns:c16="http://schemas.microsoft.com/office/drawing/2014/chart" uri="{C3380CC4-5D6E-409C-BE32-E72D297353CC}">
                <c16:uniqueId val="{00000010-AD4A-4247-A780-888D2B64B2DC}"/>
              </c:ext>
            </c:extLst>
          </c:dPt>
          <c:dPt>
            <c:idx val="5"/>
            <c:invertIfNegative val="0"/>
            <c:bubble3D val="0"/>
            <c:spPr>
              <a:solidFill>
                <a:schemeClr val="tx1">
                  <a:lumMod val="50000"/>
                  <a:lumOff val="50000"/>
                </a:schemeClr>
              </a:solidFill>
              <a:scene3d>
                <a:camera prst="orthographicFront"/>
                <a:lightRig rig="threePt" dir="t"/>
              </a:scene3d>
              <a:sp3d/>
            </c:spPr>
            <c:extLst>
              <c:ext xmlns:c16="http://schemas.microsoft.com/office/drawing/2014/chart" uri="{C3380CC4-5D6E-409C-BE32-E72D297353CC}">
                <c16:uniqueId val="{00000012-AD4A-4247-A780-888D2B64B2DC}"/>
              </c:ext>
            </c:extLst>
          </c:dPt>
          <c:dLbls>
            <c:dLbl>
              <c:idx val="0"/>
              <c:layout>
                <c:manualLayout>
                  <c:x val="-2.4780638125443976E-3"/>
                  <c:y val="5.1703730384718618E-3"/>
                </c:manualLayout>
              </c:layout>
              <c:numFmt formatCode="#,##0.00" sourceLinked="0"/>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D4A-4247-A780-888D2B64B2DC}"/>
                </c:ext>
              </c:extLst>
            </c:dLbl>
            <c:dLbl>
              <c:idx val="2"/>
              <c:layout>
                <c:manualLayout>
                  <c:x val="-7.0223814145214062E-3"/>
                  <c:y val="2.9951698821339763E-3"/>
                </c:manualLayout>
              </c:layout>
              <c:numFmt formatCode="#,##0.00" sourceLinked="0"/>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D4A-4247-A780-888D2B64B2DC}"/>
                </c:ext>
              </c:extLst>
            </c:dLbl>
            <c:dLbl>
              <c:idx val="3"/>
              <c:layout>
                <c:manualLayout>
                  <c:x val="-3.1534082382014827E-2"/>
                  <c:y val="4.7559658105914811E-3"/>
                </c:manualLayout>
              </c:layout>
              <c:numFmt formatCode="#,##0.00" sourceLinked="0"/>
              <c:spPr/>
              <c:txPr>
                <a:bodyPr/>
                <a:lstStyle/>
                <a:p>
                  <a:pPr>
                    <a:defRPr sz="1200" b="1" i="0" u="none" strike="noStrike" baseline="0">
                      <a:solidFill>
                        <a:srgbClr val="000000"/>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D4A-4247-A780-888D2B64B2DC}"/>
                </c:ext>
              </c:extLst>
            </c:dLbl>
            <c:dLbl>
              <c:idx val="4"/>
              <c:layout>
                <c:manualLayout>
                  <c:x val="5.8401784910304564E-3"/>
                  <c:y val="1.7638599772729091E-3"/>
                </c:manualLayout>
              </c:layout>
              <c:numFmt formatCode="#,##0.00" sourceLinked="0"/>
              <c:spPr/>
              <c:txPr>
                <a:bodyPr/>
                <a:lstStyle/>
                <a:p>
                  <a:pPr>
                    <a:defRPr sz="1200" b="1" i="0" u="none" strike="noStrike" baseline="0">
                      <a:solidFill>
                        <a:srgbClr val="FFFFFF"/>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D4A-4247-A780-888D2B64B2DC}"/>
                </c:ext>
              </c:extLst>
            </c:dLbl>
            <c:dLbl>
              <c:idx val="5"/>
              <c:layout>
                <c:manualLayout>
                  <c:x val="7.0845464520238651E-3"/>
                  <c:y val="4.5846280709164232E-3"/>
                </c:manualLayout>
              </c:layout>
              <c:numFmt formatCode="#,##0.00" sourceLinked="0"/>
              <c:spPr/>
              <c:txPr>
                <a:bodyPr/>
                <a:lstStyle/>
                <a:p>
                  <a:pPr>
                    <a:defRPr sz="1200" b="1" i="0" u="none" strike="noStrike" baseline="0">
                      <a:solidFill>
                        <a:srgbClr val="FFFFFF"/>
                      </a:solidFill>
                      <a:latin typeface="Verdana"/>
                      <a:ea typeface="Verdana"/>
                      <a:cs typeface="Verdana"/>
                    </a:defRPr>
                  </a:pPr>
                  <a:endParaRPr lang="es-E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D4A-4247-A780-888D2B64B2DC}"/>
                </c:ext>
              </c:extLst>
            </c:dLbl>
            <c:numFmt formatCode="#,##0.00" sourceLinked="0"/>
            <c:spPr>
              <a:noFill/>
              <a:ln w="25400">
                <a:noFill/>
              </a:ln>
            </c:spPr>
            <c:txPr>
              <a:bodyPr/>
              <a:lstStyle/>
              <a:p>
                <a:pPr>
                  <a:defRPr sz="1200" b="1" i="0" u="none" strike="noStrike" baseline="0">
                    <a:solidFill>
                      <a:srgbClr val="000000"/>
                    </a:solidFill>
                    <a:latin typeface="Verdana"/>
                    <a:ea typeface="Verdana"/>
                    <a:cs typeface="Verdana"/>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('CONSOLIDADO-ACUEDUCTOSRURALES2'!$D$7,'CONSOLIDADO-ACUEDUCTOSRURALES2'!$F$7,'CONSOLIDADO-ACUEDUCTOSRURALES2'!$H$7,'CONSOLIDADO-ACUEDUCTOSRURALES2'!$J$7,'CONSOLIDADO-ACUEDUCTOSRURALES2'!$L$7,'CONSOLIDADO-ACUEDUCTOSRURALES2'!$N$7)</c:f>
              <c:strCache>
                <c:ptCount val="6"/>
                <c:pt idx="0">
                  <c:v>Sin Riesgo</c:v>
                </c:pt>
                <c:pt idx="1">
                  <c:v>Bajo</c:v>
                </c:pt>
                <c:pt idx="2">
                  <c:v>Medio</c:v>
                </c:pt>
                <c:pt idx="3">
                  <c:v>Alto</c:v>
                </c:pt>
                <c:pt idx="4">
                  <c:v>Inviable Sanitariamente</c:v>
                </c:pt>
                <c:pt idx="5">
                  <c:v>Sin Dato</c:v>
                </c:pt>
              </c:strCache>
            </c:strRef>
          </c:cat>
          <c:val>
            <c:numRef>
              <c:f>('CONSOLIDADO-ACUEDUCTOSRURALES2'!$E$73,'CONSOLIDADO-ACUEDUCTOSRURALES2'!$G$73,'CONSOLIDADO-ACUEDUCTOSRURALES2'!$I$73,'CONSOLIDADO-ACUEDUCTOSRURALES2'!$K$73,'CONSOLIDADO-ACUEDUCTOSRURALES2'!$M$73,'CONSOLIDADO-ACUEDUCTOSRURALES2'!$O$73)</c:f>
              <c:numCache>
                <c:formatCode>0.0</c:formatCode>
                <c:ptCount val="6"/>
                <c:pt idx="0">
                  <c:v>9.1954022988505741</c:v>
                </c:pt>
                <c:pt idx="1">
                  <c:v>0.38314176245210724</c:v>
                </c:pt>
                <c:pt idx="2">
                  <c:v>4.980842911877394</c:v>
                </c:pt>
                <c:pt idx="3">
                  <c:v>24.521072796934863</c:v>
                </c:pt>
                <c:pt idx="4">
                  <c:v>32.950191570881223</c:v>
                </c:pt>
                <c:pt idx="5">
                  <c:v>27.969348659003828</c:v>
                </c:pt>
              </c:numCache>
            </c:numRef>
          </c:val>
          <c:extLst>
            <c:ext xmlns:c16="http://schemas.microsoft.com/office/drawing/2014/chart" uri="{C3380CC4-5D6E-409C-BE32-E72D297353CC}">
              <c16:uniqueId val="{00000013-AD4A-4247-A780-888D2B64B2DC}"/>
            </c:ext>
          </c:extLst>
        </c:ser>
        <c:dLbls>
          <c:showLegendKey val="0"/>
          <c:showVal val="0"/>
          <c:showCatName val="0"/>
          <c:showSerName val="0"/>
          <c:showPercent val="0"/>
          <c:showBubbleSize val="0"/>
        </c:dLbls>
        <c:gapWidth val="135"/>
        <c:overlap val="-5"/>
        <c:axId val="187539840"/>
        <c:axId val="187540400"/>
      </c:barChart>
      <c:catAx>
        <c:axId val="187538720"/>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s-ES"/>
          </a:p>
        </c:txPr>
        <c:crossAx val="187539280"/>
        <c:crosses val="autoZero"/>
        <c:auto val="1"/>
        <c:lblAlgn val="ctr"/>
        <c:lblOffset val="100"/>
        <c:noMultiLvlLbl val="0"/>
      </c:catAx>
      <c:valAx>
        <c:axId val="187539280"/>
        <c:scaling>
          <c:orientation val="minMax"/>
          <c:max val="90"/>
          <c:min val="0"/>
        </c:scaling>
        <c:delete val="0"/>
        <c:axPos val="b"/>
        <c:majorGridlines/>
        <c:title>
          <c:tx>
            <c:rich>
              <a:bodyPr/>
              <a:lstStyle/>
              <a:p>
                <a:pPr>
                  <a:defRPr sz="1200" b="0" i="0" u="none" strike="noStrike" baseline="0">
                    <a:solidFill>
                      <a:srgbClr val="000000"/>
                    </a:solidFill>
                    <a:latin typeface="Arial"/>
                    <a:ea typeface="Arial"/>
                    <a:cs typeface="Arial"/>
                  </a:defRPr>
                </a:pPr>
                <a:r>
                  <a:rPr lang="es-CO"/>
                  <a:t>Numero  de Acueductos</a:t>
                </a:r>
              </a:p>
            </c:rich>
          </c:tx>
          <c:layout>
            <c:manualLayout>
              <c:xMode val="edge"/>
              <c:yMode val="edge"/>
              <c:x val="0.4403355044405981"/>
              <c:y val="0.9292419269509119"/>
            </c:manualLayout>
          </c:layout>
          <c:overlay val="0"/>
        </c:title>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87538720"/>
        <c:crosses val="autoZero"/>
        <c:crossBetween val="between"/>
      </c:valAx>
      <c:catAx>
        <c:axId val="187539840"/>
        <c:scaling>
          <c:orientation val="minMax"/>
        </c:scaling>
        <c:delete val="1"/>
        <c:axPos val="l"/>
        <c:numFmt formatCode="General" sourceLinked="1"/>
        <c:majorTickMark val="out"/>
        <c:minorTickMark val="none"/>
        <c:tickLblPos val="nextTo"/>
        <c:crossAx val="187540400"/>
        <c:crosses val="autoZero"/>
        <c:auto val="1"/>
        <c:lblAlgn val="ctr"/>
        <c:lblOffset val="100"/>
        <c:noMultiLvlLbl val="0"/>
      </c:catAx>
      <c:valAx>
        <c:axId val="187540400"/>
        <c:scaling>
          <c:orientation val="minMax"/>
          <c:max val="40"/>
          <c:min val="0"/>
        </c:scaling>
        <c:delete val="0"/>
        <c:axPos val="t"/>
        <c:title>
          <c:tx>
            <c:rich>
              <a:bodyPr/>
              <a:lstStyle/>
              <a:p>
                <a:pPr>
                  <a:defRPr sz="1200" b="0" i="0" u="none" strike="noStrike" baseline="0">
                    <a:solidFill>
                      <a:srgbClr val="000000"/>
                    </a:solidFill>
                    <a:latin typeface="Arial"/>
                    <a:ea typeface="Arial"/>
                    <a:cs typeface="Arial"/>
                  </a:defRPr>
                </a:pPr>
                <a:r>
                  <a:rPr lang="es-CO"/>
                  <a:t>Porcentaje</a:t>
                </a:r>
              </a:p>
            </c:rich>
          </c:tx>
          <c:layout>
            <c:manualLayout>
              <c:xMode val="edge"/>
              <c:yMode val="edge"/>
              <c:x val="0.49828972776115821"/>
              <c:y val="0.10547359662234002"/>
            </c:manualLayout>
          </c:layout>
          <c:overlay val="0"/>
        </c:title>
        <c:numFmt formatCode="0.0"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87539840"/>
        <c:crosses val="max"/>
        <c:crossBetween val="between"/>
      </c:valAx>
      <c:spPr>
        <a:noFill/>
        <a:ln w="25400">
          <a:noFill/>
        </a:ln>
      </c:spPr>
    </c:plotArea>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Arial"/>
                <a:cs typeface="Arial"/>
              </a:rPr>
              <a:t>Gráfico  9</a:t>
            </a:r>
            <a:r>
              <a:rPr lang="es-CO" sz="1200" b="0" i="0" u="none" strike="noStrike" baseline="0">
                <a:solidFill>
                  <a:srgbClr val="000000"/>
                </a:solidFill>
                <a:latin typeface="Arial"/>
                <a:cs typeface="Arial"/>
              </a:rPr>
              <a:t>. Número y porcentaje de acueductos rurales  subregión </a:t>
            </a:r>
          </a:p>
          <a:p>
            <a:pPr>
              <a:defRPr sz="1000" b="0" i="0" u="none" strike="noStrike" baseline="0">
                <a:solidFill>
                  <a:srgbClr val="000000"/>
                </a:solidFill>
                <a:latin typeface="Calibri"/>
                <a:ea typeface="Calibri"/>
                <a:cs typeface="Calibri"/>
              </a:defRPr>
            </a:pPr>
            <a:r>
              <a:rPr lang="es-CO" sz="1200" b="0" i="0" u="none" strike="noStrike" baseline="0">
                <a:solidFill>
                  <a:srgbClr val="000000"/>
                </a:solidFill>
                <a:latin typeface="Arial"/>
                <a:cs typeface="Arial"/>
              </a:rPr>
              <a:t>Occidente - Antioquia- Colombia 2020</a:t>
            </a:r>
          </a:p>
        </c:rich>
      </c:tx>
      <c:layout>
        <c:manualLayout>
          <c:xMode val="edge"/>
          <c:yMode val="edge"/>
          <c:x val="0.17977430486163851"/>
          <c:y val="1.1976032065759222E-2"/>
        </c:manualLayout>
      </c:layout>
      <c:overlay val="0"/>
    </c:title>
    <c:autoTitleDeleted val="0"/>
    <c:plotArea>
      <c:layout>
        <c:manualLayout>
          <c:layoutTarget val="inner"/>
          <c:xMode val="edge"/>
          <c:yMode val="edge"/>
          <c:x val="0.16299738642606248"/>
          <c:y val="0.11739752530933634"/>
          <c:w val="0.71471119175642162"/>
          <c:h val="0.62037605299337584"/>
        </c:manualLayout>
      </c:layout>
      <c:barChart>
        <c:barDir val="col"/>
        <c:grouping val="clustered"/>
        <c:varyColors val="0"/>
        <c:ser>
          <c:idx val="0"/>
          <c:order val="0"/>
          <c:tx>
            <c:strRef>
              <c:f>'CONSOLIDADO-ACUEDUCTOSRURALES2'!$B$78</c:f>
              <c:strCache>
                <c:ptCount val="1"/>
                <c:pt idx="0">
                  <c:v>Número de Sistemas</c:v>
                </c:pt>
              </c:strCache>
            </c:strRef>
          </c:tx>
          <c:spPr>
            <a:solidFill>
              <a:schemeClr val="tx1">
                <a:lumMod val="65000"/>
                <a:lumOff val="35000"/>
              </a:schemeClr>
            </a:solidFill>
            <a:scene3d>
              <a:camera prst="orthographicFront"/>
              <a:lightRig rig="threePt" dir="t"/>
            </a:scene3d>
            <a:sp3d/>
          </c:spPr>
          <c:invertIfNegative val="0"/>
          <c:dLbls>
            <c:spPr>
              <a:noFill/>
              <a:ln w="25400">
                <a:noFill/>
              </a:ln>
            </c:spPr>
            <c:txPr>
              <a:bodyPr rot="-5400000" vert="horz"/>
              <a:lstStyle/>
              <a:p>
                <a:pPr>
                  <a:defRPr sz="14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'CONSOLIDADO-ACUEDUCTOSRURALES2'!$A$79:$A$97</c:f>
              <c:strCache>
                <c:ptCount val="19"/>
                <c:pt idx="0">
                  <c:v>Abriaqui</c:v>
                </c:pt>
                <c:pt idx="1">
                  <c:v>Anza</c:v>
                </c:pt>
                <c:pt idx="2">
                  <c:v>Armenia</c:v>
                </c:pt>
                <c:pt idx="3">
                  <c:v>Buritica</c:v>
                </c:pt>
                <c:pt idx="4">
                  <c:v>Caicedo</c:v>
                </c:pt>
                <c:pt idx="5">
                  <c:v>Cañas gordas</c:v>
                </c:pt>
                <c:pt idx="6">
                  <c:v>Dabeiba</c:v>
                </c:pt>
                <c:pt idx="7">
                  <c:v>Ebejico</c:v>
                </c:pt>
                <c:pt idx="8">
                  <c:v>Frontino</c:v>
                </c:pt>
                <c:pt idx="9">
                  <c:v>Giraldo</c:v>
                </c:pt>
                <c:pt idx="10">
                  <c:v>Heliconia</c:v>
                </c:pt>
                <c:pt idx="11">
                  <c:v>Liborina</c:v>
                </c:pt>
                <c:pt idx="12">
                  <c:v>Olaya</c:v>
                </c:pt>
                <c:pt idx="13">
                  <c:v>Peque</c:v>
                </c:pt>
                <c:pt idx="14">
                  <c:v>Sabanalarga</c:v>
                </c:pt>
                <c:pt idx="15">
                  <c:v>San Jerónimo</c:v>
                </c:pt>
                <c:pt idx="16">
                  <c:v>Santa Fe de Antioquia</c:v>
                </c:pt>
                <c:pt idx="17">
                  <c:v>Sopetran</c:v>
                </c:pt>
                <c:pt idx="18">
                  <c:v>Uramita</c:v>
                </c:pt>
              </c:strCache>
            </c:strRef>
          </c:cat>
          <c:val>
            <c:numRef>
              <c:f>'CONSOLIDADO-ACUEDUCTOSRURALES2'!$B$79:$B$97</c:f>
              <c:numCache>
                <c:formatCode>General</c:formatCode>
                <c:ptCount val="19"/>
                <c:pt idx="0">
                  <c:v>7</c:v>
                </c:pt>
                <c:pt idx="1">
                  <c:v>18</c:v>
                </c:pt>
                <c:pt idx="2">
                  <c:v>4</c:v>
                </c:pt>
                <c:pt idx="3">
                  <c:v>38</c:v>
                </c:pt>
                <c:pt idx="4">
                  <c:v>18</c:v>
                </c:pt>
                <c:pt idx="5">
                  <c:v>70</c:v>
                </c:pt>
                <c:pt idx="6">
                  <c:v>29</c:v>
                </c:pt>
                <c:pt idx="7">
                  <c:v>45</c:v>
                </c:pt>
                <c:pt idx="8">
                  <c:v>46</c:v>
                </c:pt>
                <c:pt idx="9">
                  <c:v>22</c:v>
                </c:pt>
                <c:pt idx="10">
                  <c:v>13</c:v>
                </c:pt>
                <c:pt idx="11">
                  <c:v>34</c:v>
                </c:pt>
                <c:pt idx="12">
                  <c:v>8</c:v>
                </c:pt>
                <c:pt idx="13">
                  <c:v>35</c:v>
                </c:pt>
                <c:pt idx="14">
                  <c:v>26</c:v>
                </c:pt>
                <c:pt idx="15">
                  <c:v>28</c:v>
                </c:pt>
                <c:pt idx="16">
                  <c:v>37</c:v>
                </c:pt>
                <c:pt idx="17">
                  <c:v>27</c:v>
                </c:pt>
                <c:pt idx="18">
                  <c:v>17</c:v>
                </c:pt>
              </c:numCache>
            </c:numRef>
          </c:val>
          <c:extLst>
            <c:ext xmlns:c16="http://schemas.microsoft.com/office/drawing/2014/chart" uri="{C3380CC4-5D6E-409C-BE32-E72D297353CC}">
              <c16:uniqueId val="{00000000-8EBA-4B19-B0D1-CA851B25B12A}"/>
            </c:ext>
          </c:extLst>
        </c:ser>
        <c:dLbls>
          <c:showLegendKey val="0"/>
          <c:showVal val="0"/>
          <c:showCatName val="0"/>
          <c:showSerName val="0"/>
          <c:showPercent val="0"/>
          <c:showBubbleSize val="0"/>
        </c:dLbls>
        <c:gapWidth val="148"/>
        <c:overlap val="-78"/>
        <c:axId val="187543760"/>
        <c:axId val="187934208"/>
      </c:barChart>
      <c:barChart>
        <c:barDir val="col"/>
        <c:grouping val="clustered"/>
        <c:varyColors val="0"/>
        <c:ser>
          <c:idx val="1"/>
          <c:order val="1"/>
          <c:tx>
            <c:strRef>
              <c:f>'CONSOLIDADO-ACUEDUCTOSRURALES2'!$C$78</c:f>
              <c:strCache>
                <c:ptCount val="1"/>
                <c:pt idx="0">
                  <c:v>%</c:v>
                </c:pt>
              </c:strCache>
            </c:strRef>
          </c:tx>
          <c:spPr>
            <a:pattFill prst="ltDnDiag">
              <a:fgClr>
                <a:schemeClr val="tx2">
                  <a:lumMod val="60000"/>
                  <a:lumOff val="40000"/>
                </a:schemeClr>
              </a:fgClr>
              <a:bgClr>
                <a:schemeClr val="bg1"/>
              </a:bgClr>
            </a:pattFill>
            <a:scene3d>
              <a:camera prst="orthographicFront"/>
              <a:lightRig rig="threePt" dir="t"/>
            </a:scene3d>
            <a:sp3d/>
          </c:spPr>
          <c:invertIfNegative val="0"/>
          <c:dLbls>
            <c:spPr>
              <a:noFill/>
              <a:ln w="25400">
                <a:noFill/>
              </a:ln>
            </c:spPr>
            <c:txPr>
              <a:bodyPr rot="-5400000" vert="horz"/>
              <a:lstStyle/>
              <a:p>
                <a:pPr>
                  <a:defRPr sz="1400" b="1" i="0" u="none" strike="noStrike" baseline="0">
                    <a:solidFill>
                      <a:srgbClr val="000000"/>
                    </a:solidFill>
                    <a:latin typeface="Calibri"/>
                    <a:ea typeface="Calibri"/>
                    <a:cs typeface="Calibri"/>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'CONSOLIDADO-ACUEDUCTOSRURALES2'!$A$79:$A$97</c:f>
              <c:strCache>
                <c:ptCount val="19"/>
                <c:pt idx="0">
                  <c:v>Abriaqui</c:v>
                </c:pt>
                <c:pt idx="1">
                  <c:v>Anza</c:v>
                </c:pt>
                <c:pt idx="2">
                  <c:v>Armenia</c:v>
                </c:pt>
                <c:pt idx="3">
                  <c:v>Buritica</c:v>
                </c:pt>
                <c:pt idx="4">
                  <c:v>Caicedo</c:v>
                </c:pt>
                <c:pt idx="5">
                  <c:v>Cañas gordas</c:v>
                </c:pt>
                <c:pt idx="6">
                  <c:v>Dabeiba</c:v>
                </c:pt>
                <c:pt idx="7">
                  <c:v>Ebejico</c:v>
                </c:pt>
                <c:pt idx="8">
                  <c:v>Frontino</c:v>
                </c:pt>
                <c:pt idx="9">
                  <c:v>Giraldo</c:v>
                </c:pt>
                <c:pt idx="10">
                  <c:v>Heliconia</c:v>
                </c:pt>
                <c:pt idx="11">
                  <c:v>Liborina</c:v>
                </c:pt>
                <c:pt idx="12">
                  <c:v>Olaya</c:v>
                </c:pt>
                <c:pt idx="13">
                  <c:v>Peque</c:v>
                </c:pt>
                <c:pt idx="14">
                  <c:v>Sabanalarga</c:v>
                </c:pt>
                <c:pt idx="15">
                  <c:v>San Jerónimo</c:v>
                </c:pt>
                <c:pt idx="16">
                  <c:v>Santa Fe de Antioquia</c:v>
                </c:pt>
                <c:pt idx="17">
                  <c:v>Sopetran</c:v>
                </c:pt>
                <c:pt idx="18">
                  <c:v>Uramita</c:v>
                </c:pt>
              </c:strCache>
            </c:strRef>
          </c:cat>
          <c:val>
            <c:numRef>
              <c:f>'CONSOLIDADO-ACUEDUCTOSRURALES2'!$C$79:$C$97</c:f>
              <c:numCache>
                <c:formatCode>0.0</c:formatCode>
                <c:ptCount val="19"/>
                <c:pt idx="0">
                  <c:v>1.3409961685823755</c:v>
                </c:pt>
                <c:pt idx="1">
                  <c:v>3.4482758620689653</c:v>
                </c:pt>
                <c:pt idx="2">
                  <c:v>0.76628352490421447</c:v>
                </c:pt>
                <c:pt idx="3">
                  <c:v>7.2796934865900385</c:v>
                </c:pt>
                <c:pt idx="4">
                  <c:v>3.4482758620689653</c:v>
                </c:pt>
                <c:pt idx="5">
                  <c:v>13.409961685823754</c:v>
                </c:pt>
                <c:pt idx="6">
                  <c:v>5.5555555555555554</c:v>
                </c:pt>
                <c:pt idx="7">
                  <c:v>8.6206896551724146</c:v>
                </c:pt>
                <c:pt idx="8">
                  <c:v>8.8122605363984672</c:v>
                </c:pt>
                <c:pt idx="9">
                  <c:v>4.2145593869731801</c:v>
                </c:pt>
                <c:pt idx="10">
                  <c:v>2.490421455938697</c:v>
                </c:pt>
                <c:pt idx="11">
                  <c:v>6.5134099616858236</c:v>
                </c:pt>
                <c:pt idx="12">
                  <c:v>1.5325670498084289</c:v>
                </c:pt>
                <c:pt idx="13">
                  <c:v>6.7049808429118771</c:v>
                </c:pt>
                <c:pt idx="14">
                  <c:v>4.980842911877394</c:v>
                </c:pt>
                <c:pt idx="15">
                  <c:v>5.3639846743295019</c:v>
                </c:pt>
                <c:pt idx="16">
                  <c:v>7.088122605363985</c:v>
                </c:pt>
                <c:pt idx="17">
                  <c:v>5.1724137931034484</c:v>
                </c:pt>
                <c:pt idx="18">
                  <c:v>3.2567049808429118</c:v>
                </c:pt>
              </c:numCache>
            </c:numRef>
          </c:val>
          <c:extLst>
            <c:ext xmlns:c16="http://schemas.microsoft.com/office/drawing/2014/chart" uri="{C3380CC4-5D6E-409C-BE32-E72D297353CC}">
              <c16:uniqueId val="{00000001-8EBA-4B19-B0D1-CA851B25B12A}"/>
            </c:ext>
          </c:extLst>
        </c:ser>
        <c:dLbls>
          <c:showLegendKey val="0"/>
          <c:showVal val="0"/>
          <c:showCatName val="0"/>
          <c:showSerName val="0"/>
          <c:showPercent val="0"/>
          <c:showBubbleSize val="0"/>
        </c:dLbls>
        <c:gapWidth val="150"/>
        <c:axId val="187934768"/>
        <c:axId val="187935328"/>
      </c:barChart>
      <c:catAx>
        <c:axId val="187543760"/>
        <c:scaling>
          <c:orientation val="minMax"/>
        </c:scaling>
        <c:delete val="0"/>
        <c:axPos val="b"/>
        <c:numFmt formatCode="General" sourceLinked="1"/>
        <c:majorTickMark val="none"/>
        <c:minorTickMark val="none"/>
        <c:tickLblPos val="nextTo"/>
        <c:txPr>
          <a:bodyPr rot="-3360000" vert="horz"/>
          <a:lstStyle/>
          <a:p>
            <a:pPr>
              <a:defRPr sz="1400" b="0" i="0" u="none" strike="noStrike" baseline="0">
                <a:solidFill>
                  <a:srgbClr val="000000"/>
                </a:solidFill>
                <a:latin typeface="Calibri"/>
                <a:ea typeface="Calibri"/>
                <a:cs typeface="Calibri"/>
              </a:defRPr>
            </a:pPr>
            <a:endParaRPr lang="es-ES"/>
          </a:p>
        </c:txPr>
        <c:crossAx val="187934208"/>
        <c:crossesAt val="0"/>
        <c:auto val="1"/>
        <c:lblAlgn val="ctr"/>
        <c:lblOffset val="100"/>
        <c:noMultiLvlLbl val="0"/>
      </c:catAx>
      <c:valAx>
        <c:axId val="187934208"/>
        <c:scaling>
          <c:orientation val="minMax"/>
          <c:min val="0"/>
        </c:scaling>
        <c:delete val="0"/>
        <c:axPos val="l"/>
        <c:majorGridlines/>
        <c:title>
          <c:tx>
            <c:rich>
              <a:bodyPr/>
              <a:lstStyle/>
              <a:p>
                <a:pPr>
                  <a:defRPr sz="1800" b="1" i="0" u="none" strike="noStrike" baseline="0">
                    <a:solidFill>
                      <a:srgbClr val="000000"/>
                    </a:solidFill>
                    <a:latin typeface="Calibri"/>
                    <a:ea typeface="Calibri"/>
                    <a:cs typeface="Calibri"/>
                  </a:defRPr>
                </a:pPr>
                <a:r>
                  <a:rPr lang="es-CO"/>
                  <a:t>Numero de Sistemas</a:t>
                </a:r>
              </a:p>
            </c:rich>
          </c:tx>
          <c:layout/>
          <c:overlay val="0"/>
        </c:title>
        <c:numFmt formatCode="#,##0" sourceLinked="0"/>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87543760"/>
        <c:crosses val="autoZero"/>
        <c:crossBetween val="between"/>
        <c:majorUnit val="5"/>
      </c:valAx>
      <c:catAx>
        <c:axId val="187934768"/>
        <c:scaling>
          <c:orientation val="minMax"/>
        </c:scaling>
        <c:delete val="1"/>
        <c:axPos val="b"/>
        <c:numFmt formatCode="General" sourceLinked="1"/>
        <c:majorTickMark val="out"/>
        <c:minorTickMark val="none"/>
        <c:tickLblPos val="nextTo"/>
        <c:crossAx val="187935328"/>
        <c:crosses val="autoZero"/>
        <c:auto val="1"/>
        <c:lblAlgn val="ctr"/>
        <c:lblOffset val="100"/>
        <c:noMultiLvlLbl val="0"/>
      </c:catAx>
      <c:valAx>
        <c:axId val="187935328"/>
        <c:scaling>
          <c:orientation val="minMax"/>
          <c:max val="30"/>
          <c:min val="0"/>
        </c:scaling>
        <c:delete val="0"/>
        <c:axPos val="r"/>
        <c:title>
          <c:tx>
            <c:rich>
              <a:bodyPr/>
              <a:lstStyle/>
              <a:p>
                <a:pPr>
                  <a:defRPr sz="2000" b="1" i="0" u="none" strike="noStrike" baseline="0">
                    <a:solidFill>
                      <a:srgbClr val="000000"/>
                    </a:solidFill>
                    <a:latin typeface="Calibri"/>
                    <a:ea typeface="Calibri"/>
                    <a:cs typeface="Calibri"/>
                  </a:defRPr>
                </a:pPr>
                <a:r>
                  <a:rPr lang="es-CO"/>
                  <a:t>Porcentaje</a:t>
                </a:r>
              </a:p>
            </c:rich>
          </c:tx>
          <c:layout/>
          <c:overlay val="0"/>
        </c:title>
        <c:numFmt formatCode="0.0" sourceLinked="1"/>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s-ES"/>
          </a:p>
        </c:txPr>
        <c:crossAx val="187934768"/>
        <c:crosses val="max"/>
        <c:crossBetween val="between"/>
      </c:valAx>
      <c:spPr>
        <a:solidFill>
          <a:sysClr val="window" lastClr="FFFFFF"/>
        </a:solidFill>
        <a:scene3d>
          <a:camera prst="orthographicFront"/>
          <a:lightRig rig="threePt" dir="t"/>
        </a:scene3d>
        <a:sp3d>
          <a:bevelT/>
          <a:bevelB/>
        </a:sp3d>
      </c:spPr>
    </c:plotArea>
    <c:legend>
      <c:legendPos val="t"/>
      <c:layout>
        <c:manualLayout>
          <c:xMode val="edge"/>
          <c:yMode val="edge"/>
          <c:x val="0.29130154415977189"/>
          <c:y val="0.92708824187674221"/>
          <c:w val="0.4600726114819404"/>
          <c:h val="6.0105800728397329E-2"/>
        </c:manualLayout>
      </c:layout>
      <c:overlay val="0"/>
      <c:txPr>
        <a:bodyPr/>
        <a:lstStyle/>
        <a:p>
          <a:pPr>
            <a:defRPr sz="1100" b="1" i="0" u="none" strike="noStrike" baseline="0">
              <a:solidFill>
                <a:srgbClr val="000000"/>
              </a:solidFill>
              <a:latin typeface="Arial"/>
              <a:ea typeface="Arial"/>
              <a:cs typeface="Arial"/>
            </a:defRPr>
          </a:pPr>
          <a:endParaRPr lang="es-ES"/>
        </a:p>
      </c:txPr>
    </c:legend>
    <c:plotVisOnly val="1"/>
    <c:dispBlanksAs val="gap"/>
    <c:showDLblsOverMax val="0"/>
  </c:chart>
  <c:spPr>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18" Type="http://schemas.openxmlformats.org/officeDocument/2006/relationships/chart" Target="../charts/chart17.xml"/><Relationship Id="rId3" Type="http://schemas.openxmlformats.org/officeDocument/2006/relationships/chart" Target="../charts/chart2.xml"/><Relationship Id="rId21" Type="http://schemas.openxmlformats.org/officeDocument/2006/relationships/chart" Target="../charts/chart20.xml"/><Relationship Id="rId7" Type="http://schemas.openxmlformats.org/officeDocument/2006/relationships/chart" Target="../charts/chart6.xml"/><Relationship Id="rId12" Type="http://schemas.openxmlformats.org/officeDocument/2006/relationships/chart" Target="../charts/chart11.xml"/><Relationship Id="rId17" Type="http://schemas.openxmlformats.org/officeDocument/2006/relationships/chart" Target="../charts/chart16.xml"/><Relationship Id="rId2" Type="http://schemas.openxmlformats.org/officeDocument/2006/relationships/image" Target="../media/image2.png"/><Relationship Id="rId16" Type="http://schemas.openxmlformats.org/officeDocument/2006/relationships/chart" Target="../charts/chart15.xml"/><Relationship Id="rId20" Type="http://schemas.openxmlformats.org/officeDocument/2006/relationships/chart" Target="../charts/chart19.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chart" Target="../charts/chart14.xml"/><Relationship Id="rId10" Type="http://schemas.openxmlformats.org/officeDocument/2006/relationships/chart" Target="../charts/chart9.xml"/><Relationship Id="rId19" Type="http://schemas.openxmlformats.org/officeDocument/2006/relationships/chart" Target="../charts/chart18.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0</xdr:row>
      <xdr:rowOff>0</xdr:rowOff>
    </xdr:from>
    <xdr:to>
      <xdr:col>0</xdr:col>
      <xdr:colOff>2575001</xdr:colOff>
      <xdr:row>6</xdr:row>
      <xdr:rowOff>0</xdr:rowOff>
    </xdr:to>
    <xdr:pic>
      <xdr:nvPicPr>
        <xdr:cNvPr id="48807043" name="2 Imagen">
          <a:extLst>
            <a:ext uri="{FF2B5EF4-FFF2-40B4-BE49-F238E27FC236}">
              <a16:creationId xmlns:a16="http://schemas.microsoft.com/office/drawing/2014/main" id="{00000000-0008-0000-0000-000083BCE8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0"/>
          <a:ext cx="2527377"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219302</xdr:colOff>
      <xdr:row>0</xdr:row>
      <xdr:rowOff>47625</xdr:rowOff>
    </xdr:from>
    <xdr:to>
      <xdr:col>0</xdr:col>
      <xdr:colOff>2776310</xdr:colOff>
      <xdr:row>5</xdr:row>
      <xdr:rowOff>142875</xdr:rowOff>
    </xdr:to>
    <xdr:pic>
      <xdr:nvPicPr>
        <xdr:cNvPr id="48818303" name="2 Imagen">
          <a:extLst>
            <a:ext uri="{FF2B5EF4-FFF2-40B4-BE49-F238E27FC236}">
              <a16:creationId xmlns:a16="http://schemas.microsoft.com/office/drawing/2014/main" id="{00000000-0008-0000-0900-00007FE8E8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302" y="47625"/>
          <a:ext cx="2557008" cy="120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704850</xdr:colOff>
      <xdr:row>0</xdr:row>
      <xdr:rowOff>28575</xdr:rowOff>
    </xdr:from>
    <xdr:to>
      <xdr:col>34</xdr:col>
      <xdr:colOff>581025</xdr:colOff>
      <xdr:row>17</xdr:row>
      <xdr:rowOff>0</xdr:rowOff>
    </xdr:to>
    <xdr:graphicFrame macro="">
      <xdr:nvGraphicFramePr>
        <xdr:cNvPr id="51162469" name="40 Gráfico">
          <a:extLst>
            <a:ext uri="{FF2B5EF4-FFF2-40B4-BE49-F238E27FC236}">
              <a16:creationId xmlns:a16="http://schemas.microsoft.com/office/drawing/2014/main" id="{00000000-0008-0000-0A00-000065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27</xdr:col>
      <xdr:colOff>206375</xdr:colOff>
      <xdr:row>155</xdr:row>
      <xdr:rowOff>127000</xdr:rowOff>
    </xdr:from>
    <xdr:ext cx="184731" cy="264560"/>
    <xdr:sp macro="" textlink="">
      <xdr:nvSpPr>
        <xdr:cNvPr id="3" name="CuadroTexto 2">
          <a:extLst>
            <a:ext uri="{FF2B5EF4-FFF2-40B4-BE49-F238E27FC236}">
              <a16:creationId xmlns:a16="http://schemas.microsoft.com/office/drawing/2014/main" id="{00000000-0008-0000-0A00-000003000000}"/>
            </a:ext>
          </a:extLst>
        </xdr:cNvPr>
        <xdr:cNvSpPr txBox="1"/>
      </xdr:nvSpPr>
      <xdr:spPr>
        <a:xfrm>
          <a:off x="20097750" y="461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27</xdr:col>
      <xdr:colOff>238125</xdr:colOff>
      <xdr:row>160</xdr:row>
      <xdr:rowOff>127000</xdr:rowOff>
    </xdr:from>
    <xdr:ext cx="954898" cy="264560"/>
    <xdr:sp macro="" textlink="">
      <xdr:nvSpPr>
        <xdr:cNvPr id="4" name="CuadroTexto 3">
          <a:extLst>
            <a:ext uri="{FF2B5EF4-FFF2-40B4-BE49-F238E27FC236}">
              <a16:creationId xmlns:a16="http://schemas.microsoft.com/office/drawing/2014/main" id="{00000000-0008-0000-0A00-000004000000}"/>
            </a:ext>
          </a:extLst>
        </xdr:cNvPr>
        <xdr:cNvSpPr txBox="1"/>
      </xdr:nvSpPr>
      <xdr:spPr>
        <a:xfrm>
          <a:off x="20129500" y="47132875"/>
          <a:ext cx="95489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a:p>
      </xdr:txBody>
    </xdr:sp>
    <xdr:clientData/>
  </xdr:oneCellAnchor>
  <xdr:oneCellAnchor>
    <xdr:from>
      <xdr:col>27</xdr:col>
      <xdr:colOff>381000</xdr:colOff>
      <xdr:row>179</xdr:row>
      <xdr:rowOff>95250</xdr:rowOff>
    </xdr:from>
    <xdr:ext cx="184731" cy="264560"/>
    <xdr:sp macro="" textlink="">
      <xdr:nvSpPr>
        <xdr:cNvPr id="7" name="CuadroTexto 6">
          <a:extLst>
            <a:ext uri="{FF2B5EF4-FFF2-40B4-BE49-F238E27FC236}">
              <a16:creationId xmlns:a16="http://schemas.microsoft.com/office/drawing/2014/main" id="{00000000-0008-0000-0A00-000007000000}"/>
            </a:ext>
          </a:extLst>
        </xdr:cNvPr>
        <xdr:cNvSpPr txBox="1"/>
      </xdr:nvSpPr>
      <xdr:spPr>
        <a:xfrm>
          <a:off x="20272375" y="527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27</xdr:col>
      <xdr:colOff>317500</xdr:colOff>
      <xdr:row>160</xdr:row>
      <xdr:rowOff>190501</xdr:rowOff>
    </xdr:from>
    <xdr:ext cx="1002523" cy="610952"/>
    <xdr:sp macro="" textlink="">
      <xdr:nvSpPr>
        <xdr:cNvPr id="5" name="CuadroTexto 4">
          <a:extLst>
            <a:ext uri="{FF2B5EF4-FFF2-40B4-BE49-F238E27FC236}">
              <a16:creationId xmlns:a16="http://schemas.microsoft.com/office/drawing/2014/main" id="{00000000-0008-0000-0A00-000005000000}"/>
            </a:ext>
          </a:extLst>
        </xdr:cNvPr>
        <xdr:cNvSpPr txBox="1"/>
      </xdr:nvSpPr>
      <xdr:spPr>
        <a:xfrm>
          <a:off x="20208875" y="47196376"/>
          <a:ext cx="1002523" cy="610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CO"/>
        </a:p>
      </xdr:txBody>
    </xdr:sp>
    <xdr:clientData/>
  </xdr:oneCellAnchor>
  <xdr:oneCellAnchor>
    <xdr:from>
      <xdr:col>27</xdr:col>
      <xdr:colOff>333375</xdr:colOff>
      <xdr:row>161</xdr:row>
      <xdr:rowOff>15875</xdr:rowOff>
    </xdr:from>
    <xdr:ext cx="184731" cy="264560"/>
    <xdr:sp macro="" textlink="">
      <xdr:nvSpPr>
        <xdr:cNvPr id="6" name="CuadroTexto 5">
          <a:extLst>
            <a:ext uri="{FF2B5EF4-FFF2-40B4-BE49-F238E27FC236}">
              <a16:creationId xmlns:a16="http://schemas.microsoft.com/office/drawing/2014/main" id="{00000000-0008-0000-0A00-000006000000}"/>
            </a:ext>
          </a:extLst>
        </xdr:cNvPr>
        <xdr:cNvSpPr txBox="1"/>
      </xdr:nvSpPr>
      <xdr:spPr>
        <a:xfrm>
          <a:off x="20224750" y="472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27</xdr:col>
      <xdr:colOff>492125</xdr:colOff>
      <xdr:row>179</xdr:row>
      <xdr:rowOff>95250</xdr:rowOff>
    </xdr:from>
    <xdr:ext cx="184731" cy="264560"/>
    <xdr:sp macro="" textlink="">
      <xdr:nvSpPr>
        <xdr:cNvPr id="2" name="CuadroTexto 1">
          <a:extLst>
            <a:ext uri="{FF2B5EF4-FFF2-40B4-BE49-F238E27FC236}">
              <a16:creationId xmlns:a16="http://schemas.microsoft.com/office/drawing/2014/main" id="{00000000-0008-0000-0A00-000002000000}"/>
            </a:ext>
          </a:extLst>
        </xdr:cNvPr>
        <xdr:cNvSpPr txBox="1"/>
      </xdr:nvSpPr>
      <xdr:spPr>
        <a:xfrm>
          <a:off x="20383500" y="527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twoCellAnchor editAs="oneCell">
    <xdr:from>
      <xdr:col>0</xdr:col>
      <xdr:colOff>142875</xdr:colOff>
      <xdr:row>0</xdr:row>
      <xdr:rowOff>85725</xdr:rowOff>
    </xdr:from>
    <xdr:to>
      <xdr:col>1</xdr:col>
      <xdr:colOff>825219</xdr:colOff>
      <xdr:row>5</xdr:row>
      <xdr:rowOff>111125</xdr:rowOff>
    </xdr:to>
    <xdr:pic>
      <xdr:nvPicPr>
        <xdr:cNvPr id="51162476" name="27 Imagen">
          <a:extLst>
            <a:ext uri="{FF2B5EF4-FFF2-40B4-BE49-F238E27FC236}">
              <a16:creationId xmlns:a16="http://schemas.microsoft.com/office/drawing/2014/main" id="{00000000-0008-0000-0A00-00006CAD0C0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85725"/>
          <a:ext cx="2650844" cy="132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34925</xdr:colOff>
      <xdr:row>0</xdr:row>
      <xdr:rowOff>28575</xdr:rowOff>
    </xdr:from>
    <xdr:to>
      <xdr:col>24</xdr:col>
      <xdr:colOff>682625</xdr:colOff>
      <xdr:row>17</xdr:row>
      <xdr:rowOff>28575</xdr:rowOff>
    </xdr:to>
    <xdr:graphicFrame macro="">
      <xdr:nvGraphicFramePr>
        <xdr:cNvPr id="51162477" name="1 Gráfico">
          <a:extLst>
            <a:ext uri="{FF2B5EF4-FFF2-40B4-BE49-F238E27FC236}">
              <a16:creationId xmlns:a16="http://schemas.microsoft.com/office/drawing/2014/main" id="{00000000-0008-0000-0A00-00006D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57150</xdr:colOff>
      <xdr:row>17</xdr:row>
      <xdr:rowOff>85725</xdr:rowOff>
    </xdr:from>
    <xdr:to>
      <xdr:col>24</xdr:col>
      <xdr:colOff>704850</xdr:colOff>
      <xdr:row>34</xdr:row>
      <xdr:rowOff>38100</xdr:rowOff>
    </xdr:to>
    <xdr:graphicFrame macro="">
      <xdr:nvGraphicFramePr>
        <xdr:cNvPr id="51162478" name="1 Gráfico">
          <a:extLst>
            <a:ext uri="{FF2B5EF4-FFF2-40B4-BE49-F238E27FC236}">
              <a16:creationId xmlns:a16="http://schemas.microsoft.com/office/drawing/2014/main" id="{00000000-0008-0000-0A00-00006E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742950</xdr:colOff>
      <xdr:row>17</xdr:row>
      <xdr:rowOff>82550</xdr:rowOff>
    </xdr:from>
    <xdr:to>
      <xdr:col>34</xdr:col>
      <xdr:colOff>619125</xdr:colOff>
      <xdr:row>34</xdr:row>
      <xdr:rowOff>19050</xdr:rowOff>
    </xdr:to>
    <xdr:graphicFrame macro="">
      <xdr:nvGraphicFramePr>
        <xdr:cNvPr id="51162479" name="40 Gráfico">
          <a:extLst>
            <a:ext uri="{FF2B5EF4-FFF2-40B4-BE49-F238E27FC236}">
              <a16:creationId xmlns:a16="http://schemas.microsoft.com/office/drawing/2014/main" id="{00000000-0008-0000-0A00-00006F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79375</xdr:colOff>
      <xdr:row>34</xdr:row>
      <xdr:rowOff>127000</xdr:rowOff>
    </xdr:from>
    <xdr:to>
      <xdr:col>24</xdr:col>
      <xdr:colOff>727075</xdr:colOff>
      <xdr:row>52</xdr:row>
      <xdr:rowOff>111125</xdr:rowOff>
    </xdr:to>
    <xdr:graphicFrame macro="">
      <xdr:nvGraphicFramePr>
        <xdr:cNvPr id="51162480" name="1 Gráfico">
          <a:extLst>
            <a:ext uri="{FF2B5EF4-FFF2-40B4-BE49-F238E27FC236}">
              <a16:creationId xmlns:a16="http://schemas.microsoft.com/office/drawing/2014/main" id="{00000000-0008-0000-0A00-000070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0</xdr:colOff>
      <xdr:row>35</xdr:row>
      <xdr:rowOff>0</xdr:rowOff>
    </xdr:from>
    <xdr:to>
      <xdr:col>34</xdr:col>
      <xdr:colOff>638175</xdr:colOff>
      <xdr:row>52</xdr:row>
      <xdr:rowOff>114300</xdr:rowOff>
    </xdr:to>
    <xdr:graphicFrame macro="">
      <xdr:nvGraphicFramePr>
        <xdr:cNvPr id="51162481" name="40 Gráfico">
          <a:extLst>
            <a:ext uri="{FF2B5EF4-FFF2-40B4-BE49-F238E27FC236}">
              <a16:creationId xmlns:a16="http://schemas.microsoft.com/office/drawing/2014/main" id="{00000000-0008-0000-0A00-000071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19050</xdr:colOff>
      <xdr:row>54</xdr:row>
      <xdr:rowOff>0</xdr:rowOff>
    </xdr:from>
    <xdr:to>
      <xdr:col>24</xdr:col>
      <xdr:colOff>666750</xdr:colOff>
      <xdr:row>71</xdr:row>
      <xdr:rowOff>161925</xdr:rowOff>
    </xdr:to>
    <xdr:graphicFrame macro="">
      <xdr:nvGraphicFramePr>
        <xdr:cNvPr id="51162482" name="1 Gráfico">
          <a:extLst>
            <a:ext uri="{FF2B5EF4-FFF2-40B4-BE49-F238E27FC236}">
              <a16:creationId xmlns:a16="http://schemas.microsoft.com/office/drawing/2014/main" id="{00000000-0008-0000-0A00-000072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25</xdr:col>
      <xdr:colOff>0</xdr:colOff>
      <xdr:row>54</xdr:row>
      <xdr:rowOff>0</xdr:rowOff>
    </xdr:from>
    <xdr:to>
      <xdr:col>34</xdr:col>
      <xdr:colOff>638175</xdr:colOff>
      <xdr:row>71</xdr:row>
      <xdr:rowOff>133350</xdr:rowOff>
    </xdr:to>
    <xdr:graphicFrame macro="">
      <xdr:nvGraphicFramePr>
        <xdr:cNvPr id="51162483" name="40 Gráfico">
          <a:extLst>
            <a:ext uri="{FF2B5EF4-FFF2-40B4-BE49-F238E27FC236}">
              <a16:creationId xmlns:a16="http://schemas.microsoft.com/office/drawing/2014/main" id="{00000000-0008-0000-0A00-000073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76</xdr:row>
      <xdr:rowOff>0</xdr:rowOff>
    </xdr:from>
    <xdr:to>
      <xdr:col>24</xdr:col>
      <xdr:colOff>647700</xdr:colOff>
      <xdr:row>92</xdr:row>
      <xdr:rowOff>142875</xdr:rowOff>
    </xdr:to>
    <xdr:graphicFrame macro="">
      <xdr:nvGraphicFramePr>
        <xdr:cNvPr id="51162484" name="1 Gráfico">
          <a:extLst>
            <a:ext uri="{FF2B5EF4-FFF2-40B4-BE49-F238E27FC236}">
              <a16:creationId xmlns:a16="http://schemas.microsoft.com/office/drawing/2014/main" id="{00000000-0008-0000-0A00-000074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25</xdr:col>
      <xdr:colOff>0</xdr:colOff>
      <xdr:row>76</xdr:row>
      <xdr:rowOff>0</xdr:rowOff>
    </xdr:from>
    <xdr:to>
      <xdr:col>34</xdr:col>
      <xdr:colOff>638175</xdr:colOff>
      <xdr:row>92</xdr:row>
      <xdr:rowOff>114300</xdr:rowOff>
    </xdr:to>
    <xdr:graphicFrame macro="">
      <xdr:nvGraphicFramePr>
        <xdr:cNvPr id="51162485" name="40 Gráfico">
          <a:extLst>
            <a:ext uri="{FF2B5EF4-FFF2-40B4-BE49-F238E27FC236}">
              <a16:creationId xmlns:a16="http://schemas.microsoft.com/office/drawing/2014/main" id="{00000000-0008-0000-0A00-000075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0</xdr:colOff>
      <xdr:row>100</xdr:row>
      <xdr:rowOff>0</xdr:rowOff>
    </xdr:from>
    <xdr:to>
      <xdr:col>24</xdr:col>
      <xdr:colOff>647700</xdr:colOff>
      <xdr:row>116</xdr:row>
      <xdr:rowOff>123825</xdr:rowOff>
    </xdr:to>
    <xdr:graphicFrame macro="">
      <xdr:nvGraphicFramePr>
        <xdr:cNvPr id="51162486" name="1 Gráfico">
          <a:extLst>
            <a:ext uri="{FF2B5EF4-FFF2-40B4-BE49-F238E27FC236}">
              <a16:creationId xmlns:a16="http://schemas.microsoft.com/office/drawing/2014/main" id="{00000000-0008-0000-0A00-000076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25</xdr:col>
      <xdr:colOff>0</xdr:colOff>
      <xdr:row>100</xdr:row>
      <xdr:rowOff>0</xdr:rowOff>
    </xdr:from>
    <xdr:to>
      <xdr:col>34</xdr:col>
      <xdr:colOff>638175</xdr:colOff>
      <xdr:row>116</xdr:row>
      <xdr:rowOff>95250</xdr:rowOff>
    </xdr:to>
    <xdr:graphicFrame macro="">
      <xdr:nvGraphicFramePr>
        <xdr:cNvPr id="51162487" name="40 Gráfico">
          <a:extLst>
            <a:ext uri="{FF2B5EF4-FFF2-40B4-BE49-F238E27FC236}">
              <a16:creationId xmlns:a16="http://schemas.microsoft.com/office/drawing/2014/main" id="{00000000-0008-0000-0A00-000077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28575</xdr:colOff>
      <xdr:row>117</xdr:row>
      <xdr:rowOff>76200</xdr:rowOff>
    </xdr:from>
    <xdr:to>
      <xdr:col>24</xdr:col>
      <xdr:colOff>676275</xdr:colOff>
      <xdr:row>133</xdr:row>
      <xdr:rowOff>123825</xdr:rowOff>
    </xdr:to>
    <xdr:graphicFrame macro="">
      <xdr:nvGraphicFramePr>
        <xdr:cNvPr id="51162488" name="1 Gráfico">
          <a:extLst>
            <a:ext uri="{FF2B5EF4-FFF2-40B4-BE49-F238E27FC236}">
              <a16:creationId xmlns:a16="http://schemas.microsoft.com/office/drawing/2014/main" id="{00000000-0008-0000-0A00-000078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24</xdr:col>
      <xdr:colOff>733425</xdr:colOff>
      <xdr:row>117</xdr:row>
      <xdr:rowOff>114300</xdr:rowOff>
    </xdr:from>
    <xdr:to>
      <xdr:col>34</xdr:col>
      <xdr:colOff>609600</xdr:colOff>
      <xdr:row>133</xdr:row>
      <xdr:rowOff>133350</xdr:rowOff>
    </xdr:to>
    <xdr:graphicFrame macro="">
      <xdr:nvGraphicFramePr>
        <xdr:cNvPr id="51162489" name="40 Gráfico">
          <a:extLst>
            <a:ext uri="{FF2B5EF4-FFF2-40B4-BE49-F238E27FC236}">
              <a16:creationId xmlns:a16="http://schemas.microsoft.com/office/drawing/2014/main" id="{00000000-0008-0000-0A00-000079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28575</xdr:colOff>
      <xdr:row>134</xdr:row>
      <xdr:rowOff>19050</xdr:rowOff>
    </xdr:from>
    <xdr:to>
      <xdr:col>24</xdr:col>
      <xdr:colOff>676275</xdr:colOff>
      <xdr:row>150</xdr:row>
      <xdr:rowOff>123825</xdr:rowOff>
    </xdr:to>
    <xdr:graphicFrame macro="">
      <xdr:nvGraphicFramePr>
        <xdr:cNvPr id="51162490" name="1 Gráfico">
          <a:extLst>
            <a:ext uri="{FF2B5EF4-FFF2-40B4-BE49-F238E27FC236}">
              <a16:creationId xmlns:a16="http://schemas.microsoft.com/office/drawing/2014/main" id="{00000000-0008-0000-0A00-00007A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25</xdr:col>
      <xdr:colOff>0</xdr:colOff>
      <xdr:row>134</xdr:row>
      <xdr:rowOff>0</xdr:rowOff>
    </xdr:from>
    <xdr:to>
      <xdr:col>34</xdr:col>
      <xdr:colOff>638175</xdr:colOff>
      <xdr:row>150</xdr:row>
      <xdr:rowOff>85725</xdr:rowOff>
    </xdr:to>
    <xdr:graphicFrame macro="">
      <xdr:nvGraphicFramePr>
        <xdr:cNvPr id="51162491" name="40 Gráfico">
          <a:extLst>
            <a:ext uri="{FF2B5EF4-FFF2-40B4-BE49-F238E27FC236}">
              <a16:creationId xmlns:a16="http://schemas.microsoft.com/office/drawing/2014/main" id="{00000000-0008-0000-0A00-00007B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15</xdr:col>
      <xdr:colOff>0</xdr:colOff>
      <xdr:row>152</xdr:row>
      <xdr:rowOff>0</xdr:rowOff>
    </xdr:from>
    <xdr:to>
      <xdr:col>24</xdr:col>
      <xdr:colOff>647700</xdr:colOff>
      <xdr:row>168</xdr:row>
      <xdr:rowOff>19050</xdr:rowOff>
    </xdr:to>
    <xdr:graphicFrame macro="">
      <xdr:nvGraphicFramePr>
        <xdr:cNvPr id="51162492" name="1 Gráfico">
          <a:extLst>
            <a:ext uri="{FF2B5EF4-FFF2-40B4-BE49-F238E27FC236}">
              <a16:creationId xmlns:a16="http://schemas.microsoft.com/office/drawing/2014/main" id="{00000000-0008-0000-0A00-00007C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24</xdr:col>
      <xdr:colOff>690563</xdr:colOff>
      <xdr:row>152</xdr:row>
      <xdr:rowOff>1</xdr:rowOff>
    </xdr:from>
    <xdr:to>
      <xdr:col>34</xdr:col>
      <xdr:colOff>566738</xdr:colOff>
      <xdr:row>167</xdr:row>
      <xdr:rowOff>142876</xdr:rowOff>
    </xdr:to>
    <xdr:graphicFrame macro="">
      <xdr:nvGraphicFramePr>
        <xdr:cNvPr id="51162493" name="40 Gráfico" descr="qwddwd">
          <a:extLst>
            <a:ext uri="{FF2B5EF4-FFF2-40B4-BE49-F238E27FC236}">
              <a16:creationId xmlns:a16="http://schemas.microsoft.com/office/drawing/2014/main" id="{00000000-0008-0000-0A00-00007D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xdr:col>
      <xdr:colOff>0</xdr:colOff>
      <xdr:row>169</xdr:row>
      <xdr:rowOff>0</xdr:rowOff>
    </xdr:from>
    <xdr:to>
      <xdr:col>24</xdr:col>
      <xdr:colOff>647700</xdr:colOff>
      <xdr:row>185</xdr:row>
      <xdr:rowOff>142875</xdr:rowOff>
    </xdr:to>
    <xdr:graphicFrame macro="">
      <xdr:nvGraphicFramePr>
        <xdr:cNvPr id="51162494" name="1 Gráfico">
          <a:extLst>
            <a:ext uri="{FF2B5EF4-FFF2-40B4-BE49-F238E27FC236}">
              <a16:creationId xmlns:a16="http://schemas.microsoft.com/office/drawing/2014/main" id="{00000000-0008-0000-0A00-00007E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25</xdr:col>
      <xdr:colOff>23813</xdr:colOff>
      <xdr:row>168</xdr:row>
      <xdr:rowOff>238125</xdr:rowOff>
    </xdr:from>
    <xdr:to>
      <xdr:col>34</xdr:col>
      <xdr:colOff>661988</xdr:colOff>
      <xdr:row>185</xdr:row>
      <xdr:rowOff>66675</xdr:rowOff>
    </xdr:to>
    <xdr:graphicFrame macro="">
      <xdr:nvGraphicFramePr>
        <xdr:cNvPr id="51162495" name="40 Gráfico">
          <a:extLst>
            <a:ext uri="{FF2B5EF4-FFF2-40B4-BE49-F238E27FC236}">
              <a16:creationId xmlns:a16="http://schemas.microsoft.com/office/drawing/2014/main" id="{00000000-0008-0000-0A00-00007FAD0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0.88944</cdr:x>
      <cdr:y>0.83608</cdr:y>
    </cdr:from>
    <cdr:to>
      <cdr:x>1</cdr:x>
      <cdr:y>1</cdr:y>
    </cdr:to>
    <cdr:sp macro="" textlink="">
      <cdr:nvSpPr>
        <cdr:cNvPr id="2" name="1 CuadroTexto"/>
        <cdr:cNvSpPr txBox="1"/>
      </cdr:nvSpPr>
      <cdr:spPr>
        <a:xfrm xmlns:a="http://schemas.openxmlformats.org/drawingml/2006/main">
          <a:off x="8108950" y="52673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0.8925</cdr:x>
      <cdr:y>0.83608</cdr:y>
    </cdr:from>
    <cdr:to>
      <cdr:x>1</cdr:x>
      <cdr:y>1</cdr:y>
    </cdr:to>
    <cdr:sp macro="" textlink="">
      <cdr:nvSpPr>
        <cdr:cNvPr id="3" name="2 CuadroTexto"/>
        <cdr:cNvSpPr txBox="1"/>
      </cdr:nvSpPr>
      <cdr:spPr>
        <a:xfrm xmlns:a="http://schemas.openxmlformats.org/drawingml/2006/main">
          <a:off x="8474075" y="4806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0.7948</cdr:x>
      <cdr:y>0.4008</cdr:y>
    </cdr:from>
    <cdr:to>
      <cdr:x>0.96067</cdr:x>
      <cdr:y>0.6112</cdr:y>
    </cdr:to>
    <cdr:sp macro="" textlink="">
      <cdr:nvSpPr>
        <cdr:cNvPr id="5" name="4 CuadroTexto"/>
        <cdr:cNvSpPr txBox="1"/>
      </cdr:nvSpPr>
      <cdr:spPr>
        <a:xfrm xmlns:a="http://schemas.openxmlformats.org/drawingml/2006/main">
          <a:off x="7378699" y="2340216"/>
          <a:ext cx="1539875" cy="12284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0.81532</cdr:x>
      <cdr:y>0.46388</cdr:y>
    </cdr:from>
    <cdr:to>
      <cdr:x>0.9788</cdr:x>
      <cdr:y>0.70642</cdr:y>
    </cdr:to>
    <cdr:sp macro="" textlink="">
      <cdr:nvSpPr>
        <cdr:cNvPr id="6" name="5 CuadroTexto"/>
        <cdr:cNvSpPr txBox="1"/>
      </cdr:nvSpPr>
      <cdr:spPr>
        <a:xfrm xmlns:a="http://schemas.openxmlformats.org/drawingml/2006/main">
          <a:off x="7569200" y="2568574"/>
          <a:ext cx="1517650" cy="134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0.89398</cdr:x>
      <cdr:y>0.57855</cdr:y>
    </cdr:from>
    <cdr:to>
      <cdr:x>0.99248</cdr:x>
      <cdr:y>0.74369</cdr:y>
    </cdr:to>
    <cdr:sp macro="" textlink="">
      <cdr:nvSpPr>
        <cdr:cNvPr id="7" name="6 CuadroTexto"/>
        <cdr:cNvSpPr txBox="1"/>
      </cdr:nvSpPr>
      <cdr:spPr>
        <a:xfrm xmlns:a="http://schemas.openxmlformats.org/drawingml/2006/main">
          <a:off x="8299450" y="320357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0.85294</cdr:x>
      <cdr:y>0.75344</cdr:y>
    </cdr:from>
    <cdr:to>
      <cdr:x>0.95144</cdr:x>
      <cdr:y>0.91858</cdr:y>
    </cdr:to>
    <cdr:sp macro="" textlink="">
      <cdr:nvSpPr>
        <cdr:cNvPr id="10" name="9 CuadroTexto"/>
        <cdr:cNvSpPr txBox="1"/>
      </cdr:nvSpPr>
      <cdr:spPr>
        <a:xfrm xmlns:a="http://schemas.openxmlformats.org/drawingml/2006/main">
          <a:off x="7918450" y="417194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userShapes>
</file>

<file path=xl/drawings/drawing13.xml><?xml version="1.0" encoding="utf-8"?>
<c:userShapes xmlns:c="http://schemas.openxmlformats.org/drawingml/2006/chart">
  <cdr:relSizeAnchor xmlns:cdr="http://schemas.openxmlformats.org/drawingml/2006/chartDrawing">
    <cdr:from>
      <cdr:x>0.88944</cdr:x>
      <cdr:y>0.83608</cdr:y>
    </cdr:from>
    <cdr:to>
      <cdr:x>1</cdr:x>
      <cdr:y>1</cdr:y>
    </cdr:to>
    <cdr:sp macro="" textlink="">
      <cdr:nvSpPr>
        <cdr:cNvPr id="2" name="1 CuadroTexto"/>
        <cdr:cNvSpPr txBox="1"/>
      </cdr:nvSpPr>
      <cdr:spPr>
        <a:xfrm xmlns:a="http://schemas.openxmlformats.org/drawingml/2006/main">
          <a:off x="8108950" y="52673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0.8925</cdr:x>
      <cdr:y>0.83608</cdr:y>
    </cdr:from>
    <cdr:to>
      <cdr:x>1</cdr:x>
      <cdr:y>1</cdr:y>
    </cdr:to>
    <cdr:sp macro="" textlink="">
      <cdr:nvSpPr>
        <cdr:cNvPr id="3" name="2 CuadroTexto"/>
        <cdr:cNvSpPr txBox="1"/>
      </cdr:nvSpPr>
      <cdr:spPr>
        <a:xfrm xmlns:a="http://schemas.openxmlformats.org/drawingml/2006/main">
          <a:off x="8474075" y="4806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0.7948</cdr:x>
      <cdr:y>0.4008</cdr:y>
    </cdr:from>
    <cdr:to>
      <cdr:x>0.96067</cdr:x>
      <cdr:y>0.6112</cdr:y>
    </cdr:to>
    <cdr:sp macro="" textlink="">
      <cdr:nvSpPr>
        <cdr:cNvPr id="5" name="4 CuadroTexto"/>
        <cdr:cNvSpPr txBox="1"/>
      </cdr:nvSpPr>
      <cdr:spPr>
        <a:xfrm xmlns:a="http://schemas.openxmlformats.org/drawingml/2006/main">
          <a:off x="7378699" y="2340216"/>
          <a:ext cx="1539875" cy="12284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0.81532</cdr:x>
      <cdr:y>0.46388</cdr:y>
    </cdr:from>
    <cdr:to>
      <cdr:x>0.9788</cdr:x>
      <cdr:y>0.70642</cdr:y>
    </cdr:to>
    <cdr:sp macro="" textlink="">
      <cdr:nvSpPr>
        <cdr:cNvPr id="6" name="5 CuadroTexto"/>
        <cdr:cNvSpPr txBox="1"/>
      </cdr:nvSpPr>
      <cdr:spPr>
        <a:xfrm xmlns:a="http://schemas.openxmlformats.org/drawingml/2006/main">
          <a:off x="7569200" y="2568574"/>
          <a:ext cx="1517650" cy="134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0.89398</cdr:x>
      <cdr:y>0.57855</cdr:y>
    </cdr:from>
    <cdr:to>
      <cdr:x>0.99248</cdr:x>
      <cdr:y>0.74369</cdr:y>
    </cdr:to>
    <cdr:sp macro="" textlink="">
      <cdr:nvSpPr>
        <cdr:cNvPr id="7" name="6 CuadroTexto"/>
        <cdr:cNvSpPr txBox="1"/>
      </cdr:nvSpPr>
      <cdr:spPr>
        <a:xfrm xmlns:a="http://schemas.openxmlformats.org/drawingml/2006/main">
          <a:off x="8299450" y="320357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0.85294</cdr:x>
      <cdr:y>0.75344</cdr:y>
    </cdr:from>
    <cdr:to>
      <cdr:x>0.95144</cdr:x>
      <cdr:y>0.91858</cdr:y>
    </cdr:to>
    <cdr:sp macro="" textlink="">
      <cdr:nvSpPr>
        <cdr:cNvPr id="10" name="9 CuadroTexto"/>
        <cdr:cNvSpPr txBox="1"/>
      </cdr:nvSpPr>
      <cdr:spPr>
        <a:xfrm xmlns:a="http://schemas.openxmlformats.org/drawingml/2006/main">
          <a:off x="7918450" y="417194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userShapes>
</file>

<file path=xl/drawings/drawing14.xml><?xml version="1.0" encoding="utf-8"?>
<c:userShapes xmlns:c="http://schemas.openxmlformats.org/drawingml/2006/chart">
  <cdr:relSizeAnchor xmlns:cdr="http://schemas.openxmlformats.org/drawingml/2006/chartDrawing">
    <cdr:from>
      <cdr:x>0.88944</cdr:x>
      <cdr:y>0.83608</cdr:y>
    </cdr:from>
    <cdr:to>
      <cdr:x>1</cdr:x>
      <cdr:y>1</cdr:y>
    </cdr:to>
    <cdr:sp macro="" textlink="">
      <cdr:nvSpPr>
        <cdr:cNvPr id="2" name="1 CuadroTexto"/>
        <cdr:cNvSpPr txBox="1"/>
      </cdr:nvSpPr>
      <cdr:spPr>
        <a:xfrm xmlns:a="http://schemas.openxmlformats.org/drawingml/2006/main">
          <a:off x="8108950" y="52673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0.8925</cdr:x>
      <cdr:y>0.83608</cdr:y>
    </cdr:from>
    <cdr:to>
      <cdr:x>1</cdr:x>
      <cdr:y>1</cdr:y>
    </cdr:to>
    <cdr:sp macro="" textlink="">
      <cdr:nvSpPr>
        <cdr:cNvPr id="3" name="2 CuadroTexto"/>
        <cdr:cNvSpPr txBox="1"/>
      </cdr:nvSpPr>
      <cdr:spPr>
        <a:xfrm xmlns:a="http://schemas.openxmlformats.org/drawingml/2006/main">
          <a:off x="8474075" y="4806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0.7948</cdr:x>
      <cdr:y>0.4008</cdr:y>
    </cdr:from>
    <cdr:to>
      <cdr:x>0.96067</cdr:x>
      <cdr:y>0.6112</cdr:y>
    </cdr:to>
    <cdr:sp macro="" textlink="">
      <cdr:nvSpPr>
        <cdr:cNvPr id="5" name="4 CuadroTexto"/>
        <cdr:cNvSpPr txBox="1"/>
      </cdr:nvSpPr>
      <cdr:spPr>
        <a:xfrm xmlns:a="http://schemas.openxmlformats.org/drawingml/2006/main">
          <a:off x="7378699" y="2340216"/>
          <a:ext cx="1539875" cy="12284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0.81532</cdr:x>
      <cdr:y>0.46388</cdr:y>
    </cdr:from>
    <cdr:to>
      <cdr:x>0.9788</cdr:x>
      <cdr:y>0.70642</cdr:y>
    </cdr:to>
    <cdr:sp macro="" textlink="">
      <cdr:nvSpPr>
        <cdr:cNvPr id="6" name="5 CuadroTexto"/>
        <cdr:cNvSpPr txBox="1"/>
      </cdr:nvSpPr>
      <cdr:spPr>
        <a:xfrm xmlns:a="http://schemas.openxmlformats.org/drawingml/2006/main">
          <a:off x="7569200" y="2568574"/>
          <a:ext cx="1517650" cy="134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0.89398</cdr:x>
      <cdr:y>0.57855</cdr:y>
    </cdr:from>
    <cdr:to>
      <cdr:x>0.99248</cdr:x>
      <cdr:y>0.74369</cdr:y>
    </cdr:to>
    <cdr:sp macro="" textlink="">
      <cdr:nvSpPr>
        <cdr:cNvPr id="7" name="6 CuadroTexto"/>
        <cdr:cNvSpPr txBox="1"/>
      </cdr:nvSpPr>
      <cdr:spPr>
        <a:xfrm xmlns:a="http://schemas.openxmlformats.org/drawingml/2006/main">
          <a:off x="8299450" y="320357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0.85294</cdr:x>
      <cdr:y>0.75344</cdr:y>
    </cdr:from>
    <cdr:to>
      <cdr:x>0.95144</cdr:x>
      <cdr:y>0.91858</cdr:y>
    </cdr:to>
    <cdr:sp macro="" textlink="">
      <cdr:nvSpPr>
        <cdr:cNvPr id="10" name="9 CuadroTexto"/>
        <cdr:cNvSpPr txBox="1"/>
      </cdr:nvSpPr>
      <cdr:spPr>
        <a:xfrm xmlns:a="http://schemas.openxmlformats.org/drawingml/2006/main">
          <a:off x="7918450" y="417194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userShapes>
</file>

<file path=xl/drawings/drawing15.xml><?xml version="1.0" encoding="utf-8"?>
<c:userShapes xmlns:c="http://schemas.openxmlformats.org/drawingml/2006/chart">
  <cdr:relSizeAnchor xmlns:cdr="http://schemas.openxmlformats.org/drawingml/2006/chartDrawing">
    <cdr:from>
      <cdr:x>0.88944</cdr:x>
      <cdr:y>0.83608</cdr:y>
    </cdr:from>
    <cdr:to>
      <cdr:x>1</cdr:x>
      <cdr:y>1</cdr:y>
    </cdr:to>
    <cdr:sp macro="" textlink="">
      <cdr:nvSpPr>
        <cdr:cNvPr id="2" name="1 CuadroTexto"/>
        <cdr:cNvSpPr txBox="1"/>
      </cdr:nvSpPr>
      <cdr:spPr>
        <a:xfrm xmlns:a="http://schemas.openxmlformats.org/drawingml/2006/main">
          <a:off x="8108950" y="52673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0.8925</cdr:x>
      <cdr:y>0.83608</cdr:y>
    </cdr:from>
    <cdr:to>
      <cdr:x>1</cdr:x>
      <cdr:y>1</cdr:y>
    </cdr:to>
    <cdr:sp macro="" textlink="">
      <cdr:nvSpPr>
        <cdr:cNvPr id="3" name="2 CuadroTexto"/>
        <cdr:cNvSpPr txBox="1"/>
      </cdr:nvSpPr>
      <cdr:spPr>
        <a:xfrm xmlns:a="http://schemas.openxmlformats.org/drawingml/2006/main">
          <a:off x="8474075" y="4806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0.7948</cdr:x>
      <cdr:y>0.4008</cdr:y>
    </cdr:from>
    <cdr:to>
      <cdr:x>0.96067</cdr:x>
      <cdr:y>0.6112</cdr:y>
    </cdr:to>
    <cdr:sp macro="" textlink="">
      <cdr:nvSpPr>
        <cdr:cNvPr id="5" name="4 CuadroTexto"/>
        <cdr:cNvSpPr txBox="1"/>
      </cdr:nvSpPr>
      <cdr:spPr>
        <a:xfrm xmlns:a="http://schemas.openxmlformats.org/drawingml/2006/main">
          <a:off x="7378699" y="2340216"/>
          <a:ext cx="1539875" cy="12284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0.81532</cdr:x>
      <cdr:y>0.46388</cdr:y>
    </cdr:from>
    <cdr:to>
      <cdr:x>0.9788</cdr:x>
      <cdr:y>0.70642</cdr:y>
    </cdr:to>
    <cdr:sp macro="" textlink="">
      <cdr:nvSpPr>
        <cdr:cNvPr id="6" name="5 CuadroTexto"/>
        <cdr:cNvSpPr txBox="1"/>
      </cdr:nvSpPr>
      <cdr:spPr>
        <a:xfrm xmlns:a="http://schemas.openxmlformats.org/drawingml/2006/main">
          <a:off x="7569200" y="2568574"/>
          <a:ext cx="1517650" cy="134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0.89398</cdr:x>
      <cdr:y>0.57855</cdr:y>
    </cdr:from>
    <cdr:to>
      <cdr:x>0.99248</cdr:x>
      <cdr:y>0.74369</cdr:y>
    </cdr:to>
    <cdr:sp macro="" textlink="">
      <cdr:nvSpPr>
        <cdr:cNvPr id="7" name="6 CuadroTexto"/>
        <cdr:cNvSpPr txBox="1"/>
      </cdr:nvSpPr>
      <cdr:spPr>
        <a:xfrm xmlns:a="http://schemas.openxmlformats.org/drawingml/2006/main">
          <a:off x="8299450" y="320357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userShapes>
</file>

<file path=xl/drawings/drawing16.xml><?xml version="1.0" encoding="utf-8"?>
<c:userShapes xmlns:c="http://schemas.openxmlformats.org/drawingml/2006/chart">
  <cdr:relSizeAnchor xmlns:cdr="http://schemas.openxmlformats.org/drawingml/2006/chartDrawing">
    <cdr:from>
      <cdr:x>0.88944</cdr:x>
      <cdr:y>0.83608</cdr:y>
    </cdr:from>
    <cdr:to>
      <cdr:x>1</cdr:x>
      <cdr:y>1</cdr:y>
    </cdr:to>
    <cdr:sp macro="" textlink="">
      <cdr:nvSpPr>
        <cdr:cNvPr id="2" name="1 CuadroTexto"/>
        <cdr:cNvSpPr txBox="1"/>
      </cdr:nvSpPr>
      <cdr:spPr>
        <a:xfrm xmlns:a="http://schemas.openxmlformats.org/drawingml/2006/main">
          <a:off x="8108950" y="52673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0.8925</cdr:x>
      <cdr:y>0.83608</cdr:y>
    </cdr:from>
    <cdr:to>
      <cdr:x>1</cdr:x>
      <cdr:y>1</cdr:y>
    </cdr:to>
    <cdr:sp macro="" textlink="">
      <cdr:nvSpPr>
        <cdr:cNvPr id="3" name="2 CuadroTexto"/>
        <cdr:cNvSpPr txBox="1"/>
      </cdr:nvSpPr>
      <cdr:spPr>
        <a:xfrm xmlns:a="http://schemas.openxmlformats.org/drawingml/2006/main">
          <a:off x="8474075" y="4806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0.7948</cdr:x>
      <cdr:y>0.4008</cdr:y>
    </cdr:from>
    <cdr:to>
      <cdr:x>0.96067</cdr:x>
      <cdr:y>0.6112</cdr:y>
    </cdr:to>
    <cdr:sp macro="" textlink="">
      <cdr:nvSpPr>
        <cdr:cNvPr id="5" name="4 CuadroTexto"/>
        <cdr:cNvSpPr txBox="1"/>
      </cdr:nvSpPr>
      <cdr:spPr>
        <a:xfrm xmlns:a="http://schemas.openxmlformats.org/drawingml/2006/main">
          <a:off x="7378699" y="2340216"/>
          <a:ext cx="1539875" cy="12284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0.81532</cdr:x>
      <cdr:y>0.46388</cdr:y>
    </cdr:from>
    <cdr:to>
      <cdr:x>0.9788</cdr:x>
      <cdr:y>0.70642</cdr:y>
    </cdr:to>
    <cdr:sp macro="" textlink="">
      <cdr:nvSpPr>
        <cdr:cNvPr id="6" name="5 CuadroTexto"/>
        <cdr:cNvSpPr txBox="1"/>
      </cdr:nvSpPr>
      <cdr:spPr>
        <a:xfrm xmlns:a="http://schemas.openxmlformats.org/drawingml/2006/main">
          <a:off x="7569200" y="2568574"/>
          <a:ext cx="1517650" cy="134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0.89398</cdr:x>
      <cdr:y>0.57855</cdr:y>
    </cdr:from>
    <cdr:to>
      <cdr:x>0.99248</cdr:x>
      <cdr:y>0.74369</cdr:y>
    </cdr:to>
    <cdr:sp macro="" textlink="">
      <cdr:nvSpPr>
        <cdr:cNvPr id="7" name="6 CuadroTexto"/>
        <cdr:cNvSpPr txBox="1"/>
      </cdr:nvSpPr>
      <cdr:spPr>
        <a:xfrm xmlns:a="http://schemas.openxmlformats.org/drawingml/2006/main">
          <a:off x="8299450" y="320357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0.85294</cdr:x>
      <cdr:y>0.75344</cdr:y>
    </cdr:from>
    <cdr:to>
      <cdr:x>0.95144</cdr:x>
      <cdr:y>0.91858</cdr:y>
    </cdr:to>
    <cdr:sp macro="" textlink="">
      <cdr:nvSpPr>
        <cdr:cNvPr id="10" name="9 CuadroTexto"/>
        <cdr:cNvSpPr txBox="1"/>
      </cdr:nvSpPr>
      <cdr:spPr>
        <a:xfrm xmlns:a="http://schemas.openxmlformats.org/drawingml/2006/main">
          <a:off x="7918450" y="417194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userShapes>
</file>

<file path=xl/drawings/drawing17.xml><?xml version="1.0" encoding="utf-8"?>
<c:userShapes xmlns:c="http://schemas.openxmlformats.org/drawingml/2006/chart">
  <cdr:relSizeAnchor xmlns:cdr="http://schemas.openxmlformats.org/drawingml/2006/chartDrawing">
    <cdr:from>
      <cdr:x>0.88944</cdr:x>
      <cdr:y>0.83608</cdr:y>
    </cdr:from>
    <cdr:to>
      <cdr:x>1</cdr:x>
      <cdr:y>1</cdr:y>
    </cdr:to>
    <cdr:sp macro="" textlink="">
      <cdr:nvSpPr>
        <cdr:cNvPr id="2" name="1 CuadroTexto"/>
        <cdr:cNvSpPr txBox="1"/>
      </cdr:nvSpPr>
      <cdr:spPr>
        <a:xfrm xmlns:a="http://schemas.openxmlformats.org/drawingml/2006/main">
          <a:off x="8108950" y="52673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0.8925</cdr:x>
      <cdr:y>0.83608</cdr:y>
    </cdr:from>
    <cdr:to>
      <cdr:x>1</cdr:x>
      <cdr:y>1</cdr:y>
    </cdr:to>
    <cdr:sp macro="" textlink="">
      <cdr:nvSpPr>
        <cdr:cNvPr id="3" name="2 CuadroTexto"/>
        <cdr:cNvSpPr txBox="1"/>
      </cdr:nvSpPr>
      <cdr:spPr>
        <a:xfrm xmlns:a="http://schemas.openxmlformats.org/drawingml/2006/main">
          <a:off x="8474075" y="4806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0.7948</cdr:x>
      <cdr:y>0.4008</cdr:y>
    </cdr:from>
    <cdr:to>
      <cdr:x>0.96067</cdr:x>
      <cdr:y>0.6112</cdr:y>
    </cdr:to>
    <cdr:sp macro="" textlink="">
      <cdr:nvSpPr>
        <cdr:cNvPr id="5" name="4 CuadroTexto"/>
        <cdr:cNvSpPr txBox="1"/>
      </cdr:nvSpPr>
      <cdr:spPr>
        <a:xfrm xmlns:a="http://schemas.openxmlformats.org/drawingml/2006/main">
          <a:off x="7378699" y="2340216"/>
          <a:ext cx="1539875" cy="12284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0.81532</cdr:x>
      <cdr:y>0.46388</cdr:y>
    </cdr:from>
    <cdr:to>
      <cdr:x>0.9788</cdr:x>
      <cdr:y>0.70642</cdr:y>
    </cdr:to>
    <cdr:sp macro="" textlink="">
      <cdr:nvSpPr>
        <cdr:cNvPr id="6" name="5 CuadroTexto"/>
        <cdr:cNvSpPr txBox="1"/>
      </cdr:nvSpPr>
      <cdr:spPr>
        <a:xfrm xmlns:a="http://schemas.openxmlformats.org/drawingml/2006/main">
          <a:off x="7569200" y="2568574"/>
          <a:ext cx="1517650" cy="134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0.89398</cdr:x>
      <cdr:y>0.57855</cdr:y>
    </cdr:from>
    <cdr:to>
      <cdr:x>0.99248</cdr:x>
      <cdr:y>0.74369</cdr:y>
    </cdr:to>
    <cdr:sp macro="" textlink="">
      <cdr:nvSpPr>
        <cdr:cNvPr id="7" name="6 CuadroTexto"/>
        <cdr:cNvSpPr txBox="1"/>
      </cdr:nvSpPr>
      <cdr:spPr>
        <a:xfrm xmlns:a="http://schemas.openxmlformats.org/drawingml/2006/main">
          <a:off x="8299450" y="320357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userShapes>
</file>

<file path=xl/drawings/drawing18.xml><?xml version="1.0" encoding="utf-8"?>
<c:userShapes xmlns:c="http://schemas.openxmlformats.org/drawingml/2006/chart">
  <cdr:relSizeAnchor xmlns:cdr="http://schemas.openxmlformats.org/drawingml/2006/chartDrawing">
    <cdr:from>
      <cdr:x>0.88944</cdr:x>
      <cdr:y>0.83608</cdr:y>
    </cdr:from>
    <cdr:to>
      <cdr:x>1</cdr:x>
      <cdr:y>1</cdr:y>
    </cdr:to>
    <cdr:sp macro="" textlink="">
      <cdr:nvSpPr>
        <cdr:cNvPr id="2" name="1 CuadroTexto"/>
        <cdr:cNvSpPr txBox="1"/>
      </cdr:nvSpPr>
      <cdr:spPr>
        <a:xfrm xmlns:a="http://schemas.openxmlformats.org/drawingml/2006/main">
          <a:off x="8108950" y="52673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0.8925</cdr:x>
      <cdr:y>0.83608</cdr:y>
    </cdr:from>
    <cdr:to>
      <cdr:x>1</cdr:x>
      <cdr:y>1</cdr:y>
    </cdr:to>
    <cdr:sp macro="" textlink="">
      <cdr:nvSpPr>
        <cdr:cNvPr id="3" name="2 CuadroTexto"/>
        <cdr:cNvSpPr txBox="1"/>
      </cdr:nvSpPr>
      <cdr:spPr>
        <a:xfrm xmlns:a="http://schemas.openxmlformats.org/drawingml/2006/main">
          <a:off x="8474075" y="4806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0.7948</cdr:x>
      <cdr:y>0.4008</cdr:y>
    </cdr:from>
    <cdr:to>
      <cdr:x>0.96067</cdr:x>
      <cdr:y>0.6112</cdr:y>
    </cdr:to>
    <cdr:sp macro="" textlink="">
      <cdr:nvSpPr>
        <cdr:cNvPr id="5" name="4 CuadroTexto"/>
        <cdr:cNvSpPr txBox="1"/>
      </cdr:nvSpPr>
      <cdr:spPr>
        <a:xfrm xmlns:a="http://schemas.openxmlformats.org/drawingml/2006/main">
          <a:off x="7378699" y="2340216"/>
          <a:ext cx="1539875" cy="12284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0.81532</cdr:x>
      <cdr:y>0.46388</cdr:y>
    </cdr:from>
    <cdr:to>
      <cdr:x>0.9788</cdr:x>
      <cdr:y>0.70642</cdr:y>
    </cdr:to>
    <cdr:sp macro="" textlink="">
      <cdr:nvSpPr>
        <cdr:cNvPr id="6" name="5 CuadroTexto"/>
        <cdr:cNvSpPr txBox="1"/>
      </cdr:nvSpPr>
      <cdr:spPr>
        <a:xfrm xmlns:a="http://schemas.openxmlformats.org/drawingml/2006/main">
          <a:off x="7569200" y="2568574"/>
          <a:ext cx="1517650" cy="134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0.89398</cdr:x>
      <cdr:y>0.57855</cdr:y>
    </cdr:from>
    <cdr:to>
      <cdr:x>0.99248</cdr:x>
      <cdr:y>0.74369</cdr:y>
    </cdr:to>
    <cdr:sp macro="" textlink="">
      <cdr:nvSpPr>
        <cdr:cNvPr id="7" name="6 CuadroTexto"/>
        <cdr:cNvSpPr txBox="1"/>
      </cdr:nvSpPr>
      <cdr:spPr>
        <a:xfrm xmlns:a="http://schemas.openxmlformats.org/drawingml/2006/main">
          <a:off x="8299450" y="320357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0.85294</cdr:x>
      <cdr:y>0.75344</cdr:y>
    </cdr:from>
    <cdr:to>
      <cdr:x>0.95144</cdr:x>
      <cdr:y>0.91858</cdr:y>
    </cdr:to>
    <cdr:sp macro="" textlink="">
      <cdr:nvSpPr>
        <cdr:cNvPr id="10" name="9 CuadroTexto"/>
        <cdr:cNvSpPr txBox="1"/>
      </cdr:nvSpPr>
      <cdr:spPr>
        <a:xfrm xmlns:a="http://schemas.openxmlformats.org/drawingml/2006/main">
          <a:off x="7918450" y="417194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userShapes>
</file>

<file path=xl/drawings/drawing19.xml><?xml version="1.0" encoding="utf-8"?>
<c:userShapes xmlns:c="http://schemas.openxmlformats.org/drawingml/2006/chart">
  <cdr:relSizeAnchor xmlns:cdr="http://schemas.openxmlformats.org/drawingml/2006/chartDrawing">
    <cdr:from>
      <cdr:x>0.88944</cdr:x>
      <cdr:y>0.83608</cdr:y>
    </cdr:from>
    <cdr:to>
      <cdr:x>1</cdr:x>
      <cdr:y>1</cdr:y>
    </cdr:to>
    <cdr:sp macro="" textlink="">
      <cdr:nvSpPr>
        <cdr:cNvPr id="2" name="1 CuadroTexto"/>
        <cdr:cNvSpPr txBox="1"/>
      </cdr:nvSpPr>
      <cdr:spPr>
        <a:xfrm xmlns:a="http://schemas.openxmlformats.org/drawingml/2006/main">
          <a:off x="8108950" y="52673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0.8925</cdr:x>
      <cdr:y>0.83608</cdr:y>
    </cdr:from>
    <cdr:to>
      <cdr:x>1</cdr:x>
      <cdr:y>1</cdr:y>
    </cdr:to>
    <cdr:sp macro="" textlink="">
      <cdr:nvSpPr>
        <cdr:cNvPr id="3" name="2 CuadroTexto"/>
        <cdr:cNvSpPr txBox="1"/>
      </cdr:nvSpPr>
      <cdr:spPr>
        <a:xfrm xmlns:a="http://schemas.openxmlformats.org/drawingml/2006/main">
          <a:off x="8474075" y="4806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0.7948</cdr:x>
      <cdr:y>0.4008</cdr:y>
    </cdr:from>
    <cdr:to>
      <cdr:x>0.96067</cdr:x>
      <cdr:y>0.6112</cdr:y>
    </cdr:to>
    <cdr:sp macro="" textlink="">
      <cdr:nvSpPr>
        <cdr:cNvPr id="5" name="4 CuadroTexto"/>
        <cdr:cNvSpPr txBox="1"/>
      </cdr:nvSpPr>
      <cdr:spPr>
        <a:xfrm xmlns:a="http://schemas.openxmlformats.org/drawingml/2006/main">
          <a:off x="7378699" y="2340216"/>
          <a:ext cx="1539875" cy="12284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0.81532</cdr:x>
      <cdr:y>0.46388</cdr:y>
    </cdr:from>
    <cdr:to>
      <cdr:x>0.9788</cdr:x>
      <cdr:y>0.70642</cdr:y>
    </cdr:to>
    <cdr:sp macro="" textlink="">
      <cdr:nvSpPr>
        <cdr:cNvPr id="6" name="5 CuadroTexto"/>
        <cdr:cNvSpPr txBox="1"/>
      </cdr:nvSpPr>
      <cdr:spPr>
        <a:xfrm xmlns:a="http://schemas.openxmlformats.org/drawingml/2006/main">
          <a:off x="7569200" y="2568574"/>
          <a:ext cx="1517650" cy="134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0.89398</cdr:x>
      <cdr:y>0.57855</cdr:y>
    </cdr:from>
    <cdr:to>
      <cdr:x>0.99248</cdr:x>
      <cdr:y>0.74369</cdr:y>
    </cdr:to>
    <cdr:sp macro="" textlink="">
      <cdr:nvSpPr>
        <cdr:cNvPr id="7" name="6 CuadroTexto"/>
        <cdr:cNvSpPr txBox="1"/>
      </cdr:nvSpPr>
      <cdr:spPr>
        <a:xfrm xmlns:a="http://schemas.openxmlformats.org/drawingml/2006/main">
          <a:off x="8299450" y="320357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0.85294</cdr:x>
      <cdr:y>0.75344</cdr:y>
    </cdr:from>
    <cdr:to>
      <cdr:x>0.95144</cdr:x>
      <cdr:y>0.91858</cdr:y>
    </cdr:to>
    <cdr:sp macro="" textlink="">
      <cdr:nvSpPr>
        <cdr:cNvPr id="10" name="9 CuadroTexto"/>
        <cdr:cNvSpPr txBox="1"/>
      </cdr:nvSpPr>
      <cdr:spPr>
        <a:xfrm xmlns:a="http://schemas.openxmlformats.org/drawingml/2006/main">
          <a:off x="7918450" y="417194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95249</xdr:rowOff>
    </xdr:from>
    <xdr:to>
      <xdr:col>0</xdr:col>
      <xdr:colOff>2460625</xdr:colOff>
      <xdr:row>7</xdr:row>
      <xdr:rowOff>22037</xdr:rowOff>
    </xdr:to>
    <xdr:pic>
      <xdr:nvPicPr>
        <xdr:cNvPr id="3" name="2 Imagen">
          <a:extLst>
            <a:ext uri="{FF2B5EF4-FFF2-40B4-BE49-F238E27FC236}">
              <a16:creationId xmlns:a16="http://schemas.microsoft.com/office/drawing/2014/main" id="{00000000-0008-0000-0000-000083BCE8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5249"/>
          <a:ext cx="2365375" cy="1371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0.88944</cdr:x>
      <cdr:y>0.83608</cdr:y>
    </cdr:from>
    <cdr:to>
      <cdr:x>1</cdr:x>
      <cdr:y>1</cdr:y>
    </cdr:to>
    <cdr:sp macro="" textlink="">
      <cdr:nvSpPr>
        <cdr:cNvPr id="2" name="1 CuadroTexto"/>
        <cdr:cNvSpPr txBox="1"/>
      </cdr:nvSpPr>
      <cdr:spPr>
        <a:xfrm xmlns:a="http://schemas.openxmlformats.org/drawingml/2006/main">
          <a:off x="8108950" y="52673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0.8925</cdr:x>
      <cdr:y>0.83608</cdr:y>
    </cdr:from>
    <cdr:to>
      <cdr:x>1</cdr:x>
      <cdr:y>1</cdr:y>
    </cdr:to>
    <cdr:sp macro="" textlink="">
      <cdr:nvSpPr>
        <cdr:cNvPr id="3" name="2 CuadroTexto"/>
        <cdr:cNvSpPr txBox="1"/>
      </cdr:nvSpPr>
      <cdr:spPr>
        <a:xfrm xmlns:a="http://schemas.openxmlformats.org/drawingml/2006/main">
          <a:off x="8474075" y="4806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0.7948</cdr:x>
      <cdr:y>0.4008</cdr:y>
    </cdr:from>
    <cdr:to>
      <cdr:x>0.96067</cdr:x>
      <cdr:y>0.6112</cdr:y>
    </cdr:to>
    <cdr:sp macro="" textlink="">
      <cdr:nvSpPr>
        <cdr:cNvPr id="5" name="4 CuadroTexto"/>
        <cdr:cNvSpPr txBox="1"/>
      </cdr:nvSpPr>
      <cdr:spPr>
        <a:xfrm xmlns:a="http://schemas.openxmlformats.org/drawingml/2006/main">
          <a:off x="7378699" y="2340216"/>
          <a:ext cx="1539875" cy="12284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0.81532</cdr:x>
      <cdr:y>0.46388</cdr:y>
    </cdr:from>
    <cdr:to>
      <cdr:x>0.9788</cdr:x>
      <cdr:y>0.70642</cdr:y>
    </cdr:to>
    <cdr:sp macro="" textlink="">
      <cdr:nvSpPr>
        <cdr:cNvPr id="6" name="5 CuadroTexto"/>
        <cdr:cNvSpPr txBox="1"/>
      </cdr:nvSpPr>
      <cdr:spPr>
        <a:xfrm xmlns:a="http://schemas.openxmlformats.org/drawingml/2006/main">
          <a:off x="7569200" y="2568574"/>
          <a:ext cx="1517650" cy="134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0.89398</cdr:x>
      <cdr:y>0.57855</cdr:y>
    </cdr:from>
    <cdr:to>
      <cdr:x>0.99248</cdr:x>
      <cdr:y>0.74369</cdr:y>
    </cdr:to>
    <cdr:sp macro="" textlink="">
      <cdr:nvSpPr>
        <cdr:cNvPr id="7" name="6 CuadroTexto"/>
        <cdr:cNvSpPr txBox="1"/>
      </cdr:nvSpPr>
      <cdr:spPr>
        <a:xfrm xmlns:a="http://schemas.openxmlformats.org/drawingml/2006/main">
          <a:off x="8299450" y="320357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0.85294</cdr:x>
      <cdr:y>0.75344</cdr:y>
    </cdr:from>
    <cdr:to>
      <cdr:x>0.95144</cdr:x>
      <cdr:y>0.91858</cdr:y>
    </cdr:to>
    <cdr:sp macro="" textlink="">
      <cdr:nvSpPr>
        <cdr:cNvPr id="10" name="9 CuadroTexto"/>
        <cdr:cNvSpPr txBox="1"/>
      </cdr:nvSpPr>
      <cdr:spPr>
        <a:xfrm xmlns:a="http://schemas.openxmlformats.org/drawingml/2006/main">
          <a:off x="7918450" y="417194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userShapes>
</file>

<file path=xl/drawings/drawing21.xml><?xml version="1.0" encoding="utf-8"?>
<c:userShapes xmlns:c="http://schemas.openxmlformats.org/drawingml/2006/chart">
  <cdr:relSizeAnchor xmlns:cdr="http://schemas.openxmlformats.org/drawingml/2006/chartDrawing">
    <cdr:from>
      <cdr:x>0.88944</cdr:x>
      <cdr:y>0.83608</cdr:y>
    </cdr:from>
    <cdr:to>
      <cdr:x>1</cdr:x>
      <cdr:y>1</cdr:y>
    </cdr:to>
    <cdr:sp macro="" textlink="">
      <cdr:nvSpPr>
        <cdr:cNvPr id="2" name="1 CuadroTexto"/>
        <cdr:cNvSpPr txBox="1"/>
      </cdr:nvSpPr>
      <cdr:spPr>
        <a:xfrm xmlns:a="http://schemas.openxmlformats.org/drawingml/2006/main">
          <a:off x="8108950" y="52673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0.8925</cdr:x>
      <cdr:y>0.83608</cdr:y>
    </cdr:from>
    <cdr:to>
      <cdr:x>1</cdr:x>
      <cdr:y>1</cdr:y>
    </cdr:to>
    <cdr:sp macro="" textlink="">
      <cdr:nvSpPr>
        <cdr:cNvPr id="3" name="2 CuadroTexto"/>
        <cdr:cNvSpPr txBox="1"/>
      </cdr:nvSpPr>
      <cdr:spPr>
        <a:xfrm xmlns:a="http://schemas.openxmlformats.org/drawingml/2006/main">
          <a:off x="8474075" y="4806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0.7948</cdr:x>
      <cdr:y>0.4008</cdr:y>
    </cdr:from>
    <cdr:to>
      <cdr:x>0.96067</cdr:x>
      <cdr:y>0.6112</cdr:y>
    </cdr:to>
    <cdr:sp macro="" textlink="">
      <cdr:nvSpPr>
        <cdr:cNvPr id="5" name="4 CuadroTexto"/>
        <cdr:cNvSpPr txBox="1"/>
      </cdr:nvSpPr>
      <cdr:spPr>
        <a:xfrm xmlns:a="http://schemas.openxmlformats.org/drawingml/2006/main">
          <a:off x="7378699" y="2340216"/>
          <a:ext cx="1539875" cy="12284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0.81532</cdr:x>
      <cdr:y>0.46388</cdr:y>
    </cdr:from>
    <cdr:to>
      <cdr:x>0.9788</cdr:x>
      <cdr:y>0.70642</cdr:y>
    </cdr:to>
    <cdr:sp macro="" textlink="">
      <cdr:nvSpPr>
        <cdr:cNvPr id="6" name="5 CuadroTexto"/>
        <cdr:cNvSpPr txBox="1"/>
      </cdr:nvSpPr>
      <cdr:spPr>
        <a:xfrm xmlns:a="http://schemas.openxmlformats.org/drawingml/2006/main">
          <a:off x="7569200" y="2568574"/>
          <a:ext cx="1517650" cy="134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0.89398</cdr:x>
      <cdr:y>0.57855</cdr:y>
    </cdr:from>
    <cdr:to>
      <cdr:x>0.99248</cdr:x>
      <cdr:y>0.74369</cdr:y>
    </cdr:to>
    <cdr:sp macro="" textlink="">
      <cdr:nvSpPr>
        <cdr:cNvPr id="7" name="6 CuadroTexto"/>
        <cdr:cNvSpPr txBox="1"/>
      </cdr:nvSpPr>
      <cdr:spPr>
        <a:xfrm xmlns:a="http://schemas.openxmlformats.org/drawingml/2006/main">
          <a:off x="8299450" y="320357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dr:relSizeAnchor xmlns:cdr="http://schemas.openxmlformats.org/drawingml/2006/chartDrawing">
    <cdr:from>
      <cdr:x>0.85294</cdr:x>
      <cdr:y>0.75344</cdr:y>
    </cdr:from>
    <cdr:to>
      <cdr:x>0.95144</cdr:x>
      <cdr:y>0.91858</cdr:y>
    </cdr:to>
    <cdr:sp macro="" textlink="">
      <cdr:nvSpPr>
        <cdr:cNvPr id="10" name="9 CuadroTexto"/>
        <cdr:cNvSpPr txBox="1"/>
      </cdr:nvSpPr>
      <cdr:spPr>
        <a:xfrm xmlns:a="http://schemas.openxmlformats.org/drawingml/2006/main">
          <a:off x="7918450" y="417194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userShapes>
</file>

<file path=xl/drawings/drawing3.xml><?xml version="1.0" encoding="utf-8"?>
<xdr:wsDr xmlns:xdr="http://schemas.openxmlformats.org/drawingml/2006/spreadsheetDrawing" xmlns:a="http://schemas.openxmlformats.org/drawingml/2006/main">
  <xdr:oneCellAnchor>
    <xdr:from>
      <xdr:col>11</xdr:col>
      <xdr:colOff>263525</xdr:colOff>
      <xdr:row>134</xdr:row>
      <xdr:rowOff>76200</xdr:rowOff>
    </xdr:from>
    <xdr:ext cx="184731" cy="264560"/>
    <xdr:sp macro="" textlink="">
      <xdr:nvSpPr>
        <xdr:cNvPr id="2" name="1 CuadroTexto">
          <a:extLst>
            <a:ext uri="{FF2B5EF4-FFF2-40B4-BE49-F238E27FC236}">
              <a16:creationId xmlns:a16="http://schemas.microsoft.com/office/drawing/2014/main" id="{00000000-0008-0000-0200-000002000000}"/>
            </a:ext>
          </a:extLst>
        </xdr:cNvPr>
        <xdr:cNvSpPr txBox="1"/>
      </xdr:nvSpPr>
      <xdr:spPr>
        <a:xfrm>
          <a:off x="16856075" y="514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twoCellAnchor editAs="oneCell">
    <xdr:from>
      <xdr:col>0</xdr:col>
      <xdr:colOff>0</xdr:colOff>
      <xdr:row>0</xdr:row>
      <xdr:rowOff>0</xdr:rowOff>
    </xdr:from>
    <xdr:to>
      <xdr:col>0</xdr:col>
      <xdr:colOff>2476500</xdr:colOff>
      <xdr:row>6</xdr:row>
      <xdr:rowOff>127906</xdr:rowOff>
    </xdr:to>
    <xdr:pic>
      <xdr:nvPicPr>
        <xdr:cNvPr id="4" name="2 Imagen">
          <a:extLst>
            <a:ext uri="{FF2B5EF4-FFF2-40B4-BE49-F238E27FC236}">
              <a16:creationId xmlns:a16="http://schemas.microsoft.com/office/drawing/2014/main" id="{00000000-0008-0000-0000-000083BCE8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76500" cy="1426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11</xdr:col>
      <xdr:colOff>263525</xdr:colOff>
      <xdr:row>146</xdr:row>
      <xdr:rowOff>76200</xdr:rowOff>
    </xdr:from>
    <xdr:ext cx="184731" cy="264560"/>
    <xdr:sp macro="" textlink="">
      <xdr:nvSpPr>
        <xdr:cNvPr id="4" name="3 CuadroTexto">
          <a:extLst>
            <a:ext uri="{FF2B5EF4-FFF2-40B4-BE49-F238E27FC236}">
              <a16:creationId xmlns:a16="http://schemas.microsoft.com/office/drawing/2014/main" id="{00000000-0008-0000-0300-000004000000}"/>
            </a:ext>
          </a:extLst>
        </xdr:cNvPr>
        <xdr:cNvSpPr txBox="1"/>
      </xdr:nvSpPr>
      <xdr:spPr>
        <a:xfrm>
          <a:off x="14376400" y="5751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twoCellAnchor editAs="oneCell">
    <xdr:from>
      <xdr:col>0</xdr:col>
      <xdr:colOff>1</xdr:colOff>
      <xdr:row>0</xdr:row>
      <xdr:rowOff>0</xdr:rowOff>
    </xdr:from>
    <xdr:to>
      <xdr:col>0</xdr:col>
      <xdr:colOff>2238375</xdr:colOff>
      <xdr:row>7</xdr:row>
      <xdr:rowOff>46849</xdr:rowOff>
    </xdr:to>
    <xdr:pic>
      <xdr:nvPicPr>
        <xdr:cNvPr id="5" name="2 Imagen">
          <a:extLst>
            <a:ext uri="{FF2B5EF4-FFF2-40B4-BE49-F238E27FC236}">
              <a16:creationId xmlns:a16="http://schemas.microsoft.com/office/drawing/2014/main" id="{00000000-0008-0000-0000-000083BCE8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238374" cy="1491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98425</xdr:colOff>
      <xdr:row>0</xdr:row>
      <xdr:rowOff>50800</xdr:rowOff>
    </xdr:from>
    <xdr:to>
      <xdr:col>0</xdr:col>
      <xdr:colOff>2203450</xdr:colOff>
      <xdr:row>5</xdr:row>
      <xdr:rowOff>146050</xdr:rowOff>
    </xdr:to>
    <xdr:pic>
      <xdr:nvPicPr>
        <xdr:cNvPr id="48813183" name="2 Imagen">
          <a:extLst>
            <a:ext uri="{FF2B5EF4-FFF2-40B4-BE49-F238E27FC236}">
              <a16:creationId xmlns:a16="http://schemas.microsoft.com/office/drawing/2014/main" id="{00000000-0008-0000-0400-00007FD4E8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425" y="50800"/>
          <a:ext cx="2105025" cy="11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98426</xdr:colOff>
      <xdr:row>0</xdr:row>
      <xdr:rowOff>1</xdr:rowOff>
    </xdr:from>
    <xdr:to>
      <xdr:col>0</xdr:col>
      <xdr:colOff>2524126</xdr:colOff>
      <xdr:row>7</xdr:row>
      <xdr:rowOff>67845</xdr:rowOff>
    </xdr:to>
    <xdr:pic>
      <xdr:nvPicPr>
        <xdr:cNvPr id="4" name="2 Imagen">
          <a:extLst>
            <a:ext uri="{FF2B5EF4-FFF2-40B4-BE49-F238E27FC236}">
              <a16:creationId xmlns:a16="http://schemas.microsoft.com/office/drawing/2014/main" id="{00000000-0008-0000-0400-00007FD4E8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426" y="1"/>
          <a:ext cx="2425700" cy="1433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82549</xdr:colOff>
      <xdr:row>0</xdr:row>
      <xdr:rowOff>82551</xdr:rowOff>
    </xdr:from>
    <xdr:to>
      <xdr:col>0</xdr:col>
      <xdr:colOff>2301875</xdr:colOff>
      <xdr:row>7</xdr:row>
      <xdr:rowOff>46559</xdr:rowOff>
    </xdr:to>
    <xdr:pic>
      <xdr:nvPicPr>
        <xdr:cNvPr id="48815231" name="2 Imagen">
          <a:extLst>
            <a:ext uri="{FF2B5EF4-FFF2-40B4-BE49-F238E27FC236}">
              <a16:creationId xmlns:a16="http://schemas.microsoft.com/office/drawing/2014/main" id="{00000000-0008-0000-0600-00007FDCE8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49" y="82551"/>
          <a:ext cx="2219326" cy="1329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55336</xdr:colOff>
      <xdr:row>0</xdr:row>
      <xdr:rowOff>53068</xdr:rowOff>
    </xdr:from>
    <xdr:to>
      <xdr:col>0</xdr:col>
      <xdr:colOff>2354036</xdr:colOff>
      <xdr:row>6</xdr:row>
      <xdr:rowOff>70304</xdr:rowOff>
    </xdr:to>
    <xdr:pic>
      <xdr:nvPicPr>
        <xdr:cNvPr id="48816258" name="2 Imagen">
          <a:extLst>
            <a:ext uri="{FF2B5EF4-FFF2-40B4-BE49-F238E27FC236}">
              <a16:creationId xmlns:a16="http://schemas.microsoft.com/office/drawing/2014/main" id="{00000000-0008-0000-0700-000082E0E8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36" y="53068"/>
          <a:ext cx="2298700" cy="1337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24945</xdr:colOff>
      <xdr:row>0</xdr:row>
      <xdr:rowOff>0</xdr:rowOff>
    </xdr:from>
    <xdr:to>
      <xdr:col>0</xdr:col>
      <xdr:colOff>2245178</xdr:colOff>
      <xdr:row>5</xdr:row>
      <xdr:rowOff>199384</xdr:rowOff>
    </xdr:to>
    <xdr:pic>
      <xdr:nvPicPr>
        <xdr:cNvPr id="48817409" name="3 Imagen">
          <a:extLst>
            <a:ext uri="{FF2B5EF4-FFF2-40B4-BE49-F238E27FC236}">
              <a16:creationId xmlns:a16="http://schemas.microsoft.com/office/drawing/2014/main" id="{00000000-0008-0000-0800-000001E5E8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45" y="0"/>
          <a:ext cx="2220233" cy="1315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drawing" Target="../drawings/drawing10.xml"/><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1.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printerSettings" Target="../printerSettings/printerSettings53.bin"/><Relationship Id="rId7" Type="http://schemas.openxmlformats.org/officeDocument/2006/relationships/vmlDrawing" Target="../drawings/vmlDrawing8.v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drawing" Target="../drawings/drawing11.xml"/><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8.bin"/><Relationship Id="rId7"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printerSettings" Target="../printerSettings/printerSettings13.bin"/><Relationship Id="rId7"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printerSettings" Target="../printerSettings/printerSettings18.bin"/><Relationship Id="rId7" Type="http://schemas.openxmlformats.org/officeDocument/2006/relationships/vmlDrawing" Target="../drawings/vmlDrawing4.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4.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printerSettings" Target="../printerSettings/printerSettings23.bin"/><Relationship Id="rId7" Type="http://schemas.openxmlformats.org/officeDocument/2006/relationships/vmlDrawing" Target="../drawings/vmlDrawing5.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drawing" Target="../drawings/drawing5.xml"/><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drawing" Target="../drawings/drawing6.xml"/><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printerSettings" Target="../printerSettings/printerSettings33.bin"/><Relationship Id="rId7" Type="http://schemas.openxmlformats.org/officeDocument/2006/relationships/vmlDrawing" Target="../drawings/vmlDrawing6.v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drawing" Target="../drawings/drawing7.xml"/><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drawing" Target="../drawings/drawing8.xml"/><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printerSettings" Target="../printerSettings/printerSettings43.bin"/><Relationship Id="rId7" Type="http://schemas.openxmlformats.org/officeDocument/2006/relationships/vmlDrawing" Target="../drawings/vmlDrawing7.v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drawing" Target="../drawings/drawing9.xml"/><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XFD253"/>
  <sheetViews>
    <sheetView zoomScale="70" zoomScaleNormal="70" workbookViewId="0">
      <pane xSplit="3" ySplit="10" topLeftCell="D11" activePane="bottomRight" state="frozenSplit"/>
      <selection pane="topRight" activeCell="D1" sqref="D1"/>
      <selection pane="bottomLeft" activeCell="A11" sqref="A11"/>
      <selection pane="bottomRight" activeCell="A11" sqref="A11"/>
    </sheetView>
  </sheetViews>
  <sheetFormatPr baseColWidth="10" defaultColWidth="0" defaultRowHeight="36.75" customHeight="1" x14ac:dyDescent="0.2"/>
  <cols>
    <col min="1" max="1" width="39" style="203" customWidth="1"/>
    <col min="2" max="2" width="42" style="13" customWidth="1"/>
    <col min="3" max="3" width="66.28515625" style="13" customWidth="1"/>
    <col min="4" max="4" width="24.85546875" style="94" customWidth="1"/>
    <col min="5" max="18" width="10.7109375" style="13" customWidth="1"/>
    <col min="19" max="19" width="42.42578125" style="13" bestFit="1" customWidth="1"/>
    <col min="20" max="20" width="9.85546875" style="13" hidden="1" customWidth="1"/>
    <col min="21" max="16384" width="11.42578125" style="13" hidden="1"/>
  </cols>
  <sheetData>
    <row r="1" spans="1:23" s="7" customFormat="1" ht="18" customHeight="1" x14ac:dyDescent="0.2">
      <c r="A1" s="108"/>
      <c r="B1" s="326" t="s">
        <v>254</v>
      </c>
      <c r="C1" s="326"/>
      <c r="D1" s="326"/>
      <c r="E1" s="86"/>
      <c r="F1" s="86"/>
      <c r="G1" s="86"/>
      <c r="H1" s="86"/>
      <c r="I1" s="86"/>
      <c r="J1" s="86"/>
      <c r="K1" s="86"/>
      <c r="L1" s="86"/>
      <c r="M1" s="86"/>
      <c r="N1" s="86"/>
      <c r="O1" s="86"/>
      <c r="P1" s="86"/>
      <c r="Q1" s="86"/>
      <c r="R1" s="87"/>
      <c r="S1" s="39" t="s">
        <v>492</v>
      </c>
      <c r="T1" s="3"/>
      <c r="U1" s="5"/>
      <c r="V1" s="6"/>
      <c r="W1" s="6"/>
    </row>
    <row r="2" spans="1:23" s="9" customFormat="1" ht="18" customHeight="1" x14ac:dyDescent="0.2">
      <c r="A2" s="108"/>
      <c r="B2" s="326" t="s">
        <v>4587</v>
      </c>
      <c r="C2" s="326"/>
      <c r="D2" s="326"/>
      <c r="E2" s="85"/>
      <c r="F2" s="85"/>
      <c r="G2" s="85"/>
      <c r="H2" s="85"/>
      <c r="I2" s="85"/>
      <c r="J2" s="85"/>
      <c r="K2" s="85"/>
      <c r="L2" s="85"/>
      <c r="M2" s="85"/>
      <c r="N2" s="85"/>
      <c r="O2" s="85"/>
      <c r="P2" s="85"/>
      <c r="Q2" s="85"/>
      <c r="R2" s="88"/>
      <c r="S2" s="40" t="s">
        <v>255</v>
      </c>
      <c r="T2" s="3"/>
      <c r="U2" s="8"/>
      <c r="V2" s="6"/>
      <c r="W2" s="6"/>
    </row>
    <row r="3" spans="1:23" s="7" customFormat="1" ht="18" customHeight="1" x14ac:dyDescent="0.2">
      <c r="A3" s="108"/>
      <c r="B3" s="327" t="s">
        <v>4588</v>
      </c>
      <c r="C3" s="327"/>
      <c r="D3" s="327"/>
      <c r="E3" s="66"/>
      <c r="F3" s="66"/>
      <c r="G3" s="66"/>
      <c r="H3" s="66"/>
      <c r="I3" s="66"/>
      <c r="J3" s="66"/>
      <c r="K3" s="66"/>
      <c r="L3" s="66"/>
      <c r="M3" s="66"/>
      <c r="N3" s="66"/>
      <c r="O3" s="66"/>
      <c r="P3" s="66"/>
      <c r="Q3" s="66"/>
      <c r="R3" s="89"/>
      <c r="S3" s="40" t="s">
        <v>493</v>
      </c>
      <c r="T3" s="3"/>
      <c r="U3" s="5"/>
      <c r="V3" s="6"/>
      <c r="W3" s="6"/>
    </row>
    <row r="4" spans="1:23" s="7" customFormat="1" ht="18" customHeight="1" x14ac:dyDescent="0.25">
      <c r="A4" s="108"/>
      <c r="B4" s="60" t="s">
        <v>4119</v>
      </c>
      <c r="C4" s="309"/>
      <c r="D4" s="309"/>
      <c r="E4" s="37"/>
      <c r="F4" s="37"/>
      <c r="G4" s="37"/>
      <c r="H4" s="37"/>
      <c r="I4" s="37"/>
      <c r="J4" s="37"/>
      <c r="K4" s="37"/>
      <c r="L4" s="37"/>
      <c r="M4" s="37"/>
      <c r="N4" s="37"/>
      <c r="O4" s="37"/>
      <c r="P4" s="37"/>
      <c r="Q4" s="37"/>
      <c r="R4" s="38"/>
      <c r="S4" s="40" t="s">
        <v>256</v>
      </c>
      <c r="T4" s="3"/>
      <c r="U4" s="5"/>
      <c r="V4" s="6"/>
      <c r="W4" s="6"/>
    </row>
    <row r="5" spans="1:23" s="32" customFormat="1" ht="15" customHeight="1" x14ac:dyDescent="0.2">
      <c r="A5" s="109"/>
      <c r="B5" s="326" t="s">
        <v>4291</v>
      </c>
      <c r="C5" s="326"/>
      <c r="D5" s="326"/>
      <c r="E5" s="319" t="s">
        <v>251</v>
      </c>
      <c r="F5" s="319"/>
      <c r="G5" s="319"/>
      <c r="H5" s="314" t="s">
        <v>258</v>
      </c>
      <c r="I5" s="314"/>
      <c r="J5" s="314"/>
      <c r="K5" s="321" t="s">
        <v>491</v>
      </c>
      <c r="L5" s="321"/>
      <c r="M5" s="321"/>
      <c r="N5" s="318" t="s">
        <v>422</v>
      </c>
      <c r="O5" s="318"/>
      <c r="P5" s="318"/>
      <c r="Q5" s="334" t="s">
        <v>259</v>
      </c>
      <c r="R5" s="334"/>
      <c r="S5" s="313" t="s">
        <v>261</v>
      </c>
    </row>
    <row r="6" spans="1:23" s="32" customFormat="1" ht="16.5" customHeight="1" x14ac:dyDescent="0.2">
      <c r="A6" s="109"/>
      <c r="B6" s="174"/>
      <c r="C6" s="360"/>
      <c r="D6" s="359" t="s">
        <v>260</v>
      </c>
      <c r="E6" s="319"/>
      <c r="F6" s="319"/>
      <c r="G6" s="319"/>
      <c r="H6" s="314"/>
      <c r="I6" s="314"/>
      <c r="J6" s="314"/>
      <c r="K6" s="321"/>
      <c r="L6" s="321"/>
      <c r="M6" s="321"/>
      <c r="N6" s="318"/>
      <c r="O6" s="318"/>
      <c r="P6" s="318"/>
      <c r="Q6" s="334"/>
      <c r="R6" s="334"/>
      <c r="S6" s="313"/>
    </row>
    <row r="7" spans="1:23" s="32" customFormat="1" ht="12" customHeight="1" x14ac:dyDescent="0.2">
      <c r="A7" s="329"/>
      <c r="B7" s="329"/>
      <c r="C7" s="42"/>
      <c r="D7" s="92"/>
      <c r="E7" s="43"/>
      <c r="F7" s="43"/>
      <c r="G7" s="43"/>
      <c r="H7" s="43"/>
      <c r="I7" s="43"/>
      <c r="J7" s="43"/>
      <c r="K7" s="43"/>
      <c r="L7" s="43"/>
      <c r="M7" s="43"/>
      <c r="N7" s="43"/>
      <c r="O7" s="43"/>
      <c r="P7" s="43"/>
      <c r="Q7" s="43"/>
      <c r="R7" s="43"/>
      <c r="S7" s="41"/>
    </row>
    <row r="8" spans="1:23" s="32" customFormat="1" ht="27" customHeight="1" x14ac:dyDescent="0.2">
      <c r="A8" s="506" t="s">
        <v>4626</v>
      </c>
      <c r="B8" s="507"/>
      <c r="C8" s="50"/>
      <c r="D8" s="201"/>
      <c r="E8" s="50"/>
      <c r="F8" s="50"/>
      <c r="G8" s="50"/>
      <c r="H8" s="50"/>
      <c r="I8" s="50"/>
      <c r="J8" s="50"/>
      <c r="K8" s="50"/>
      <c r="L8" s="50"/>
      <c r="M8" s="50"/>
      <c r="N8" s="50"/>
      <c r="O8" s="50"/>
      <c r="P8" s="50"/>
      <c r="Q8" s="50"/>
      <c r="R8" s="50"/>
      <c r="S8" s="49"/>
    </row>
    <row r="9" spans="1:23" s="10" customFormat="1" ht="18" customHeight="1" x14ac:dyDescent="0.2">
      <c r="A9" s="330" t="s">
        <v>37</v>
      </c>
      <c r="B9" s="328" t="s">
        <v>38</v>
      </c>
      <c r="C9" s="328" t="s">
        <v>257</v>
      </c>
      <c r="D9" s="331" t="s">
        <v>419</v>
      </c>
      <c r="E9" s="315" t="s">
        <v>33</v>
      </c>
      <c r="F9" s="315"/>
      <c r="G9" s="315"/>
      <c r="H9" s="315"/>
      <c r="I9" s="315"/>
      <c r="J9" s="315"/>
      <c r="K9" s="315"/>
      <c r="L9" s="315"/>
      <c r="M9" s="315"/>
      <c r="N9" s="315"/>
      <c r="O9" s="315"/>
      <c r="P9" s="315"/>
      <c r="Q9" s="320" t="s">
        <v>34</v>
      </c>
      <c r="R9" s="316" t="s">
        <v>36</v>
      </c>
      <c r="S9" s="328" t="s">
        <v>35</v>
      </c>
      <c r="T9" s="11"/>
    </row>
    <row r="10" spans="1:23" s="10" customFormat="1" ht="24" customHeight="1" x14ac:dyDescent="0.2">
      <c r="A10" s="330"/>
      <c r="B10" s="328"/>
      <c r="C10" s="328"/>
      <c r="D10" s="332"/>
      <c r="E10" s="207" t="s">
        <v>21</v>
      </c>
      <c r="F10" s="207" t="s">
        <v>22</v>
      </c>
      <c r="G10" s="207" t="s">
        <v>23</v>
      </c>
      <c r="H10" s="207" t="s">
        <v>24</v>
      </c>
      <c r="I10" s="207" t="s">
        <v>25</v>
      </c>
      <c r="J10" s="207" t="s">
        <v>26</v>
      </c>
      <c r="K10" s="207" t="s">
        <v>27</v>
      </c>
      <c r="L10" s="207" t="s">
        <v>28</v>
      </c>
      <c r="M10" s="207" t="s">
        <v>29</v>
      </c>
      <c r="N10" s="207" t="s">
        <v>30</v>
      </c>
      <c r="O10" s="207" t="s">
        <v>31</v>
      </c>
      <c r="P10" s="207" t="s">
        <v>32</v>
      </c>
      <c r="Q10" s="320"/>
      <c r="R10" s="317"/>
      <c r="S10" s="333"/>
      <c r="T10" s="11"/>
    </row>
    <row r="11" spans="1:23" s="117" customFormat="1" ht="32.1" customHeight="1" x14ac:dyDescent="0.2">
      <c r="A11" s="361" t="s">
        <v>78</v>
      </c>
      <c r="B11" s="362" t="s">
        <v>3959</v>
      </c>
      <c r="C11" s="362" t="s">
        <v>4307</v>
      </c>
      <c r="D11" s="364">
        <v>600</v>
      </c>
      <c r="E11" s="48">
        <v>0</v>
      </c>
      <c r="F11" s="48"/>
      <c r="G11" s="48"/>
      <c r="H11" s="48"/>
      <c r="I11" s="48">
        <v>0</v>
      </c>
      <c r="J11" s="48"/>
      <c r="K11" s="48">
        <v>42</v>
      </c>
      <c r="L11" s="48"/>
      <c r="M11" s="48"/>
      <c r="N11" s="48"/>
      <c r="O11" s="48"/>
      <c r="P11" s="48"/>
      <c r="Q11" s="374">
        <f>AVERAGE(E11:P11)</f>
        <v>14</v>
      </c>
      <c r="R11" s="375" t="str">
        <f>IF(Q11&lt;5,"SI","NO")</f>
        <v>NO</v>
      </c>
      <c r="S11" s="376" t="str">
        <f>IF(Q11&lt;5,"Sin Riesgo",IF(Q11 &lt;=14,"Bajo",IF(Q11&lt;=35,"Medio",IF(Q11&lt;=80,"Alto","Inviable Sanitariamente"))))</f>
        <v>Bajo</v>
      </c>
      <c r="T11" s="152"/>
    </row>
    <row r="12" spans="1:23" s="117" customFormat="1" ht="32.1" customHeight="1" x14ac:dyDescent="0.2">
      <c r="A12" s="361" t="s">
        <v>78</v>
      </c>
      <c r="B12" s="362" t="s">
        <v>262</v>
      </c>
      <c r="C12" s="362" t="s">
        <v>3960</v>
      </c>
      <c r="D12" s="364">
        <v>32</v>
      </c>
      <c r="E12" s="48"/>
      <c r="F12" s="48"/>
      <c r="G12" s="48"/>
      <c r="H12" s="48"/>
      <c r="I12" s="48"/>
      <c r="J12" s="48">
        <v>97.9</v>
      </c>
      <c r="K12" s="48"/>
      <c r="L12" s="48"/>
      <c r="M12" s="48"/>
      <c r="N12" s="48"/>
      <c r="O12" s="48"/>
      <c r="P12" s="48">
        <v>97.9</v>
      </c>
      <c r="Q12" s="374">
        <f>AVERAGE(E12:P12)</f>
        <v>97.9</v>
      </c>
      <c r="R12" s="375" t="str">
        <f>IF(Q12&lt;5,"SI","NO")</f>
        <v>NO</v>
      </c>
      <c r="S12" s="376" t="str">
        <f>IF(Q12&lt;5,"Sin Riesgo",IF(Q12 &lt;=14,"Bajo",IF(Q12&lt;=35,"Medio",IF(Q12&lt;=80,"Alto","Inviable Sanitariamente"))))</f>
        <v>Inviable Sanitariamente</v>
      </c>
      <c r="T12" s="152"/>
    </row>
    <row r="13" spans="1:23" s="117" customFormat="1" ht="32.1" customHeight="1" x14ac:dyDescent="0.2">
      <c r="A13" s="361" t="s">
        <v>78</v>
      </c>
      <c r="B13" s="362" t="s">
        <v>485</v>
      </c>
      <c r="C13" s="362" t="s">
        <v>4299</v>
      </c>
      <c r="D13" s="364">
        <v>115</v>
      </c>
      <c r="E13" s="48"/>
      <c r="F13" s="48"/>
      <c r="G13" s="48"/>
      <c r="H13" s="48"/>
      <c r="I13" s="48">
        <v>97.9</v>
      </c>
      <c r="J13" s="48"/>
      <c r="K13" s="48"/>
      <c r="L13" s="48"/>
      <c r="M13" s="48">
        <v>62.9</v>
      </c>
      <c r="N13" s="48"/>
      <c r="O13" s="48"/>
      <c r="P13" s="48"/>
      <c r="Q13" s="374">
        <f>AVERAGE(E13:P13)</f>
        <v>80.400000000000006</v>
      </c>
      <c r="R13" s="375" t="str">
        <f>IF(Q13&lt;5,"SI","NO")</f>
        <v>NO</v>
      </c>
      <c r="S13" s="376" t="str">
        <f>IF(Q13&lt;5,"Sin Riesgo",IF(Q13 &lt;=14,"Bajo",IF(Q13&lt;=35,"Medio",IF(Q13&lt;=80,"Alto","Inviable Sanitariamente"))))</f>
        <v>Inviable Sanitariamente</v>
      </c>
      <c r="T13" s="152"/>
    </row>
    <row r="14" spans="1:23" s="117" customFormat="1" ht="32.1" customHeight="1" x14ac:dyDescent="0.2">
      <c r="A14" s="361" t="s">
        <v>78</v>
      </c>
      <c r="B14" s="362" t="s">
        <v>4301</v>
      </c>
      <c r="C14" s="362" t="s">
        <v>4300</v>
      </c>
      <c r="D14" s="364">
        <v>225</v>
      </c>
      <c r="E14" s="48"/>
      <c r="F14" s="48"/>
      <c r="G14" s="48"/>
      <c r="H14" s="48"/>
      <c r="I14" s="48"/>
      <c r="J14" s="48"/>
      <c r="K14" s="48"/>
      <c r="L14" s="48"/>
      <c r="M14" s="48">
        <v>62.94</v>
      </c>
      <c r="N14" s="48"/>
      <c r="O14" s="48"/>
      <c r="P14" s="48"/>
      <c r="Q14" s="374">
        <f t="shared" ref="Q14:Q31" si="0">AVERAGE(E14:P14)</f>
        <v>62.94</v>
      </c>
      <c r="R14" s="375" t="str">
        <f t="shared" ref="R14:R31" si="1">IF(Q14&lt;5,"SI","NO")</f>
        <v>NO</v>
      </c>
      <c r="S14" s="376" t="str">
        <f t="shared" ref="S14:S31" si="2">IF(Q14&lt;5,"Sin Riesgo",IF(Q14 &lt;=14,"Bajo",IF(Q14&lt;=35,"Medio",IF(Q14&lt;=80,"Alto","Inviable Sanitariamente"))))</f>
        <v>Alto</v>
      </c>
      <c r="T14" s="152"/>
    </row>
    <row r="15" spans="1:23" s="117" customFormat="1" ht="32.1" customHeight="1" x14ac:dyDescent="0.2">
      <c r="A15" s="361" t="s">
        <v>78</v>
      </c>
      <c r="B15" s="362" t="s">
        <v>450</v>
      </c>
      <c r="C15" s="362" t="s">
        <v>4302</v>
      </c>
      <c r="D15" s="364">
        <v>112</v>
      </c>
      <c r="E15" s="48"/>
      <c r="F15" s="48"/>
      <c r="G15" s="48"/>
      <c r="H15" s="48"/>
      <c r="I15" s="48"/>
      <c r="J15" s="48"/>
      <c r="K15" s="48"/>
      <c r="L15" s="48"/>
      <c r="M15" s="48">
        <v>20.98</v>
      </c>
      <c r="N15" s="48"/>
      <c r="O15" s="48"/>
      <c r="P15" s="48"/>
      <c r="Q15" s="374">
        <f t="shared" si="0"/>
        <v>20.98</v>
      </c>
      <c r="R15" s="375" t="str">
        <f t="shared" si="1"/>
        <v>NO</v>
      </c>
      <c r="S15" s="376" t="str">
        <f t="shared" si="2"/>
        <v>Medio</v>
      </c>
      <c r="T15" s="152"/>
    </row>
    <row r="16" spans="1:23" s="117" customFormat="1" ht="32.1" customHeight="1" x14ac:dyDescent="0.2">
      <c r="A16" s="361" t="s">
        <v>78</v>
      </c>
      <c r="B16" s="362" t="s">
        <v>69</v>
      </c>
      <c r="C16" s="362" t="s">
        <v>4303</v>
      </c>
      <c r="D16" s="364">
        <v>105</v>
      </c>
      <c r="E16" s="48"/>
      <c r="F16" s="48"/>
      <c r="G16" s="48"/>
      <c r="H16" s="48"/>
      <c r="I16" s="48"/>
      <c r="J16" s="48"/>
      <c r="K16" s="48"/>
      <c r="L16" s="48"/>
      <c r="M16" s="48">
        <v>20.98</v>
      </c>
      <c r="N16" s="48"/>
      <c r="O16" s="48"/>
      <c r="P16" s="48"/>
      <c r="Q16" s="374">
        <f t="shared" si="0"/>
        <v>20.98</v>
      </c>
      <c r="R16" s="375" t="str">
        <f t="shared" si="1"/>
        <v>NO</v>
      </c>
      <c r="S16" s="376" t="str">
        <f t="shared" si="2"/>
        <v>Medio</v>
      </c>
      <c r="T16" s="152"/>
    </row>
    <row r="17" spans="1:20" s="117" customFormat="1" ht="32.1" customHeight="1" x14ac:dyDescent="0.2">
      <c r="A17" s="361" t="s">
        <v>78</v>
      </c>
      <c r="B17" s="362" t="s">
        <v>1</v>
      </c>
      <c r="C17" s="362" t="s">
        <v>4305</v>
      </c>
      <c r="D17" s="364">
        <v>28</v>
      </c>
      <c r="E17" s="48"/>
      <c r="F17" s="48"/>
      <c r="G17" s="48"/>
      <c r="H17" s="48"/>
      <c r="I17" s="48"/>
      <c r="J17" s="48"/>
      <c r="K17" s="48"/>
      <c r="L17" s="48"/>
      <c r="M17" s="48">
        <v>20.98</v>
      </c>
      <c r="N17" s="48"/>
      <c r="O17" s="48"/>
      <c r="P17" s="48"/>
      <c r="Q17" s="374">
        <f t="shared" si="0"/>
        <v>20.98</v>
      </c>
      <c r="R17" s="375" t="str">
        <f t="shared" si="1"/>
        <v>NO</v>
      </c>
      <c r="S17" s="376" t="str">
        <f t="shared" si="2"/>
        <v>Medio</v>
      </c>
      <c r="T17" s="152"/>
    </row>
    <row r="18" spans="1:20" s="117" customFormat="1" ht="32.1" customHeight="1" x14ac:dyDescent="0.2">
      <c r="A18" s="361" t="s">
        <v>78</v>
      </c>
      <c r="B18" s="362" t="s">
        <v>3328</v>
      </c>
      <c r="C18" s="362" t="s">
        <v>3961</v>
      </c>
      <c r="D18" s="364">
        <v>51</v>
      </c>
      <c r="E18" s="48"/>
      <c r="F18" s="48"/>
      <c r="G18" s="48">
        <v>97.9</v>
      </c>
      <c r="H18" s="48"/>
      <c r="I18" s="48"/>
      <c r="J18" s="48"/>
      <c r="K18" s="48"/>
      <c r="L18" s="48"/>
      <c r="M18" s="48"/>
      <c r="N18" s="48"/>
      <c r="O18" s="48"/>
      <c r="P18" s="48"/>
      <c r="Q18" s="374">
        <f t="shared" si="0"/>
        <v>97.9</v>
      </c>
      <c r="R18" s="375" t="str">
        <f t="shared" si="1"/>
        <v>NO</v>
      </c>
      <c r="S18" s="376" t="str">
        <f t="shared" si="2"/>
        <v>Inviable Sanitariamente</v>
      </c>
      <c r="T18" s="152"/>
    </row>
    <row r="19" spans="1:20" s="117" customFormat="1" ht="32.1" customHeight="1" x14ac:dyDescent="0.2">
      <c r="A19" s="361" t="s">
        <v>78</v>
      </c>
      <c r="B19" s="362" t="s">
        <v>1</v>
      </c>
      <c r="C19" s="362" t="s">
        <v>4305</v>
      </c>
      <c r="D19" s="364"/>
      <c r="E19" s="48"/>
      <c r="F19" s="48"/>
      <c r="G19" s="48"/>
      <c r="H19" s="48"/>
      <c r="I19" s="48"/>
      <c r="J19" s="48"/>
      <c r="K19" s="48"/>
      <c r="L19" s="48"/>
      <c r="M19" s="48">
        <v>20.98</v>
      </c>
      <c r="N19" s="48"/>
      <c r="O19" s="48"/>
      <c r="P19" s="48"/>
      <c r="Q19" s="374">
        <f t="shared" si="0"/>
        <v>20.98</v>
      </c>
      <c r="R19" s="375" t="str">
        <f t="shared" si="1"/>
        <v>NO</v>
      </c>
      <c r="S19" s="376" t="str">
        <f t="shared" si="2"/>
        <v>Medio</v>
      </c>
      <c r="T19" s="152"/>
    </row>
    <row r="20" spans="1:20" s="117" customFormat="1" ht="42.75" customHeight="1" x14ac:dyDescent="0.2">
      <c r="A20" s="361" t="s">
        <v>78</v>
      </c>
      <c r="B20" s="362" t="s">
        <v>3962</v>
      </c>
      <c r="C20" s="362" t="s">
        <v>4304</v>
      </c>
      <c r="D20" s="364">
        <v>25</v>
      </c>
      <c r="E20" s="48">
        <v>21</v>
      </c>
      <c r="F20" s="48"/>
      <c r="G20" s="48"/>
      <c r="H20" s="48"/>
      <c r="I20" s="48">
        <v>21</v>
      </c>
      <c r="J20" s="48"/>
      <c r="K20" s="48"/>
      <c r="L20" s="48"/>
      <c r="M20" s="48"/>
      <c r="N20" s="48"/>
      <c r="O20" s="48"/>
      <c r="P20" s="48"/>
      <c r="Q20" s="374">
        <f t="shared" si="0"/>
        <v>21</v>
      </c>
      <c r="R20" s="375" t="str">
        <f t="shared" si="1"/>
        <v>NO</v>
      </c>
      <c r="S20" s="376" t="str">
        <f t="shared" si="2"/>
        <v>Medio</v>
      </c>
      <c r="T20" s="152"/>
    </row>
    <row r="21" spans="1:20" s="117" customFormat="1" ht="32.1" customHeight="1" x14ac:dyDescent="0.2">
      <c r="A21" s="361" t="s">
        <v>78</v>
      </c>
      <c r="B21" s="362" t="s">
        <v>264</v>
      </c>
      <c r="C21" s="362" t="s">
        <v>4306</v>
      </c>
      <c r="D21" s="364">
        <v>400</v>
      </c>
      <c r="E21" s="48"/>
      <c r="F21" s="48"/>
      <c r="G21" s="48">
        <v>97.9</v>
      </c>
      <c r="H21" s="48"/>
      <c r="I21" s="48"/>
      <c r="J21" s="48"/>
      <c r="K21" s="48"/>
      <c r="L21" s="48"/>
      <c r="M21" s="48"/>
      <c r="N21" s="48">
        <v>97.9</v>
      </c>
      <c r="O21" s="48"/>
      <c r="P21" s="48"/>
      <c r="Q21" s="374">
        <f t="shared" si="0"/>
        <v>97.9</v>
      </c>
      <c r="R21" s="375" t="str">
        <f t="shared" si="1"/>
        <v>NO</v>
      </c>
      <c r="S21" s="376" t="str">
        <f t="shared" si="2"/>
        <v>Inviable Sanitariamente</v>
      </c>
      <c r="T21" s="152"/>
    </row>
    <row r="22" spans="1:20" s="117" customFormat="1" ht="33" customHeight="1" x14ac:dyDescent="0.2">
      <c r="A22" s="361" t="s">
        <v>78</v>
      </c>
      <c r="B22" s="362" t="s">
        <v>2226</v>
      </c>
      <c r="C22" s="362" t="s">
        <v>263</v>
      </c>
      <c r="D22" s="364">
        <v>162</v>
      </c>
      <c r="E22" s="48"/>
      <c r="F22" s="48"/>
      <c r="G22" s="48"/>
      <c r="H22" s="48"/>
      <c r="I22" s="48"/>
      <c r="J22" s="48">
        <v>97.9</v>
      </c>
      <c r="K22" s="48"/>
      <c r="L22" s="48"/>
      <c r="M22" s="48"/>
      <c r="N22" s="48"/>
      <c r="O22" s="48"/>
      <c r="P22" s="48"/>
      <c r="Q22" s="374">
        <f t="shared" si="0"/>
        <v>97.9</v>
      </c>
      <c r="R22" s="375" t="str">
        <f t="shared" si="1"/>
        <v>NO</v>
      </c>
      <c r="S22" s="376" t="str">
        <f t="shared" si="2"/>
        <v>Inviable Sanitariamente</v>
      </c>
      <c r="T22" s="152"/>
    </row>
    <row r="23" spans="1:20" s="117" customFormat="1" ht="33" customHeight="1" x14ac:dyDescent="0.2">
      <c r="A23" s="361" t="s">
        <v>78</v>
      </c>
      <c r="B23" s="362" t="s">
        <v>4294</v>
      </c>
      <c r="C23" s="362" t="s">
        <v>4295</v>
      </c>
      <c r="D23" s="364">
        <v>22</v>
      </c>
      <c r="E23" s="48"/>
      <c r="F23" s="48"/>
      <c r="G23" s="48"/>
      <c r="H23" s="48"/>
      <c r="I23" s="48"/>
      <c r="J23" s="48">
        <v>97.9</v>
      </c>
      <c r="K23" s="48"/>
      <c r="L23" s="48"/>
      <c r="M23" s="48"/>
      <c r="N23" s="48"/>
      <c r="O23" s="48"/>
      <c r="P23" s="48"/>
      <c r="Q23" s="374">
        <f t="shared" si="0"/>
        <v>97.9</v>
      </c>
      <c r="R23" s="375" t="str">
        <f t="shared" si="1"/>
        <v>NO</v>
      </c>
      <c r="S23" s="376" t="str">
        <f t="shared" si="2"/>
        <v>Inviable Sanitariamente</v>
      </c>
      <c r="T23" s="152"/>
    </row>
    <row r="24" spans="1:20" s="117" customFormat="1" ht="32.1" customHeight="1" x14ac:dyDescent="0.2">
      <c r="A24" s="361" t="s">
        <v>78</v>
      </c>
      <c r="B24" s="362" t="s">
        <v>267</v>
      </c>
      <c r="C24" s="362" t="s">
        <v>268</v>
      </c>
      <c r="D24" s="364">
        <v>52</v>
      </c>
      <c r="E24" s="48"/>
      <c r="F24" s="48"/>
      <c r="G24" s="48"/>
      <c r="H24" s="48"/>
      <c r="I24" s="48"/>
      <c r="J24" s="48"/>
      <c r="K24" s="48"/>
      <c r="L24" s="48"/>
      <c r="M24" s="48"/>
      <c r="N24" s="48"/>
      <c r="O24" s="48"/>
      <c r="P24" s="48">
        <v>97.9</v>
      </c>
      <c r="Q24" s="374">
        <f t="shared" si="0"/>
        <v>97.9</v>
      </c>
      <c r="R24" s="375" t="str">
        <f t="shared" si="1"/>
        <v>NO</v>
      </c>
      <c r="S24" s="376" t="str">
        <f t="shared" si="2"/>
        <v>Inviable Sanitariamente</v>
      </c>
      <c r="T24" s="152"/>
    </row>
    <row r="25" spans="1:20" s="117" customFormat="1" ht="32.1" customHeight="1" x14ac:dyDescent="0.2">
      <c r="A25" s="361" t="s">
        <v>78</v>
      </c>
      <c r="B25" s="362" t="s">
        <v>265</v>
      </c>
      <c r="C25" s="362" t="s">
        <v>266</v>
      </c>
      <c r="D25" s="364">
        <v>140</v>
      </c>
      <c r="E25" s="48"/>
      <c r="F25" s="48"/>
      <c r="G25" s="48"/>
      <c r="H25" s="48"/>
      <c r="I25" s="48">
        <v>97.9</v>
      </c>
      <c r="J25" s="48"/>
      <c r="K25" s="48"/>
      <c r="L25" s="48"/>
      <c r="M25" s="48"/>
      <c r="N25" s="48">
        <v>97.9</v>
      </c>
      <c r="O25" s="48"/>
      <c r="P25" s="48"/>
      <c r="Q25" s="374">
        <f t="shared" si="0"/>
        <v>97.9</v>
      </c>
      <c r="R25" s="375" t="str">
        <f t="shared" si="1"/>
        <v>NO</v>
      </c>
      <c r="S25" s="376" t="str">
        <f t="shared" si="2"/>
        <v>Inviable Sanitariamente</v>
      </c>
      <c r="T25" s="152"/>
    </row>
    <row r="26" spans="1:20" s="117" customFormat="1" ht="32.1" customHeight="1" x14ac:dyDescent="0.2">
      <c r="A26" s="361" t="s">
        <v>78</v>
      </c>
      <c r="B26" s="362" t="s">
        <v>39</v>
      </c>
      <c r="C26" s="362" t="s">
        <v>3963</v>
      </c>
      <c r="D26" s="364">
        <v>16</v>
      </c>
      <c r="E26" s="48"/>
      <c r="F26" s="48"/>
      <c r="G26" s="48"/>
      <c r="H26" s="48"/>
      <c r="I26" s="48">
        <v>65.8</v>
      </c>
      <c r="J26" s="48"/>
      <c r="K26" s="48"/>
      <c r="L26" s="48"/>
      <c r="M26" s="48"/>
      <c r="N26" s="48">
        <v>72.900000000000006</v>
      </c>
      <c r="O26" s="48"/>
      <c r="P26" s="48"/>
      <c r="Q26" s="374">
        <f t="shared" si="0"/>
        <v>69.349999999999994</v>
      </c>
      <c r="R26" s="375" t="str">
        <f t="shared" si="1"/>
        <v>NO</v>
      </c>
      <c r="S26" s="376" t="str">
        <f t="shared" si="2"/>
        <v>Alto</v>
      </c>
      <c r="T26" s="152"/>
    </row>
    <row r="27" spans="1:20" s="117" customFormat="1" ht="32.1" customHeight="1" x14ac:dyDescent="0.2">
      <c r="A27" s="361" t="s">
        <v>78</v>
      </c>
      <c r="B27" s="362" t="s">
        <v>486</v>
      </c>
      <c r="C27" s="362" t="s">
        <v>269</v>
      </c>
      <c r="D27" s="364">
        <v>85</v>
      </c>
      <c r="E27" s="48">
        <v>97.9</v>
      </c>
      <c r="F27" s="48"/>
      <c r="G27" s="48"/>
      <c r="H27" s="48"/>
      <c r="I27" s="48"/>
      <c r="J27" s="48"/>
      <c r="K27" s="48"/>
      <c r="L27" s="48"/>
      <c r="M27" s="48"/>
      <c r="N27" s="48"/>
      <c r="O27" s="48"/>
      <c r="P27" s="48"/>
      <c r="Q27" s="374">
        <f t="shared" si="0"/>
        <v>97.9</v>
      </c>
      <c r="R27" s="375" t="str">
        <f t="shared" si="1"/>
        <v>NO</v>
      </c>
      <c r="S27" s="376" t="str">
        <f t="shared" si="2"/>
        <v>Inviable Sanitariamente</v>
      </c>
      <c r="T27" s="152"/>
    </row>
    <row r="28" spans="1:20" s="117" customFormat="1" ht="32.1" customHeight="1" x14ac:dyDescent="0.2">
      <c r="A28" s="361" t="s">
        <v>78</v>
      </c>
      <c r="B28" s="362" t="s">
        <v>262</v>
      </c>
      <c r="C28" s="362" t="s">
        <v>3964</v>
      </c>
      <c r="D28" s="364"/>
      <c r="E28" s="48"/>
      <c r="F28" s="48"/>
      <c r="G28" s="48"/>
      <c r="H28" s="48"/>
      <c r="I28" s="48"/>
      <c r="J28" s="48"/>
      <c r="K28" s="48"/>
      <c r="L28" s="48"/>
      <c r="M28" s="48"/>
      <c r="N28" s="48"/>
      <c r="O28" s="48"/>
      <c r="P28" s="48"/>
      <c r="Q28" s="374" t="e">
        <f t="shared" si="0"/>
        <v>#DIV/0!</v>
      </c>
      <c r="R28" s="375" t="e">
        <f t="shared" si="1"/>
        <v>#DIV/0!</v>
      </c>
      <c r="S28" s="376" t="e">
        <f t="shared" si="2"/>
        <v>#DIV/0!</v>
      </c>
      <c r="T28" s="152"/>
    </row>
    <row r="29" spans="1:20" s="117" customFormat="1" ht="32.1" customHeight="1" x14ac:dyDescent="0.2">
      <c r="A29" s="361" t="s">
        <v>78</v>
      </c>
      <c r="B29" s="362" t="s">
        <v>270</v>
      </c>
      <c r="C29" s="362" t="s">
        <v>271</v>
      </c>
      <c r="D29" s="364">
        <v>48</v>
      </c>
      <c r="E29" s="48"/>
      <c r="F29" s="48"/>
      <c r="G29" s="48"/>
      <c r="H29" s="48"/>
      <c r="I29" s="48"/>
      <c r="J29" s="48">
        <v>97.9</v>
      </c>
      <c r="K29" s="48"/>
      <c r="L29" s="48"/>
      <c r="M29" s="48"/>
      <c r="N29" s="48"/>
      <c r="O29" s="48"/>
      <c r="P29" s="48"/>
      <c r="Q29" s="374">
        <f t="shared" si="0"/>
        <v>97.9</v>
      </c>
      <c r="R29" s="375" t="str">
        <f t="shared" si="1"/>
        <v>NO</v>
      </c>
      <c r="S29" s="376" t="str">
        <f t="shared" si="2"/>
        <v>Inviable Sanitariamente</v>
      </c>
      <c r="T29" s="152"/>
    </row>
    <row r="30" spans="1:20" s="117" customFormat="1" ht="32.1" customHeight="1" x14ac:dyDescent="0.2">
      <c r="A30" s="361" t="s">
        <v>78</v>
      </c>
      <c r="B30" s="362" t="s">
        <v>12</v>
      </c>
      <c r="C30" s="362" t="s">
        <v>272</v>
      </c>
      <c r="D30" s="364">
        <v>27</v>
      </c>
      <c r="E30" s="48"/>
      <c r="F30" s="48"/>
      <c r="G30" s="48"/>
      <c r="H30" s="48"/>
      <c r="I30" s="48"/>
      <c r="J30" s="48">
        <v>97.9</v>
      </c>
      <c r="K30" s="48"/>
      <c r="L30" s="48"/>
      <c r="M30" s="48"/>
      <c r="N30" s="48"/>
      <c r="O30" s="48">
        <v>97.9</v>
      </c>
      <c r="P30" s="48"/>
      <c r="Q30" s="374">
        <f t="shared" si="0"/>
        <v>97.9</v>
      </c>
      <c r="R30" s="375" t="str">
        <f t="shared" si="1"/>
        <v>NO</v>
      </c>
      <c r="S30" s="376" t="str">
        <f t="shared" si="2"/>
        <v>Inviable Sanitariamente</v>
      </c>
      <c r="T30" s="152"/>
    </row>
    <row r="31" spans="1:20" s="117" customFormat="1" ht="32.1" customHeight="1" x14ac:dyDescent="0.2">
      <c r="A31" s="361" t="s">
        <v>78</v>
      </c>
      <c r="B31" s="362" t="s">
        <v>3965</v>
      </c>
      <c r="C31" s="362" t="s">
        <v>3966</v>
      </c>
      <c r="D31" s="364">
        <v>210</v>
      </c>
      <c r="E31" s="48"/>
      <c r="F31" s="48"/>
      <c r="G31" s="48"/>
      <c r="H31" s="48"/>
      <c r="I31" s="48">
        <v>97.9</v>
      </c>
      <c r="J31" s="48"/>
      <c r="K31" s="48"/>
      <c r="L31" s="48"/>
      <c r="M31" s="48"/>
      <c r="N31" s="48"/>
      <c r="O31" s="48">
        <v>97.9</v>
      </c>
      <c r="P31" s="48"/>
      <c r="Q31" s="374">
        <f t="shared" si="0"/>
        <v>97.9</v>
      </c>
      <c r="R31" s="375" t="str">
        <f t="shared" si="1"/>
        <v>NO</v>
      </c>
      <c r="S31" s="376" t="str">
        <f t="shared" si="2"/>
        <v>Inviable Sanitariamente</v>
      </c>
      <c r="T31" s="152"/>
    </row>
    <row r="32" spans="1:20" s="117" customFormat="1" ht="32.1" customHeight="1" x14ac:dyDescent="0.2">
      <c r="A32" s="361" t="s">
        <v>78</v>
      </c>
      <c r="B32" s="362" t="s">
        <v>4313</v>
      </c>
      <c r="C32" s="362" t="s">
        <v>4314</v>
      </c>
      <c r="D32" s="364"/>
      <c r="E32" s="48"/>
      <c r="F32" s="48"/>
      <c r="G32" s="48"/>
      <c r="H32" s="48"/>
      <c r="I32" s="48"/>
      <c r="J32" s="48"/>
      <c r="K32" s="48"/>
      <c r="L32" s="48"/>
      <c r="M32" s="48"/>
      <c r="N32" s="48"/>
      <c r="O32" s="48"/>
      <c r="P32" s="48"/>
      <c r="Q32" s="374"/>
      <c r="R32" s="375"/>
      <c r="S32" s="376"/>
      <c r="T32" s="152"/>
    </row>
    <row r="33" spans="1:2045 2049:3071 3075:4095 4097:5120 5124:6144 6146:7166 7170:9215 9219:10239 10241:11261 11265:13310 13314:14336 14340:15360 15362:16384" s="117" customFormat="1" ht="32.1" customHeight="1" x14ac:dyDescent="0.2">
      <c r="A33" s="361" t="s">
        <v>78</v>
      </c>
      <c r="B33" s="362" t="s">
        <v>4296</v>
      </c>
      <c r="C33" s="362" t="s">
        <v>4297</v>
      </c>
      <c r="D33" s="364">
        <v>116</v>
      </c>
      <c r="E33" s="48"/>
      <c r="F33" s="48"/>
      <c r="G33" s="48"/>
      <c r="H33" s="48"/>
      <c r="I33" s="48">
        <v>97.9</v>
      </c>
      <c r="J33" s="48"/>
      <c r="K33" s="48"/>
      <c r="L33" s="48"/>
      <c r="M33" s="48"/>
      <c r="N33" s="48"/>
      <c r="O33" s="48"/>
      <c r="P33" s="48"/>
      <c r="Q33" s="374">
        <f t="shared" ref="Q33:Q50" si="3">AVERAGE(E33:P33)</f>
        <v>97.9</v>
      </c>
      <c r="R33" s="375" t="str">
        <f t="shared" ref="R33:R50" si="4">IF(Q33&lt;5,"SI","NO")</f>
        <v>NO</v>
      </c>
      <c r="S33" s="376" t="str">
        <f t="shared" ref="S33:S50" si="5">IF(Q33&lt;5,"Sin Riesgo",IF(Q33 &lt;=14,"Bajo",IF(Q33&lt;=35,"Medio",IF(Q33&lt;=80,"Alto","Inviable Sanitariamente"))))</f>
        <v>Inviable Sanitariamente</v>
      </c>
      <c r="T33" s="152"/>
    </row>
    <row r="34" spans="1:2045 2049:3071 3075:4095 4097:5120 5124:6144 6146:7166 7170:9215 9219:10239 10241:11261 11265:13310 13314:14336 14340:15360 15362:16384" s="117" customFormat="1" ht="32.1" customHeight="1" x14ac:dyDescent="0.2">
      <c r="A34" s="361" t="s">
        <v>78</v>
      </c>
      <c r="B34" s="362" t="s">
        <v>236</v>
      </c>
      <c r="C34" s="362" t="s">
        <v>273</v>
      </c>
      <c r="D34" s="364">
        <v>119</v>
      </c>
      <c r="E34" s="48"/>
      <c r="F34" s="48"/>
      <c r="G34" s="48"/>
      <c r="H34" s="48"/>
      <c r="I34" s="48"/>
      <c r="J34" s="48"/>
      <c r="K34" s="48"/>
      <c r="L34" s="48"/>
      <c r="M34" s="48"/>
      <c r="N34" s="48"/>
      <c r="O34" s="48">
        <v>97.9</v>
      </c>
      <c r="P34" s="48"/>
      <c r="Q34" s="374">
        <f t="shared" si="3"/>
        <v>97.9</v>
      </c>
      <c r="R34" s="375" t="str">
        <f t="shared" si="4"/>
        <v>NO</v>
      </c>
      <c r="S34" s="376" t="str">
        <f t="shared" si="5"/>
        <v>Inviable Sanitariamente</v>
      </c>
      <c r="T34" s="152"/>
    </row>
    <row r="35" spans="1:2045 2049:3071 3075:4095 4097:5120 5124:6144 6146:7166 7170:9215 9219:10239 10241:11261 11265:13310 13314:14336 14340:15360 15362:16384" s="117" customFormat="1" ht="32.1" customHeight="1" x14ac:dyDescent="0.2">
      <c r="A35" s="361" t="s">
        <v>78</v>
      </c>
      <c r="B35" s="362" t="s">
        <v>71</v>
      </c>
      <c r="C35" s="362" t="s">
        <v>3967</v>
      </c>
      <c r="D35" s="364">
        <v>95</v>
      </c>
      <c r="E35" s="48"/>
      <c r="F35" s="48"/>
      <c r="G35" s="48"/>
      <c r="H35" s="48"/>
      <c r="I35" s="48"/>
      <c r="J35" s="48">
        <v>97.9</v>
      </c>
      <c r="K35" s="48"/>
      <c r="L35" s="48"/>
      <c r="M35" s="48"/>
      <c r="N35" s="48"/>
      <c r="O35" s="48">
        <v>97.9</v>
      </c>
      <c r="P35" s="48"/>
      <c r="Q35" s="374">
        <f t="shared" si="3"/>
        <v>97.9</v>
      </c>
      <c r="R35" s="375" t="str">
        <f t="shared" si="4"/>
        <v>NO</v>
      </c>
      <c r="S35" s="376" t="str">
        <f t="shared" si="5"/>
        <v>Inviable Sanitariamente</v>
      </c>
      <c r="T35" s="152"/>
    </row>
    <row r="36" spans="1:2045 2049:3071 3075:4095 4097:5120 5124:6144 6146:7166 7170:9215 9219:10239 10241:11261 11265:13310 13314:14336 14340:15360 15362:16384" s="117" customFormat="1" ht="32.1" customHeight="1" x14ac:dyDescent="0.2">
      <c r="A36" s="361" t="s">
        <v>78</v>
      </c>
      <c r="B36" s="362" t="s">
        <v>3968</v>
      </c>
      <c r="C36" s="362" t="s">
        <v>3969</v>
      </c>
      <c r="D36" s="364">
        <v>42</v>
      </c>
      <c r="E36" s="48">
        <v>42</v>
      </c>
      <c r="F36" s="48"/>
      <c r="G36" s="48"/>
      <c r="H36" s="48"/>
      <c r="I36" s="48">
        <v>44.1</v>
      </c>
      <c r="J36" s="48"/>
      <c r="K36" s="48">
        <v>42</v>
      </c>
      <c r="L36" s="48"/>
      <c r="M36" s="48"/>
      <c r="N36" s="48">
        <v>0</v>
      </c>
      <c r="O36" s="48"/>
      <c r="P36" s="48"/>
      <c r="Q36" s="374">
        <f t="shared" si="3"/>
        <v>32.024999999999999</v>
      </c>
      <c r="R36" s="375" t="str">
        <f t="shared" si="4"/>
        <v>NO</v>
      </c>
      <c r="S36" s="376" t="str">
        <f t="shared" si="5"/>
        <v>Medio</v>
      </c>
      <c r="T36" s="152"/>
    </row>
    <row r="37" spans="1:2045 2049:3071 3075:4095 4097:5120 5124:6144 6146:7166 7170:9215 9219:10239 10241:11261 11265:13310 13314:14336 14340:15360 15362:16384" s="117" customFormat="1" ht="32.1" customHeight="1" x14ac:dyDescent="0.2">
      <c r="A37" s="361" t="s">
        <v>78</v>
      </c>
      <c r="B37" s="362" t="s">
        <v>451</v>
      </c>
      <c r="C37" s="362" t="s">
        <v>274</v>
      </c>
      <c r="D37" s="364">
        <v>351</v>
      </c>
      <c r="E37" s="48">
        <v>21</v>
      </c>
      <c r="F37" s="48"/>
      <c r="G37" s="48"/>
      <c r="H37" s="48"/>
      <c r="I37" s="48">
        <v>42</v>
      </c>
      <c r="J37" s="48"/>
      <c r="K37" s="48">
        <v>42</v>
      </c>
      <c r="L37" s="48"/>
      <c r="M37" s="48"/>
      <c r="N37" s="48"/>
      <c r="O37" s="48"/>
      <c r="P37" s="48"/>
      <c r="Q37" s="374">
        <f t="shared" si="3"/>
        <v>35</v>
      </c>
      <c r="R37" s="375" t="str">
        <f t="shared" si="4"/>
        <v>NO</v>
      </c>
      <c r="S37" s="376" t="str">
        <f t="shared" si="5"/>
        <v>Medio</v>
      </c>
      <c r="T37" s="152"/>
    </row>
    <row r="38" spans="1:2045 2049:3071 3075:4095 4097:5120 5124:6144 6146:7166 7170:9215 9219:10239 10241:11261 11265:13310 13314:14336 14340:15360 15362:16384" s="117" customFormat="1" ht="32.1" customHeight="1" x14ac:dyDescent="0.2">
      <c r="A38" s="361" t="s">
        <v>78</v>
      </c>
      <c r="B38" s="362" t="s">
        <v>275</v>
      </c>
      <c r="C38" s="362" t="s">
        <v>4323</v>
      </c>
      <c r="D38" s="364"/>
      <c r="E38" s="48"/>
      <c r="F38" s="48"/>
      <c r="G38" s="48"/>
      <c r="H38" s="48"/>
      <c r="I38" s="48"/>
      <c r="J38" s="48"/>
      <c r="K38" s="48"/>
      <c r="L38" s="48"/>
      <c r="M38" s="48"/>
      <c r="N38" s="48"/>
      <c r="O38" s="48">
        <v>97.9</v>
      </c>
      <c r="P38" s="48"/>
      <c r="Q38" s="374">
        <f t="shared" si="3"/>
        <v>97.9</v>
      </c>
      <c r="R38" s="375" t="str">
        <f t="shared" si="4"/>
        <v>NO</v>
      </c>
      <c r="S38" s="376" t="str">
        <f t="shared" si="5"/>
        <v>Inviable Sanitariamente</v>
      </c>
      <c r="T38" s="152"/>
    </row>
    <row r="39" spans="1:2045 2049:3071 3075:4095 4097:5120 5124:6144 6146:7166 7170:9215 9219:10239 10241:11261 11265:13310 13314:14336 14340:15360 15362:16384" s="117" customFormat="1" ht="32.1" customHeight="1" x14ac:dyDescent="0.2">
      <c r="A39" s="361" t="s">
        <v>78</v>
      </c>
      <c r="B39" s="362" t="s">
        <v>275</v>
      </c>
      <c r="C39" s="362" t="s">
        <v>4324</v>
      </c>
      <c r="D39" s="364"/>
      <c r="E39" s="48"/>
      <c r="F39" s="48"/>
      <c r="G39" s="48"/>
      <c r="H39" s="48"/>
      <c r="I39" s="48"/>
      <c r="J39" s="48"/>
      <c r="K39" s="48"/>
      <c r="L39" s="48"/>
      <c r="M39" s="48"/>
      <c r="N39" s="48"/>
      <c r="O39" s="48"/>
      <c r="P39" s="48">
        <v>97.9</v>
      </c>
      <c r="Q39" s="374">
        <f t="shared" si="3"/>
        <v>97.9</v>
      </c>
      <c r="R39" s="375" t="str">
        <f t="shared" si="4"/>
        <v>NO</v>
      </c>
      <c r="S39" s="376" t="str">
        <f t="shared" si="5"/>
        <v>Inviable Sanitariamente</v>
      </c>
      <c r="T39" s="152">
        <v>0</v>
      </c>
      <c r="X39" s="117">
        <v>0</v>
      </c>
      <c r="Z39" s="117">
        <v>23.08</v>
      </c>
      <c r="AF39" s="117">
        <f>AVERAGE(T39:AE39)</f>
        <v>7.6933333333333325</v>
      </c>
      <c r="AG39" s="117" t="str">
        <f>IF(AF39&lt;5,"SI","NO")</f>
        <v>NO</v>
      </c>
      <c r="AH39" s="117" t="str">
        <f>IF(AF39&lt;5,"Sin Riesgo",IF(AF39 &lt;=14,"Bajo",IF(AF39&lt;=35,"Medio",IF(AF39&lt;=80,"Alto","Inviable Sanitariamente"))))</f>
        <v>Bajo</v>
      </c>
      <c r="AI39" s="117">
        <v>0</v>
      </c>
      <c r="AM39" s="117">
        <v>0</v>
      </c>
      <c r="AO39" s="117">
        <v>23.08</v>
      </c>
      <c r="AU39" s="117">
        <f>AVERAGE(AI39:AT39)</f>
        <v>7.6933333333333325</v>
      </c>
      <c r="AV39" s="117" t="str">
        <f>IF(AU39&lt;5,"SI","NO")</f>
        <v>NO</v>
      </c>
      <c r="AW39" s="117" t="str">
        <f>IF(AU39&lt;5,"Sin Riesgo",IF(AU39 &lt;=14,"Bajo",IF(AU39&lt;=35,"Medio",IF(AU39&lt;=80,"Alto","Inviable Sanitariamente"))))</f>
        <v>Bajo</v>
      </c>
      <c r="AX39" s="117">
        <v>0</v>
      </c>
      <c r="BB39" s="117">
        <v>0</v>
      </c>
      <c r="BD39" s="117">
        <v>23.08</v>
      </c>
      <c r="BJ39" s="117">
        <f>AVERAGE(AX39:BI39)</f>
        <v>7.6933333333333325</v>
      </c>
      <c r="BK39" s="117" t="str">
        <f>IF(BJ39&lt;5,"SI","NO")</f>
        <v>NO</v>
      </c>
      <c r="BL39" s="117" t="str">
        <f>IF(BJ39&lt;5,"Sin Riesgo",IF(BJ39 &lt;=14,"Bajo",IF(BJ39&lt;=35,"Medio",IF(BJ39&lt;=80,"Alto","Inviable Sanitariamente"))))</f>
        <v>Bajo</v>
      </c>
      <c r="BM39" s="117">
        <v>0</v>
      </c>
      <c r="BQ39" s="117">
        <v>0</v>
      </c>
      <c r="BS39" s="117">
        <v>23.08</v>
      </c>
      <c r="BY39" s="117">
        <f>AVERAGE(BM39:BX39)</f>
        <v>7.6933333333333325</v>
      </c>
      <c r="BZ39" s="117" t="str">
        <f>IF(BY39&lt;5,"SI","NO")</f>
        <v>NO</v>
      </c>
      <c r="CA39" s="117" t="str">
        <f>IF(BY39&lt;5,"Sin Riesgo",IF(BY39 &lt;=14,"Bajo",IF(BY39&lt;=35,"Medio",IF(BY39&lt;=80,"Alto","Inviable Sanitariamente"))))</f>
        <v>Bajo</v>
      </c>
      <c r="CB39" s="117">
        <v>0</v>
      </c>
      <c r="CF39" s="117">
        <v>0</v>
      </c>
      <c r="CH39" s="117">
        <v>23.08</v>
      </c>
      <c r="CN39" s="117">
        <f>AVERAGE(CB39:CM39)</f>
        <v>7.6933333333333325</v>
      </c>
      <c r="CO39" s="117" t="str">
        <f>IF(CN39&lt;5,"SI","NO")</f>
        <v>NO</v>
      </c>
      <c r="CP39" s="117" t="str">
        <f>IF(CN39&lt;5,"Sin Riesgo",IF(CN39 &lt;=14,"Bajo",IF(CN39&lt;=35,"Medio",IF(CN39&lt;=80,"Alto","Inviable Sanitariamente"))))</f>
        <v>Bajo</v>
      </c>
      <c r="CQ39" s="117">
        <v>0</v>
      </c>
      <c r="CU39" s="117">
        <v>0</v>
      </c>
      <c r="CW39" s="117">
        <v>23.08</v>
      </c>
      <c r="DC39" s="117">
        <f>AVERAGE(CQ39:DB39)</f>
        <v>7.6933333333333325</v>
      </c>
      <c r="DD39" s="117" t="str">
        <f>IF(DC39&lt;5,"SI","NO")</f>
        <v>NO</v>
      </c>
      <c r="DE39" s="117" t="str">
        <f>IF(DC39&lt;5,"Sin Riesgo",IF(DC39 &lt;=14,"Bajo",IF(DC39&lt;=35,"Medio",IF(DC39&lt;=80,"Alto","Inviable Sanitariamente"))))</f>
        <v>Bajo</v>
      </c>
      <c r="DF39" s="117">
        <v>0</v>
      </c>
      <c r="DJ39" s="117">
        <v>0</v>
      </c>
      <c r="DL39" s="117">
        <v>23.08</v>
      </c>
      <c r="DR39" s="117">
        <f>AVERAGE(DF39:DQ39)</f>
        <v>7.6933333333333325</v>
      </c>
      <c r="DS39" s="117" t="str">
        <f>IF(DR39&lt;5,"SI","NO")</f>
        <v>NO</v>
      </c>
      <c r="DT39" s="117" t="str">
        <f>IF(DR39&lt;5,"Sin Riesgo",IF(DR39 &lt;=14,"Bajo",IF(DR39&lt;=35,"Medio",IF(DR39&lt;=80,"Alto","Inviable Sanitariamente"))))</f>
        <v>Bajo</v>
      </c>
      <c r="DU39" s="117">
        <v>0</v>
      </c>
      <c r="DY39" s="117">
        <v>0</v>
      </c>
      <c r="EA39" s="117">
        <v>23.08</v>
      </c>
      <c r="EG39" s="117">
        <f>AVERAGE(DU39:EF39)</f>
        <v>7.6933333333333325</v>
      </c>
      <c r="EH39" s="117" t="str">
        <f>IF(EG39&lt;5,"SI","NO")</f>
        <v>NO</v>
      </c>
      <c r="EI39" s="117" t="str">
        <f>IF(EG39&lt;5,"Sin Riesgo",IF(EG39 &lt;=14,"Bajo",IF(EG39&lt;=35,"Medio",IF(EG39&lt;=80,"Alto","Inviable Sanitariamente"))))</f>
        <v>Bajo</v>
      </c>
      <c r="EJ39" s="117">
        <v>0</v>
      </c>
      <c r="EN39" s="117">
        <v>0</v>
      </c>
      <c r="EP39" s="117">
        <v>23.08</v>
      </c>
      <c r="EV39" s="117">
        <f>AVERAGE(EJ39:EU39)</f>
        <v>7.6933333333333325</v>
      </c>
      <c r="EW39" s="117" t="str">
        <f>IF(EV39&lt;5,"SI","NO")</f>
        <v>NO</v>
      </c>
      <c r="EX39" s="117" t="str">
        <f>IF(EV39&lt;5,"Sin Riesgo",IF(EV39 &lt;=14,"Bajo",IF(EV39&lt;=35,"Medio",IF(EV39&lt;=80,"Alto","Inviable Sanitariamente"))))</f>
        <v>Bajo</v>
      </c>
      <c r="EY39" s="117">
        <v>0</v>
      </c>
      <c r="FC39" s="117">
        <v>0</v>
      </c>
      <c r="FE39" s="117">
        <v>23.08</v>
      </c>
      <c r="FK39" s="117">
        <f>AVERAGE(EY39:FJ39)</f>
        <v>7.6933333333333325</v>
      </c>
      <c r="FL39" s="117" t="str">
        <f>IF(FK39&lt;5,"SI","NO")</f>
        <v>NO</v>
      </c>
      <c r="FM39" s="117" t="str">
        <f>IF(FK39&lt;5,"Sin Riesgo",IF(FK39 &lt;=14,"Bajo",IF(FK39&lt;=35,"Medio",IF(FK39&lt;=80,"Alto","Inviable Sanitariamente"))))</f>
        <v>Bajo</v>
      </c>
      <c r="FN39" s="117">
        <v>0</v>
      </c>
      <c r="FR39" s="117">
        <v>0</v>
      </c>
      <c r="FT39" s="117">
        <v>23.08</v>
      </c>
      <c r="FZ39" s="117">
        <f>AVERAGE(FN39:FY39)</f>
        <v>7.6933333333333325</v>
      </c>
      <c r="GA39" s="117" t="str">
        <f>IF(FZ39&lt;5,"SI","NO")</f>
        <v>NO</v>
      </c>
      <c r="GB39" s="117" t="str">
        <f>IF(FZ39&lt;5,"Sin Riesgo",IF(FZ39 &lt;=14,"Bajo",IF(FZ39&lt;=35,"Medio",IF(FZ39&lt;=80,"Alto","Inviable Sanitariamente"))))</f>
        <v>Bajo</v>
      </c>
      <c r="GC39" s="117">
        <v>0</v>
      </c>
      <c r="GG39" s="117">
        <v>0</v>
      </c>
      <c r="GI39" s="117">
        <v>23.08</v>
      </c>
      <c r="GO39" s="117">
        <f>AVERAGE(GC39:GN39)</f>
        <v>7.6933333333333325</v>
      </c>
      <c r="GP39" s="117" t="str">
        <f>IF(GO39&lt;5,"SI","NO")</f>
        <v>NO</v>
      </c>
      <c r="GQ39" s="117" t="str">
        <f>IF(GO39&lt;5,"Sin Riesgo",IF(GO39 &lt;=14,"Bajo",IF(GO39&lt;=35,"Medio",IF(GO39&lt;=80,"Alto","Inviable Sanitariamente"))))</f>
        <v>Bajo</v>
      </c>
      <c r="GR39" s="117">
        <v>0</v>
      </c>
      <c r="GV39" s="117">
        <v>0</v>
      </c>
      <c r="GX39" s="117">
        <v>23.08</v>
      </c>
      <c r="HD39" s="117">
        <f>AVERAGE(GR39:HC39)</f>
        <v>7.6933333333333325</v>
      </c>
      <c r="HE39" s="117" t="str">
        <f>IF(HD39&lt;5,"SI","NO")</f>
        <v>NO</v>
      </c>
      <c r="HF39" s="117" t="str">
        <f>IF(HD39&lt;5,"Sin Riesgo",IF(HD39 &lt;=14,"Bajo",IF(HD39&lt;=35,"Medio",IF(HD39&lt;=80,"Alto","Inviable Sanitariamente"))))</f>
        <v>Bajo</v>
      </c>
      <c r="HG39" s="117">
        <v>0</v>
      </c>
      <c r="HK39" s="117">
        <v>0</v>
      </c>
      <c r="HM39" s="117">
        <v>23.08</v>
      </c>
      <c r="HS39" s="117">
        <f>AVERAGE(HG39:HR39)</f>
        <v>7.6933333333333325</v>
      </c>
      <c r="HT39" s="117" t="str">
        <f>IF(HS39&lt;5,"SI","NO")</f>
        <v>NO</v>
      </c>
      <c r="HU39" s="117" t="str">
        <f>IF(HS39&lt;5,"Sin Riesgo",IF(HS39 &lt;=14,"Bajo",IF(HS39&lt;=35,"Medio",IF(HS39&lt;=80,"Alto","Inviable Sanitariamente"))))</f>
        <v>Bajo</v>
      </c>
      <c r="HV39" s="117">
        <v>0</v>
      </c>
      <c r="HZ39" s="117">
        <v>0</v>
      </c>
      <c r="IB39" s="117">
        <v>23.08</v>
      </c>
      <c r="IH39" s="117">
        <f>AVERAGE(HV39:IG39)</f>
        <v>7.6933333333333325</v>
      </c>
      <c r="II39" s="117" t="str">
        <f>IF(IH39&lt;5,"SI","NO")</f>
        <v>NO</v>
      </c>
      <c r="IJ39" s="117" t="str">
        <f>IF(IH39&lt;5,"Sin Riesgo",IF(IH39 &lt;=14,"Bajo",IF(IH39&lt;=35,"Medio",IF(IH39&lt;=80,"Alto","Inviable Sanitariamente"))))</f>
        <v>Bajo</v>
      </c>
      <c r="IK39" s="117">
        <v>0</v>
      </c>
      <c r="IO39" s="117">
        <v>0</v>
      </c>
      <c r="IQ39" s="117">
        <v>23.08</v>
      </c>
      <c r="IW39" s="117">
        <f>AVERAGE(IK39:IV39)</f>
        <v>7.6933333333333325</v>
      </c>
      <c r="IX39" s="117" t="str">
        <f>IF(IW39&lt;5,"SI","NO")</f>
        <v>NO</v>
      </c>
      <c r="IY39" s="117" t="str">
        <f>IF(IW39&lt;5,"Sin Riesgo",IF(IW39 &lt;=14,"Bajo",IF(IW39&lt;=35,"Medio",IF(IW39&lt;=80,"Alto","Inviable Sanitariamente"))))</f>
        <v>Bajo</v>
      </c>
      <c r="IZ39" s="117">
        <v>0</v>
      </c>
      <c r="JD39" s="117">
        <v>0</v>
      </c>
      <c r="JF39" s="117">
        <v>23.08</v>
      </c>
      <c r="JL39" s="117">
        <f>AVERAGE(IZ39:JK39)</f>
        <v>7.6933333333333325</v>
      </c>
      <c r="JM39" s="117" t="str">
        <f>IF(JL39&lt;5,"SI","NO")</f>
        <v>NO</v>
      </c>
      <c r="JN39" s="117" t="str">
        <f>IF(JL39&lt;5,"Sin Riesgo",IF(JL39 &lt;=14,"Bajo",IF(JL39&lt;=35,"Medio",IF(JL39&lt;=80,"Alto","Inviable Sanitariamente"))))</f>
        <v>Bajo</v>
      </c>
      <c r="JO39" s="117">
        <v>0</v>
      </c>
      <c r="JS39" s="117">
        <v>0</v>
      </c>
      <c r="JU39" s="117">
        <v>23.08</v>
      </c>
      <c r="KA39" s="117">
        <f>AVERAGE(JO39:JZ39)</f>
        <v>7.6933333333333325</v>
      </c>
      <c r="KB39" s="117" t="str">
        <f>IF(KA39&lt;5,"SI","NO")</f>
        <v>NO</v>
      </c>
      <c r="KC39" s="117" t="str">
        <f>IF(KA39&lt;5,"Sin Riesgo",IF(KA39 &lt;=14,"Bajo",IF(KA39&lt;=35,"Medio",IF(KA39&lt;=80,"Alto","Inviable Sanitariamente"))))</f>
        <v>Bajo</v>
      </c>
      <c r="KD39" s="117">
        <v>0</v>
      </c>
      <c r="KH39" s="117">
        <v>0</v>
      </c>
      <c r="KJ39" s="117">
        <v>23.08</v>
      </c>
      <c r="KP39" s="117">
        <f>AVERAGE(KD39:KO39)</f>
        <v>7.6933333333333325</v>
      </c>
      <c r="KQ39" s="117" t="str">
        <f>IF(KP39&lt;5,"SI","NO")</f>
        <v>NO</v>
      </c>
      <c r="KR39" s="117" t="str">
        <f>IF(KP39&lt;5,"Sin Riesgo",IF(KP39 &lt;=14,"Bajo",IF(KP39&lt;=35,"Medio",IF(KP39&lt;=80,"Alto","Inviable Sanitariamente"))))</f>
        <v>Bajo</v>
      </c>
      <c r="KS39" s="117">
        <v>0</v>
      </c>
      <c r="KW39" s="117">
        <v>0</v>
      </c>
      <c r="KY39" s="117">
        <v>23.08</v>
      </c>
      <c r="LE39" s="117">
        <f>AVERAGE(KS39:LD39)</f>
        <v>7.6933333333333325</v>
      </c>
      <c r="LF39" s="117" t="str">
        <f>IF(LE39&lt;5,"SI","NO")</f>
        <v>NO</v>
      </c>
      <c r="LG39" s="117" t="str">
        <f>IF(LE39&lt;5,"Sin Riesgo",IF(LE39 &lt;=14,"Bajo",IF(LE39&lt;=35,"Medio",IF(LE39&lt;=80,"Alto","Inviable Sanitariamente"))))</f>
        <v>Bajo</v>
      </c>
      <c r="LH39" s="117">
        <v>0</v>
      </c>
      <c r="LL39" s="117">
        <v>0</v>
      </c>
      <c r="LN39" s="117">
        <v>23.08</v>
      </c>
      <c r="LT39" s="117">
        <f>AVERAGE(LH39:LS39)</f>
        <v>7.6933333333333325</v>
      </c>
      <c r="LU39" s="117" t="str">
        <f>IF(LT39&lt;5,"SI","NO")</f>
        <v>NO</v>
      </c>
      <c r="LV39" s="117" t="str">
        <f>IF(LT39&lt;5,"Sin Riesgo",IF(LT39 &lt;=14,"Bajo",IF(LT39&lt;=35,"Medio",IF(LT39&lt;=80,"Alto","Inviable Sanitariamente"))))</f>
        <v>Bajo</v>
      </c>
      <c r="LW39" s="117">
        <v>0</v>
      </c>
      <c r="MA39" s="117">
        <v>0</v>
      </c>
      <c r="MC39" s="117">
        <v>23.08</v>
      </c>
      <c r="MI39" s="117">
        <f>AVERAGE(LW39:MH39)</f>
        <v>7.6933333333333325</v>
      </c>
      <c r="MJ39" s="117" t="str">
        <f>IF(MI39&lt;5,"SI","NO")</f>
        <v>NO</v>
      </c>
      <c r="MK39" s="117" t="str">
        <f>IF(MI39&lt;5,"Sin Riesgo",IF(MI39 &lt;=14,"Bajo",IF(MI39&lt;=35,"Medio",IF(MI39&lt;=80,"Alto","Inviable Sanitariamente"))))</f>
        <v>Bajo</v>
      </c>
      <c r="ML39" s="117">
        <v>0</v>
      </c>
      <c r="MP39" s="117">
        <v>0</v>
      </c>
      <c r="MR39" s="117">
        <v>23.08</v>
      </c>
      <c r="MX39" s="117">
        <f>AVERAGE(ML39:MW39)</f>
        <v>7.6933333333333325</v>
      </c>
      <c r="MY39" s="117" t="str">
        <f>IF(MX39&lt;5,"SI","NO")</f>
        <v>NO</v>
      </c>
      <c r="MZ39" s="117" t="str">
        <f>IF(MX39&lt;5,"Sin Riesgo",IF(MX39 &lt;=14,"Bajo",IF(MX39&lt;=35,"Medio",IF(MX39&lt;=80,"Alto","Inviable Sanitariamente"))))</f>
        <v>Bajo</v>
      </c>
      <c r="NA39" s="117">
        <v>0</v>
      </c>
      <c r="NE39" s="117">
        <v>0</v>
      </c>
      <c r="NG39" s="117">
        <v>23.08</v>
      </c>
      <c r="NM39" s="117">
        <f>AVERAGE(NA39:NL39)</f>
        <v>7.6933333333333325</v>
      </c>
      <c r="NN39" s="117" t="str">
        <f>IF(NM39&lt;5,"SI","NO")</f>
        <v>NO</v>
      </c>
      <c r="NO39" s="117" t="str">
        <f>IF(NM39&lt;5,"Sin Riesgo",IF(NM39 &lt;=14,"Bajo",IF(NM39&lt;=35,"Medio",IF(NM39&lt;=80,"Alto","Inviable Sanitariamente"))))</f>
        <v>Bajo</v>
      </c>
      <c r="NP39" s="117">
        <v>0</v>
      </c>
      <c r="NT39" s="117">
        <v>0</v>
      </c>
      <c r="NV39" s="117">
        <v>23.08</v>
      </c>
      <c r="OB39" s="117">
        <f>AVERAGE(NP39:OA39)</f>
        <v>7.6933333333333325</v>
      </c>
      <c r="OC39" s="117" t="str">
        <f>IF(OB39&lt;5,"SI","NO")</f>
        <v>NO</v>
      </c>
      <c r="OD39" s="117" t="str">
        <f>IF(OB39&lt;5,"Sin Riesgo",IF(OB39 &lt;=14,"Bajo",IF(OB39&lt;=35,"Medio",IF(OB39&lt;=80,"Alto","Inviable Sanitariamente"))))</f>
        <v>Bajo</v>
      </c>
      <c r="OE39" s="117">
        <v>0</v>
      </c>
      <c r="OI39" s="117">
        <v>0</v>
      </c>
      <c r="OK39" s="117">
        <v>23.08</v>
      </c>
      <c r="OQ39" s="117">
        <f>AVERAGE(OE39:OP39)</f>
        <v>7.6933333333333325</v>
      </c>
      <c r="OR39" s="117" t="str">
        <f>IF(OQ39&lt;5,"SI","NO")</f>
        <v>NO</v>
      </c>
      <c r="OS39" s="117" t="str">
        <f>IF(OQ39&lt;5,"Sin Riesgo",IF(OQ39 &lt;=14,"Bajo",IF(OQ39&lt;=35,"Medio",IF(OQ39&lt;=80,"Alto","Inviable Sanitariamente"))))</f>
        <v>Bajo</v>
      </c>
      <c r="OT39" s="117">
        <v>0</v>
      </c>
      <c r="OX39" s="117">
        <v>0</v>
      </c>
      <c r="OZ39" s="117">
        <v>23.08</v>
      </c>
      <c r="PF39" s="117">
        <f>AVERAGE(OT39:PE39)</f>
        <v>7.6933333333333325</v>
      </c>
      <c r="PG39" s="117" t="str">
        <f>IF(PF39&lt;5,"SI","NO")</f>
        <v>NO</v>
      </c>
      <c r="PH39" s="117" t="str">
        <f>IF(PF39&lt;5,"Sin Riesgo",IF(PF39 &lt;=14,"Bajo",IF(PF39&lt;=35,"Medio",IF(PF39&lt;=80,"Alto","Inviable Sanitariamente"))))</f>
        <v>Bajo</v>
      </c>
      <c r="PI39" s="117">
        <v>0</v>
      </c>
      <c r="PM39" s="117">
        <v>0</v>
      </c>
      <c r="PO39" s="117">
        <v>23.08</v>
      </c>
      <c r="PU39" s="117">
        <f>AVERAGE(PI39:PT39)</f>
        <v>7.6933333333333325</v>
      </c>
      <c r="PV39" s="117" t="str">
        <f>IF(PU39&lt;5,"SI","NO")</f>
        <v>NO</v>
      </c>
      <c r="PW39" s="117" t="str">
        <f>IF(PU39&lt;5,"Sin Riesgo",IF(PU39 &lt;=14,"Bajo",IF(PU39&lt;=35,"Medio",IF(PU39&lt;=80,"Alto","Inviable Sanitariamente"))))</f>
        <v>Bajo</v>
      </c>
      <c r="PX39" s="117">
        <v>0</v>
      </c>
      <c r="QB39" s="117">
        <v>0</v>
      </c>
      <c r="QD39" s="117">
        <v>23.08</v>
      </c>
      <c r="QJ39" s="117">
        <f>AVERAGE(PX39:QI39)</f>
        <v>7.6933333333333325</v>
      </c>
      <c r="QK39" s="117" t="str">
        <f>IF(QJ39&lt;5,"SI","NO")</f>
        <v>NO</v>
      </c>
      <c r="QL39" s="117" t="str">
        <f>IF(QJ39&lt;5,"Sin Riesgo",IF(QJ39 &lt;=14,"Bajo",IF(QJ39&lt;=35,"Medio",IF(QJ39&lt;=80,"Alto","Inviable Sanitariamente"))))</f>
        <v>Bajo</v>
      </c>
      <c r="QM39" s="117">
        <v>0</v>
      </c>
      <c r="QQ39" s="117">
        <v>0</v>
      </c>
      <c r="QS39" s="117">
        <v>23.08</v>
      </c>
      <c r="QY39" s="117">
        <f>AVERAGE(QM39:QX39)</f>
        <v>7.6933333333333325</v>
      </c>
      <c r="QZ39" s="117" t="str">
        <f>IF(QY39&lt;5,"SI","NO")</f>
        <v>NO</v>
      </c>
      <c r="RA39" s="117" t="str">
        <f>IF(QY39&lt;5,"Sin Riesgo",IF(QY39 &lt;=14,"Bajo",IF(QY39&lt;=35,"Medio",IF(QY39&lt;=80,"Alto","Inviable Sanitariamente"))))</f>
        <v>Bajo</v>
      </c>
      <c r="RB39" s="117">
        <v>0</v>
      </c>
      <c r="RF39" s="117">
        <v>0</v>
      </c>
      <c r="RH39" s="117">
        <v>23.08</v>
      </c>
      <c r="RN39" s="117">
        <f>AVERAGE(RB39:RM39)</f>
        <v>7.6933333333333325</v>
      </c>
      <c r="RO39" s="117" t="str">
        <f>IF(RN39&lt;5,"SI","NO")</f>
        <v>NO</v>
      </c>
      <c r="RP39" s="117" t="str">
        <f>IF(RN39&lt;5,"Sin Riesgo",IF(RN39 &lt;=14,"Bajo",IF(RN39&lt;=35,"Medio",IF(RN39&lt;=80,"Alto","Inviable Sanitariamente"))))</f>
        <v>Bajo</v>
      </c>
      <c r="RQ39" s="117">
        <v>0</v>
      </c>
      <c r="RU39" s="117">
        <v>0</v>
      </c>
      <c r="RW39" s="117">
        <v>23.08</v>
      </c>
      <c r="SC39" s="117">
        <f>AVERAGE(RQ39:SB39)</f>
        <v>7.6933333333333325</v>
      </c>
      <c r="SD39" s="117" t="str">
        <f>IF(SC39&lt;5,"SI","NO")</f>
        <v>NO</v>
      </c>
      <c r="SE39" s="117" t="str">
        <f>IF(SC39&lt;5,"Sin Riesgo",IF(SC39 &lt;=14,"Bajo",IF(SC39&lt;=35,"Medio",IF(SC39&lt;=80,"Alto","Inviable Sanitariamente"))))</f>
        <v>Bajo</v>
      </c>
      <c r="SF39" s="117">
        <v>0</v>
      </c>
      <c r="SJ39" s="117">
        <v>0</v>
      </c>
      <c r="SL39" s="117">
        <v>23.08</v>
      </c>
      <c r="SR39" s="117">
        <f>AVERAGE(SF39:SQ39)</f>
        <v>7.6933333333333325</v>
      </c>
      <c r="SS39" s="117" t="str">
        <f>IF(SR39&lt;5,"SI","NO")</f>
        <v>NO</v>
      </c>
      <c r="ST39" s="117" t="str">
        <f>IF(SR39&lt;5,"Sin Riesgo",IF(SR39 &lt;=14,"Bajo",IF(SR39&lt;=35,"Medio",IF(SR39&lt;=80,"Alto","Inviable Sanitariamente"))))</f>
        <v>Bajo</v>
      </c>
      <c r="SU39" s="117">
        <v>0</v>
      </c>
      <c r="SY39" s="117">
        <v>0</v>
      </c>
      <c r="TA39" s="117">
        <v>23.08</v>
      </c>
      <c r="TG39" s="117">
        <f>AVERAGE(SU39:TF39)</f>
        <v>7.6933333333333325</v>
      </c>
      <c r="TH39" s="117" t="str">
        <f>IF(TG39&lt;5,"SI","NO")</f>
        <v>NO</v>
      </c>
      <c r="TI39" s="117" t="str">
        <f>IF(TG39&lt;5,"Sin Riesgo",IF(TG39 &lt;=14,"Bajo",IF(TG39&lt;=35,"Medio",IF(TG39&lt;=80,"Alto","Inviable Sanitariamente"))))</f>
        <v>Bajo</v>
      </c>
      <c r="TJ39" s="117">
        <v>0</v>
      </c>
      <c r="TN39" s="117">
        <v>0</v>
      </c>
      <c r="TP39" s="117">
        <v>23.08</v>
      </c>
      <c r="TV39" s="117">
        <f>AVERAGE(TJ39:TU39)</f>
        <v>7.6933333333333325</v>
      </c>
      <c r="TW39" s="117" t="str">
        <f>IF(TV39&lt;5,"SI","NO")</f>
        <v>NO</v>
      </c>
      <c r="TX39" s="117" t="str">
        <f>IF(TV39&lt;5,"Sin Riesgo",IF(TV39 &lt;=14,"Bajo",IF(TV39&lt;=35,"Medio",IF(TV39&lt;=80,"Alto","Inviable Sanitariamente"))))</f>
        <v>Bajo</v>
      </c>
      <c r="TY39" s="117">
        <v>0</v>
      </c>
      <c r="UC39" s="117">
        <v>0</v>
      </c>
      <c r="UE39" s="117">
        <v>23.08</v>
      </c>
      <c r="UK39" s="117">
        <f>AVERAGE(TY39:UJ39)</f>
        <v>7.6933333333333325</v>
      </c>
      <c r="UL39" s="117" t="str">
        <f>IF(UK39&lt;5,"SI","NO")</f>
        <v>NO</v>
      </c>
      <c r="UM39" s="117" t="str">
        <f>IF(UK39&lt;5,"Sin Riesgo",IF(UK39 &lt;=14,"Bajo",IF(UK39&lt;=35,"Medio",IF(UK39&lt;=80,"Alto","Inviable Sanitariamente"))))</f>
        <v>Bajo</v>
      </c>
      <c r="UN39" s="117">
        <v>0</v>
      </c>
      <c r="UR39" s="117">
        <v>0</v>
      </c>
      <c r="UT39" s="117">
        <v>23.08</v>
      </c>
      <c r="UZ39" s="117">
        <f>AVERAGE(UN39:UY39)</f>
        <v>7.6933333333333325</v>
      </c>
      <c r="VA39" s="117" t="str">
        <f>IF(UZ39&lt;5,"SI","NO")</f>
        <v>NO</v>
      </c>
      <c r="VB39" s="117" t="str">
        <f>IF(UZ39&lt;5,"Sin Riesgo",IF(UZ39 &lt;=14,"Bajo",IF(UZ39&lt;=35,"Medio",IF(UZ39&lt;=80,"Alto","Inviable Sanitariamente"))))</f>
        <v>Bajo</v>
      </c>
      <c r="VC39" s="117">
        <v>0</v>
      </c>
      <c r="VG39" s="117">
        <v>0</v>
      </c>
      <c r="VI39" s="117">
        <v>23.08</v>
      </c>
      <c r="VO39" s="117">
        <f>AVERAGE(VC39:VN39)</f>
        <v>7.6933333333333325</v>
      </c>
      <c r="VP39" s="117" t="str">
        <f>IF(VO39&lt;5,"SI","NO")</f>
        <v>NO</v>
      </c>
      <c r="VQ39" s="117" t="str">
        <f>IF(VO39&lt;5,"Sin Riesgo",IF(VO39 &lt;=14,"Bajo",IF(VO39&lt;=35,"Medio",IF(VO39&lt;=80,"Alto","Inviable Sanitariamente"))))</f>
        <v>Bajo</v>
      </c>
      <c r="VR39" s="117">
        <v>0</v>
      </c>
      <c r="VV39" s="117">
        <v>0</v>
      </c>
      <c r="VX39" s="117">
        <v>23.08</v>
      </c>
      <c r="WD39" s="117">
        <f>AVERAGE(VR39:WC39)</f>
        <v>7.6933333333333325</v>
      </c>
      <c r="WE39" s="117" t="str">
        <f>IF(WD39&lt;5,"SI","NO")</f>
        <v>NO</v>
      </c>
      <c r="WF39" s="117" t="str">
        <f>IF(WD39&lt;5,"Sin Riesgo",IF(WD39 &lt;=14,"Bajo",IF(WD39&lt;=35,"Medio",IF(WD39&lt;=80,"Alto","Inviable Sanitariamente"))))</f>
        <v>Bajo</v>
      </c>
      <c r="WG39" s="117">
        <v>0</v>
      </c>
      <c r="WK39" s="117">
        <v>0</v>
      </c>
      <c r="WM39" s="117">
        <v>23.08</v>
      </c>
      <c r="WS39" s="117">
        <f>AVERAGE(WG39:WR39)</f>
        <v>7.6933333333333325</v>
      </c>
      <c r="WT39" s="117" t="str">
        <f>IF(WS39&lt;5,"SI","NO")</f>
        <v>NO</v>
      </c>
      <c r="WU39" s="117" t="str">
        <f>IF(WS39&lt;5,"Sin Riesgo",IF(WS39 &lt;=14,"Bajo",IF(WS39&lt;=35,"Medio",IF(WS39&lt;=80,"Alto","Inviable Sanitariamente"))))</f>
        <v>Bajo</v>
      </c>
      <c r="WV39" s="117">
        <v>0</v>
      </c>
      <c r="WZ39" s="117">
        <v>0</v>
      </c>
      <c r="XB39" s="117">
        <v>23.08</v>
      </c>
      <c r="XH39" s="117">
        <f>AVERAGE(WV39:XG39)</f>
        <v>7.6933333333333325</v>
      </c>
      <c r="XI39" s="117" t="str">
        <f>IF(XH39&lt;5,"SI","NO")</f>
        <v>NO</v>
      </c>
      <c r="XJ39" s="117" t="str">
        <f>IF(XH39&lt;5,"Sin Riesgo",IF(XH39 &lt;=14,"Bajo",IF(XH39&lt;=35,"Medio",IF(XH39&lt;=80,"Alto","Inviable Sanitariamente"))))</f>
        <v>Bajo</v>
      </c>
      <c r="XK39" s="117">
        <v>0</v>
      </c>
      <c r="XO39" s="117">
        <v>0</v>
      </c>
      <c r="XQ39" s="117">
        <v>23.08</v>
      </c>
      <c r="XW39" s="117">
        <f>AVERAGE(XK39:XV39)</f>
        <v>7.6933333333333325</v>
      </c>
      <c r="XX39" s="117" t="str">
        <f>IF(XW39&lt;5,"SI","NO")</f>
        <v>NO</v>
      </c>
      <c r="XY39" s="117" t="str">
        <f>IF(XW39&lt;5,"Sin Riesgo",IF(XW39 &lt;=14,"Bajo",IF(XW39&lt;=35,"Medio",IF(XW39&lt;=80,"Alto","Inviable Sanitariamente"))))</f>
        <v>Bajo</v>
      </c>
      <c r="XZ39" s="117">
        <v>0</v>
      </c>
      <c r="YD39" s="117">
        <v>0</v>
      </c>
      <c r="YF39" s="117">
        <v>23.08</v>
      </c>
      <c r="YL39" s="117">
        <f>AVERAGE(XZ39:YK39)</f>
        <v>7.6933333333333325</v>
      </c>
      <c r="YM39" s="117" t="str">
        <f>IF(YL39&lt;5,"SI","NO")</f>
        <v>NO</v>
      </c>
      <c r="YN39" s="117" t="str">
        <f>IF(YL39&lt;5,"Sin Riesgo",IF(YL39 &lt;=14,"Bajo",IF(YL39&lt;=35,"Medio",IF(YL39&lt;=80,"Alto","Inviable Sanitariamente"))))</f>
        <v>Bajo</v>
      </c>
      <c r="YO39" s="117">
        <v>0</v>
      </c>
      <c r="YS39" s="117">
        <v>0</v>
      </c>
      <c r="YU39" s="117">
        <v>23.08</v>
      </c>
      <c r="ZA39" s="117">
        <f>AVERAGE(YO39:YZ39)</f>
        <v>7.6933333333333325</v>
      </c>
      <c r="ZB39" s="117" t="str">
        <f>IF(ZA39&lt;5,"SI","NO")</f>
        <v>NO</v>
      </c>
      <c r="ZC39" s="117" t="str">
        <f>IF(ZA39&lt;5,"Sin Riesgo",IF(ZA39 &lt;=14,"Bajo",IF(ZA39&lt;=35,"Medio",IF(ZA39&lt;=80,"Alto","Inviable Sanitariamente"))))</f>
        <v>Bajo</v>
      </c>
      <c r="ZD39" s="117">
        <v>0</v>
      </c>
      <c r="ZH39" s="117">
        <v>0</v>
      </c>
      <c r="ZJ39" s="117">
        <v>23.08</v>
      </c>
      <c r="ZP39" s="117">
        <f>AVERAGE(ZD39:ZO39)</f>
        <v>7.6933333333333325</v>
      </c>
      <c r="ZQ39" s="117" t="str">
        <f>IF(ZP39&lt;5,"SI","NO")</f>
        <v>NO</v>
      </c>
      <c r="ZR39" s="117" t="str">
        <f>IF(ZP39&lt;5,"Sin Riesgo",IF(ZP39 &lt;=14,"Bajo",IF(ZP39&lt;=35,"Medio",IF(ZP39&lt;=80,"Alto","Inviable Sanitariamente"))))</f>
        <v>Bajo</v>
      </c>
      <c r="ZS39" s="117">
        <v>0</v>
      </c>
      <c r="ZW39" s="117">
        <v>0</v>
      </c>
      <c r="ZY39" s="117">
        <v>23.08</v>
      </c>
      <c r="AAE39" s="117">
        <f>AVERAGE(ZS39:AAD39)</f>
        <v>7.6933333333333325</v>
      </c>
      <c r="AAF39" s="117" t="str">
        <f>IF(AAE39&lt;5,"SI","NO")</f>
        <v>NO</v>
      </c>
      <c r="AAG39" s="117" t="str">
        <f>IF(AAE39&lt;5,"Sin Riesgo",IF(AAE39 &lt;=14,"Bajo",IF(AAE39&lt;=35,"Medio",IF(AAE39&lt;=80,"Alto","Inviable Sanitariamente"))))</f>
        <v>Bajo</v>
      </c>
      <c r="AAH39" s="117">
        <v>0</v>
      </c>
      <c r="AAL39" s="117">
        <v>0</v>
      </c>
      <c r="AAN39" s="117">
        <v>23.08</v>
      </c>
      <c r="AAT39" s="117">
        <f>AVERAGE(AAH39:AAS39)</f>
        <v>7.6933333333333325</v>
      </c>
      <c r="AAU39" s="117" t="str">
        <f>IF(AAT39&lt;5,"SI","NO")</f>
        <v>NO</v>
      </c>
      <c r="AAV39" s="117" t="str">
        <f>IF(AAT39&lt;5,"Sin Riesgo",IF(AAT39 &lt;=14,"Bajo",IF(AAT39&lt;=35,"Medio",IF(AAT39&lt;=80,"Alto","Inviable Sanitariamente"))))</f>
        <v>Bajo</v>
      </c>
      <c r="AAW39" s="117">
        <v>0</v>
      </c>
      <c r="ABA39" s="117">
        <v>0</v>
      </c>
      <c r="ABC39" s="117">
        <v>23.08</v>
      </c>
      <c r="ABI39" s="117">
        <f>AVERAGE(AAW39:ABH39)</f>
        <v>7.6933333333333325</v>
      </c>
      <c r="ABJ39" s="117" t="str">
        <f>IF(ABI39&lt;5,"SI","NO")</f>
        <v>NO</v>
      </c>
      <c r="ABK39" s="117" t="str">
        <f>IF(ABI39&lt;5,"Sin Riesgo",IF(ABI39 &lt;=14,"Bajo",IF(ABI39&lt;=35,"Medio",IF(ABI39&lt;=80,"Alto","Inviable Sanitariamente"))))</f>
        <v>Bajo</v>
      </c>
      <c r="ABL39" s="117">
        <v>0</v>
      </c>
      <c r="ABP39" s="117">
        <v>0</v>
      </c>
      <c r="ABR39" s="117">
        <v>23.08</v>
      </c>
      <c r="ABX39" s="117">
        <f>AVERAGE(ABL39:ABW39)</f>
        <v>7.6933333333333325</v>
      </c>
      <c r="ABY39" s="117" t="str">
        <f>IF(ABX39&lt;5,"SI","NO")</f>
        <v>NO</v>
      </c>
      <c r="ABZ39" s="117" t="str">
        <f>IF(ABX39&lt;5,"Sin Riesgo",IF(ABX39 &lt;=14,"Bajo",IF(ABX39&lt;=35,"Medio",IF(ABX39&lt;=80,"Alto","Inviable Sanitariamente"))))</f>
        <v>Bajo</v>
      </c>
      <c r="ACA39" s="117">
        <v>0</v>
      </c>
      <c r="ACE39" s="117">
        <v>0</v>
      </c>
      <c r="ACG39" s="117">
        <v>23.08</v>
      </c>
      <c r="ACM39" s="117">
        <f>AVERAGE(ACA39:ACL39)</f>
        <v>7.6933333333333325</v>
      </c>
      <c r="ACN39" s="117" t="str">
        <f>IF(ACM39&lt;5,"SI","NO")</f>
        <v>NO</v>
      </c>
      <c r="ACO39" s="117" t="str">
        <f>IF(ACM39&lt;5,"Sin Riesgo",IF(ACM39 &lt;=14,"Bajo",IF(ACM39&lt;=35,"Medio",IF(ACM39&lt;=80,"Alto","Inviable Sanitariamente"))))</f>
        <v>Bajo</v>
      </c>
      <c r="ACP39" s="117">
        <v>0</v>
      </c>
      <c r="ACT39" s="117">
        <v>0</v>
      </c>
      <c r="ACV39" s="117">
        <v>23.08</v>
      </c>
      <c r="ADB39" s="117">
        <f>AVERAGE(ACP39:ADA39)</f>
        <v>7.6933333333333325</v>
      </c>
      <c r="ADC39" s="117" t="str">
        <f>IF(ADB39&lt;5,"SI","NO")</f>
        <v>NO</v>
      </c>
      <c r="ADD39" s="117" t="str">
        <f>IF(ADB39&lt;5,"Sin Riesgo",IF(ADB39 &lt;=14,"Bajo",IF(ADB39&lt;=35,"Medio",IF(ADB39&lt;=80,"Alto","Inviable Sanitariamente"))))</f>
        <v>Bajo</v>
      </c>
      <c r="ADE39" s="117">
        <v>0</v>
      </c>
      <c r="ADI39" s="117">
        <v>0</v>
      </c>
      <c r="ADK39" s="117">
        <v>23.08</v>
      </c>
      <c r="ADQ39" s="117">
        <f>AVERAGE(ADE39:ADP39)</f>
        <v>7.6933333333333325</v>
      </c>
      <c r="ADR39" s="117" t="str">
        <f>IF(ADQ39&lt;5,"SI","NO")</f>
        <v>NO</v>
      </c>
      <c r="ADS39" s="117" t="str">
        <f>IF(ADQ39&lt;5,"Sin Riesgo",IF(ADQ39 &lt;=14,"Bajo",IF(ADQ39&lt;=35,"Medio",IF(ADQ39&lt;=80,"Alto","Inviable Sanitariamente"))))</f>
        <v>Bajo</v>
      </c>
      <c r="ADT39" s="117">
        <v>0</v>
      </c>
      <c r="ADX39" s="117">
        <v>0</v>
      </c>
      <c r="ADZ39" s="117">
        <v>23.08</v>
      </c>
      <c r="AEF39" s="117">
        <f>AVERAGE(ADT39:AEE39)</f>
        <v>7.6933333333333325</v>
      </c>
      <c r="AEG39" s="117" t="str">
        <f>IF(AEF39&lt;5,"SI","NO")</f>
        <v>NO</v>
      </c>
      <c r="AEH39" s="117" t="str">
        <f>IF(AEF39&lt;5,"Sin Riesgo",IF(AEF39 &lt;=14,"Bajo",IF(AEF39&lt;=35,"Medio",IF(AEF39&lt;=80,"Alto","Inviable Sanitariamente"))))</f>
        <v>Bajo</v>
      </c>
      <c r="AEI39" s="117">
        <v>0</v>
      </c>
      <c r="AEM39" s="117">
        <v>0</v>
      </c>
      <c r="AEO39" s="117">
        <v>23.08</v>
      </c>
      <c r="AEU39" s="117">
        <f>AVERAGE(AEI39:AET39)</f>
        <v>7.6933333333333325</v>
      </c>
      <c r="AEV39" s="117" t="str">
        <f>IF(AEU39&lt;5,"SI","NO")</f>
        <v>NO</v>
      </c>
      <c r="AEW39" s="117" t="str">
        <f>IF(AEU39&lt;5,"Sin Riesgo",IF(AEU39 &lt;=14,"Bajo",IF(AEU39&lt;=35,"Medio",IF(AEU39&lt;=80,"Alto","Inviable Sanitariamente"))))</f>
        <v>Bajo</v>
      </c>
      <c r="AEX39" s="117">
        <v>0</v>
      </c>
      <c r="AFB39" s="117">
        <v>0</v>
      </c>
      <c r="AFD39" s="117">
        <v>23.08</v>
      </c>
      <c r="AFJ39" s="117">
        <f>AVERAGE(AEX39:AFI39)</f>
        <v>7.6933333333333325</v>
      </c>
      <c r="AFK39" s="117" t="str">
        <f>IF(AFJ39&lt;5,"SI","NO")</f>
        <v>NO</v>
      </c>
      <c r="AFL39" s="117" t="str">
        <f>IF(AFJ39&lt;5,"Sin Riesgo",IF(AFJ39 &lt;=14,"Bajo",IF(AFJ39&lt;=35,"Medio",IF(AFJ39&lt;=80,"Alto","Inviable Sanitariamente"))))</f>
        <v>Bajo</v>
      </c>
      <c r="AFM39" s="117">
        <v>0</v>
      </c>
      <c r="AFQ39" s="117">
        <v>0</v>
      </c>
      <c r="AFS39" s="117">
        <v>23.08</v>
      </c>
      <c r="AFY39" s="117">
        <f>AVERAGE(AFM39:AFX39)</f>
        <v>7.6933333333333325</v>
      </c>
      <c r="AFZ39" s="117" t="str">
        <f>IF(AFY39&lt;5,"SI","NO")</f>
        <v>NO</v>
      </c>
      <c r="AGA39" s="117" t="str">
        <f>IF(AFY39&lt;5,"Sin Riesgo",IF(AFY39 &lt;=14,"Bajo",IF(AFY39&lt;=35,"Medio",IF(AFY39&lt;=80,"Alto","Inviable Sanitariamente"))))</f>
        <v>Bajo</v>
      </c>
      <c r="AGB39" s="117">
        <v>0</v>
      </c>
      <c r="AGF39" s="117">
        <v>0</v>
      </c>
      <c r="AGH39" s="117">
        <v>23.08</v>
      </c>
      <c r="AGN39" s="117">
        <f>AVERAGE(AGB39:AGM39)</f>
        <v>7.6933333333333325</v>
      </c>
      <c r="AGO39" s="117" t="str">
        <f>IF(AGN39&lt;5,"SI","NO")</f>
        <v>NO</v>
      </c>
      <c r="AGP39" s="117" t="str">
        <f>IF(AGN39&lt;5,"Sin Riesgo",IF(AGN39 &lt;=14,"Bajo",IF(AGN39&lt;=35,"Medio",IF(AGN39&lt;=80,"Alto","Inviable Sanitariamente"))))</f>
        <v>Bajo</v>
      </c>
      <c r="AGQ39" s="117">
        <v>0</v>
      </c>
      <c r="AGU39" s="117">
        <v>0</v>
      </c>
      <c r="AGW39" s="117">
        <v>23.08</v>
      </c>
      <c r="AHC39" s="117">
        <f>AVERAGE(AGQ39:AHB39)</f>
        <v>7.6933333333333325</v>
      </c>
      <c r="AHD39" s="117" t="str">
        <f>IF(AHC39&lt;5,"SI","NO")</f>
        <v>NO</v>
      </c>
      <c r="AHE39" s="117" t="str">
        <f>IF(AHC39&lt;5,"Sin Riesgo",IF(AHC39 &lt;=14,"Bajo",IF(AHC39&lt;=35,"Medio",IF(AHC39&lt;=80,"Alto","Inviable Sanitariamente"))))</f>
        <v>Bajo</v>
      </c>
      <c r="AHF39" s="117">
        <v>0</v>
      </c>
      <c r="AHJ39" s="117">
        <v>0</v>
      </c>
      <c r="AHL39" s="117">
        <v>23.08</v>
      </c>
      <c r="AHR39" s="117">
        <f>AVERAGE(AHF39:AHQ39)</f>
        <v>7.6933333333333325</v>
      </c>
      <c r="AHS39" s="117" t="str">
        <f>IF(AHR39&lt;5,"SI","NO")</f>
        <v>NO</v>
      </c>
      <c r="AHT39" s="117" t="str">
        <f>IF(AHR39&lt;5,"Sin Riesgo",IF(AHR39 &lt;=14,"Bajo",IF(AHR39&lt;=35,"Medio",IF(AHR39&lt;=80,"Alto","Inviable Sanitariamente"))))</f>
        <v>Bajo</v>
      </c>
      <c r="AHU39" s="117">
        <v>0</v>
      </c>
      <c r="AHY39" s="117">
        <v>0</v>
      </c>
      <c r="AIA39" s="117">
        <v>23.08</v>
      </c>
      <c r="AIG39" s="117">
        <f>AVERAGE(AHU39:AIF39)</f>
        <v>7.6933333333333325</v>
      </c>
      <c r="AIH39" s="117" t="str">
        <f>IF(AIG39&lt;5,"SI","NO")</f>
        <v>NO</v>
      </c>
      <c r="AII39" s="117" t="str">
        <f>IF(AIG39&lt;5,"Sin Riesgo",IF(AIG39 &lt;=14,"Bajo",IF(AIG39&lt;=35,"Medio",IF(AIG39&lt;=80,"Alto","Inviable Sanitariamente"))))</f>
        <v>Bajo</v>
      </c>
      <c r="AIJ39" s="117">
        <v>0</v>
      </c>
      <c r="AIN39" s="117">
        <v>0</v>
      </c>
      <c r="AIP39" s="117">
        <v>23.08</v>
      </c>
      <c r="AIV39" s="117">
        <f>AVERAGE(AIJ39:AIU39)</f>
        <v>7.6933333333333325</v>
      </c>
      <c r="AIW39" s="117" t="str">
        <f>IF(AIV39&lt;5,"SI","NO")</f>
        <v>NO</v>
      </c>
      <c r="AIX39" s="117" t="str">
        <f>IF(AIV39&lt;5,"Sin Riesgo",IF(AIV39 &lt;=14,"Bajo",IF(AIV39&lt;=35,"Medio",IF(AIV39&lt;=80,"Alto","Inviable Sanitariamente"))))</f>
        <v>Bajo</v>
      </c>
      <c r="AIY39" s="117">
        <v>0</v>
      </c>
      <c r="AJC39" s="117">
        <v>0</v>
      </c>
      <c r="AJE39" s="117">
        <v>23.08</v>
      </c>
      <c r="AJK39" s="117">
        <f>AVERAGE(AIY39:AJJ39)</f>
        <v>7.6933333333333325</v>
      </c>
      <c r="AJL39" s="117" t="str">
        <f>IF(AJK39&lt;5,"SI","NO")</f>
        <v>NO</v>
      </c>
      <c r="AJM39" s="117" t="str">
        <f>IF(AJK39&lt;5,"Sin Riesgo",IF(AJK39 &lt;=14,"Bajo",IF(AJK39&lt;=35,"Medio",IF(AJK39&lt;=80,"Alto","Inviable Sanitariamente"))))</f>
        <v>Bajo</v>
      </c>
      <c r="AJN39" s="117">
        <v>0</v>
      </c>
      <c r="AJR39" s="117">
        <v>0</v>
      </c>
      <c r="AJT39" s="117">
        <v>23.08</v>
      </c>
      <c r="AJZ39" s="117">
        <f>AVERAGE(AJN39:AJY39)</f>
        <v>7.6933333333333325</v>
      </c>
      <c r="AKA39" s="117" t="str">
        <f>IF(AJZ39&lt;5,"SI","NO")</f>
        <v>NO</v>
      </c>
      <c r="AKB39" s="117" t="str">
        <f>IF(AJZ39&lt;5,"Sin Riesgo",IF(AJZ39 &lt;=14,"Bajo",IF(AJZ39&lt;=35,"Medio",IF(AJZ39&lt;=80,"Alto","Inviable Sanitariamente"))))</f>
        <v>Bajo</v>
      </c>
      <c r="AKC39" s="117">
        <v>0</v>
      </c>
      <c r="AKG39" s="117">
        <v>0</v>
      </c>
      <c r="AKI39" s="117">
        <v>23.08</v>
      </c>
      <c r="AKO39" s="117">
        <f>AVERAGE(AKC39:AKN39)</f>
        <v>7.6933333333333325</v>
      </c>
      <c r="AKP39" s="117" t="str">
        <f>IF(AKO39&lt;5,"SI","NO")</f>
        <v>NO</v>
      </c>
      <c r="AKQ39" s="117" t="str">
        <f>IF(AKO39&lt;5,"Sin Riesgo",IF(AKO39 &lt;=14,"Bajo",IF(AKO39&lt;=35,"Medio",IF(AKO39&lt;=80,"Alto","Inviable Sanitariamente"))))</f>
        <v>Bajo</v>
      </c>
      <c r="AKR39" s="117">
        <v>0</v>
      </c>
      <c r="AKV39" s="117">
        <v>0</v>
      </c>
      <c r="AKX39" s="117">
        <v>23.08</v>
      </c>
      <c r="ALD39" s="117">
        <f>AVERAGE(AKR39:ALC39)</f>
        <v>7.6933333333333325</v>
      </c>
      <c r="ALE39" s="117" t="str">
        <f>IF(ALD39&lt;5,"SI","NO")</f>
        <v>NO</v>
      </c>
      <c r="ALF39" s="117" t="str">
        <f>IF(ALD39&lt;5,"Sin Riesgo",IF(ALD39 &lt;=14,"Bajo",IF(ALD39&lt;=35,"Medio",IF(ALD39&lt;=80,"Alto","Inviable Sanitariamente"))))</f>
        <v>Bajo</v>
      </c>
      <c r="ALG39" s="117">
        <v>0</v>
      </c>
      <c r="ALK39" s="117">
        <v>0</v>
      </c>
      <c r="ALM39" s="117">
        <v>23.08</v>
      </c>
      <c r="ALS39" s="117">
        <f>AVERAGE(ALG39:ALR39)</f>
        <v>7.6933333333333325</v>
      </c>
      <c r="ALT39" s="117" t="str">
        <f>IF(ALS39&lt;5,"SI","NO")</f>
        <v>NO</v>
      </c>
      <c r="ALU39" s="117" t="str">
        <f>IF(ALS39&lt;5,"Sin Riesgo",IF(ALS39 &lt;=14,"Bajo",IF(ALS39&lt;=35,"Medio",IF(ALS39&lt;=80,"Alto","Inviable Sanitariamente"))))</f>
        <v>Bajo</v>
      </c>
      <c r="ALV39" s="117">
        <v>0</v>
      </c>
      <c r="ALZ39" s="117">
        <v>0</v>
      </c>
      <c r="AMB39" s="117">
        <v>23.08</v>
      </c>
      <c r="AMH39" s="117">
        <f>AVERAGE(ALV39:AMG39)</f>
        <v>7.6933333333333325</v>
      </c>
      <c r="AMI39" s="117" t="str">
        <f>IF(AMH39&lt;5,"SI","NO")</f>
        <v>NO</v>
      </c>
      <c r="AMJ39" s="117" t="str">
        <f>IF(AMH39&lt;5,"Sin Riesgo",IF(AMH39 &lt;=14,"Bajo",IF(AMH39&lt;=35,"Medio",IF(AMH39&lt;=80,"Alto","Inviable Sanitariamente"))))</f>
        <v>Bajo</v>
      </c>
      <c r="AMK39" s="117">
        <v>0</v>
      </c>
      <c r="AMO39" s="117">
        <v>0</v>
      </c>
      <c r="AMQ39" s="117">
        <v>23.08</v>
      </c>
      <c r="AMW39" s="117">
        <f>AVERAGE(AMK39:AMV39)</f>
        <v>7.6933333333333325</v>
      </c>
      <c r="AMX39" s="117" t="str">
        <f>IF(AMW39&lt;5,"SI","NO")</f>
        <v>NO</v>
      </c>
      <c r="AMY39" s="117" t="str">
        <f>IF(AMW39&lt;5,"Sin Riesgo",IF(AMW39 &lt;=14,"Bajo",IF(AMW39&lt;=35,"Medio",IF(AMW39&lt;=80,"Alto","Inviable Sanitariamente"))))</f>
        <v>Bajo</v>
      </c>
      <c r="AMZ39" s="117">
        <v>0</v>
      </c>
      <c r="AND39" s="117">
        <v>0</v>
      </c>
      <c r="ANF39" s="117">
        <v>23.08</v>
      </c>
      <c r="ANL39" s="117">
        <f>AVERAGE(AMZ39:ANK39)</f>
        <v>7.6933333333333325</v>
      </c>
      <c r="ANM39" s="117" t="str">
        <f>IF(ANL39&lt;5,"SI","NO")</f>
        <v>NO</v>
      </c>
      <c r="ANN39" s="117" t="str">
        <f>IF(ANL39&lt;5,"Sin Riesgo",IF(ANL39 &lt;=14,"Bajo",IF(ANL39&lt;=35,"Medio",IF(ANL39&lt;=80,"Alto","Inviable Sanitariamente"))))</f>
        <v>Bajo</v>
      </c>
      <c r="ANO39" s="117">
        <v>0</v>
      </c>
      <c r="ANS39" s="117">
        <v>0</v>
      </c>
      <c r="ANU39" s="117">
        <v>23.08</v>
      </c>
      <c r="AOA39" s="117">
        <f>AVERAGE(ANO39:ANZ39)</f>
        <v>7.6933333333333325</v>
      </c>
      <c r="AOB39" s="117" t="str">
        <f>IF(AOA39&lt;5,"SI","NO")</f>
        <v>NO</v>
      </c>
      <c r="AOC39" s="117" t="str">
        <f>IF(AOA39&lt;5,"Sin Riesgo",IF(AOA39 &lt;=14,"Bajo",IF(AOA39&lt;=35,"Medio",IF(AOA39&lt;=80,"Alto","Inviable Sanitariamente"))))</f>
        <v>Bajo</v>
      </c>
      <c r="AOD39" s="117">
        <v>0</v>
      </c>
      <c r="AOH39" s="117">
        <v>0</v>
      </c>
      <c r="AOJ39" s="117">
        <v>23.08</v>
      </c>
      <c r="AOP39" s="117">
        <f>AVERAGE(AOD39:AOO39)</f>
        <v>7.6933333333333325</v>
      </c>
      <c r="AOQ39" s="117" t="str">
        <f>IF(AOP39&lt;5,"SI","NO")</f>
        <v>NO</v>
      </c>
      <c r="AOR39" s="117" t="str">
        <f>IF(AOP39&lt;5,"Sin Riesgo",IF(AOP39 &lt;=14,"Bajo",IF(AOP39&lt;=35,"Medio",IF(AOP39&lt;=80,"Alto","Inviable Sanitariamente"))))</f>
        <v>Bajo</v>
      </c>
      <c r="AOS39" s="117">
        <v>0</v>
      </c>
      <c r="AOW39" s="117">
        <v>0</v>
      </c>
      <c r="AOY39" s="117">
        <v>23.08</v>
      </c>
      <c r="APE39" s="117">
        <f>AVERAGE(AOS39:APD39)</f>
        <v>7.6933333333333325</v>
      </c>
      <c r="APF39" s="117" t="str">
        <f>IF(APE39&lt;5,"SI","NO")</f>
        <v>NO</v>
      </c>
      <c r="APG39" s="117" t="str">
        <f>IF(APE39&lt;5,"Sin Riesgo",IF(APE39 &lt;=14,"Bajo",IF(APE39&lt;=35,"Medio",IF(APE39&lt;=80,"Alto","Inviable Sanitariamente"))))</f>
        <v>Bajo</v>
      </c>
      <c r="APH39" s="117">
        <v>0</v>
      </c>
      <c r="APL39" s="117">
        <v>0</v>
      </c>
      <c r="APN39" s="117">
        <v>23.08</v>
      </c>
      <c r="APT39" s="117">
        <f>AVERAGE(APH39:APS39)</f>
        <v>7.6933333333333325</v>
      </c>
      <c r="APU39" s="117" t="str">
        <f>IF(APT39&lt;5,"SI","NO")</f>
        <v>NO</v>
      </c>
      <c r="APV39" s="117" t="str">
        <f>IF(APT39&lt;5,"Sin Riesgo",IF(APT39 &lt;=14,"Bajo",IF(APT39&lt;=35,"Medio",IF(APT39&lt;=80,"Alto","Inviable Sanitariamente"))))</f>
        <v>Bajo</v>
      </c>
      <c r="APW39" s="117">
        <v>0</v>
      </c>
      <c r="AQA39" s="117">
        <v>0</v>
      </c>
      <c r="AQC39" s="117">
        <v>23.08</v>
      </c>
      <c r="AQI39" s="117">
        <f>AVERAGE(APW39:AQH39)</f>
        <v>7.6933333333333325</v>
      </c>
      <c r="AQJ39" s="117" t="str">
        <f>IF(AQI39&lt;5,"SI","NO")</f>
        <v>NO</v>
      </c>
      <c r="AQK39" s="117" t="str">
        <f>IF(AQI39&lt;5,"Sin Riesgo",IF(AQI39 &lt;=14,"Bajo",IF(AQI39&lt;=35,"Medio",IF(AQI39&lt;=80,"Alto","Inviable Sanitariamente"))))</f>
        <v>Bajo</v>
      </c>
      <c r="AQL39" s="117">
        <v>0</v>
      </c>
      <c r="AQP39" s="117">
        <v>0</v>
      </c>
      <c r="AQR39" s="117">
        <v>23.08</v>
      </c>
      <c r="AQX39" s="117">
        <f>AVERAGE(AQL39:AQW39)</f>
        <v>7.6933333333333325</v>
      </c>
      <c r="AQY39" s="117" t="str">
        <f>IF(AQX39&lt;5,"SI","NO")</f>
        <v>NO</v>
      </c>
      <c r="AQZ39" s="117" t="str">
        <f>IF(AQX39&lt;5,"Sin Riesgo",IF(AQX39 &lt;=14,"Bajo",IF(AQX39&lt;=35,"Medio",IF(AQX39&lt;=80,"Alto","Inviable Sanitariamente"))))</f>
        <v>Bajo</v>
      </c>
      <c r="ARA39" s="117">
        <v>0</v>
      </c>
      <c r="ARE39" s="117">
        <v>0</v>
      </c>
      <c r="ARG39" s="117">
        <v>23.08</v>
      </c>
      <c r="ARM39" s="117">
        <f>AVERAGE(ARA39:ARL39)</f>
        <v>7.6933333333333325</v>
      </c>
      <c r="ARN39" s="117" t="str">
        <f>IF(ARM39&lt;5,"SI","NO")</f>
        <v>NO</v>
      </c>
      <c r="ARO39" s="117" t="str">
        <f>IF(ARM39&lt;5,"Sin Riesgo",IF(ARM39 &lt;=14,"Bajo",IF(ARM39&lt;=35,"Medio",IF(ARM39&lt;=80,"Alto","Inviable Sanitariamente"))))</f>
        <v>Bajo</v>
      </c>
      <c r="ARP39" s="117">
        <v>0</v>
      </c>
      <c r="ART39" s="117">
        <v>0</v>
      </c>
      <c r="ARV39" s="117">
        <v>23.08</v>
      </c>
      <c r="ASB39" s="117">
        <f>AVERAGE(ARP39:ASA39)</f>
        <v>7.6933333333333325</v>
      </c>
      <c r="ASC39" s="117" t="str">
        <f>IF(ASB39&lt;5,"SI","NO")</f>
        <v>NO</v>
      </c>
      <c r="ASD39" s="117" t="str">
        <f>IF(ASB39&lt;5,"Sin Riesgo",IF(ASB39 &lt;=14,"Bajo",IF(ASB39&lt;=35,"Medio",IF(ASB39&lt;=80,"Alto","Inviable Sanitariamente"))))</f>
        <v>Bajo</v>
      </c>
      <c r="ASE39" s="117">
        <v>0</v>
      </c>
      <c r="ASI39" s="117">
        <v>0</v>
      </c>
      <c r="ASK39" s="117">
        <v>23.08</v>
      </c>
      <c r="ASQ39" s="117">
        <f>AVERAGE(ASE39:ASP39)</f>
        <v>7.6933333333333325</v>
      </c>
      <c r="ASR39" s="117" t="str">
        <f>IF(ASQ39&lt;5,"SI","NO")</f>
        <v>NO</v>
      </c>
      <c r="ASS39" s="117" t="str">
        <f>IF(ASQ39&lt;5,"Sin Riesgo",IF(ASQ39 &lt;=14,"Bajo",IF(ASQ39&lt;=35,"Medio",IF(ASQ39&lt;=80,"Alto","Inviable Sanitariamente"))))</f>
        <v>Bajo</v>
      </c>
      <c r="AST39" s="117">
        <v>0</v>
      </c>
      <c r="ASX39" s="117">
        <v>0</v>
      </c>
      <c r="ASZ39" s="117">
        <v>23.08</v>
      </c>
      <c r="ATF39" s="117">
        <f>AVERAGE(AST39:ATE39)</f>
        <v>7.6933333333333325</v>
      </c>
      <c r="ATG39" s="117" t="str">
        <f>IF(ATF39&lt;5,"SI","NO")</f>
        <v>NO</v>
      </c>
      <c r="ATH39" s="117" t="str">
        <f>IF(ATF39&lt;5,"Sin Riesgo",IF(ATF39 &lt;=14,"Bajo",IF(ATF39&lt;=35,"Medio",IF(ATF39&lt;=80,"Alto","Inviable Sanitariamente"))))</f>
        <v>Bajo</v>
      </c>
      <c r="ATI39" s="117">
        <v>0</v>
      </c>
      <c r="ATM39" s="117">
        <v>0</v>
      </c>
      <c r="ATO39" s="117">
        <v>23.08</v>
      </c>
      <c r="ATU39" s="117">
        <f>AVERAGE(ATI39:ATT39)</f>
        <v>7.6933333333333325</v>
      </c>
      <c r="ATV39" s="117" t="str">
        <f>IF(ATU39&lt;5,"SI","NO")</f>
        <v>NO</v>
      </c>
      <c r="ATW39" s="117" t="str">
        <f>IF(ATU39&lt;5,"Sin Riesgo",IF(ATU39 &lt;=14,"Bajo",IF(ATU39&lt;=35,"Medio",IF(ATU39&lt;=80,"Alto","Inviable Sanitariamente"))))</f>
        <v>Bajo</v>
      </c>
      <c r="ATX39" s="117">
        <v>0</v>
      </c>
      <c r="AUB39" s="117">
        <v>0</v>
      </c>
      <c r="AUD39" s="117">
        <v>23.08</v>
      </c>
      <c r="AUJ39" s="117">
        <f>AVERAGE(ATX39:AUI39)</f>
        <v>7.6933333333333325</v>
      </c>
      <c r="AUK39" s="117" t="str">
        <f>IF(AUJ39&lt;5,"SI","NO")</f>
        <v>NO</v>
      </c>
      <c r="AUL39" s="117" t="str">
        <f>IF(AUJ39&lt;5,"Sin Riesgo",IF(AUJ39 &lt;=14,"Bajo",IF(AUJ39&lt;=35,"Medio",IF(AUJ39&lt;=80,"Alto","Inviable Sanitariamente"))))</f>
        <v>Bajo</v>
      </c>
      <c r="AUM39" s="117">
        <v>0</v>
      </c>
      <c r="AUQ39" s="117">
        <v>0</v>
      </c>
      <c r="AUS39" s="117">
        <v>23.08</v>
      </c>
      <c r="AUY39" s="117">
        <f>AVERAGE(AUM39:AUX39)</f>
        <v>7.6933333333333325</v>
      </c>
      <c r="AUZ39" s="117" t="str">
        <f>IF(AUY39&lt;5,"SI","NO")</f>
        <v>NO</v>
      </c>
      <c r="AVA39" s="117" t="str">
        <f>IF(AUY39&lt;5,"Sin Riesgo",IF(AUY39 &lt;=14,"Bajo",IF(AUY39&lt;=35,"Medio",IF(AUY39&lt;=80,"Alto","Inviable Sanitariamente"))))</f>
        <v>Bajo</v>
      </c>
      <c r="AVB39" s="117">
        <v>0</v>
      </c>
      <c r="AVF39" s="117">
        <v>0</v>
      </c>
      <c r="AVH39" s="117">
        <v>23.08</v>
      </c>
      <c r="AVN39" s="117">
        <f>AVERAGE(AVB39:AVM39)</f>
        <v>7.6933333333333325</v>
      </c>
      <c r="AVO39" s="117" t="str">
        <f>IF(AVN39&lt;5,"SI","NO")</f>
        <v>NO</v>
      </c>
      <c r="AVP39" s="117" t="str">
        <f>IF(AVN39&lt;5,"Sin Riesgo",IF(AVN39 &lt;=14,"Bajo",IF(AVN39&lt;=35,"Medio",IF(AVN39&lt;=80,"Alto","Inviable Sanitariamente"))))</f>
        <v>Bajo</v>
      </c>
      <c r="AVQ39" s="117">
        <v>0</v>
      </c>
      <c r="AVU39" s="117">
        <v>0</v>
      </c>
      <c r="AVW39" s="117">
        <v>23.08</v>
      </c>
      <c r="AWC39" s="117">
        <f>AVERAGE(AVQ39:AWB39)</f>
        <v>7.6933333333333325</v>
      </c>
      <c r="AWD39" s="117" t="str">
        <f>IF(AWC39&lt;5,"SI","NO")</f>
        <v>NO</v>
      </c>
      <c r="AWE39" s="117" t="str">
        <f>IF(AWC39&lt;5,"Sin Riesgo",IF(AWC39 &lt;=14,"Bajo",IF(AWC39&lt;=35,"Medio",IF(AWC39&lt;=80,"Alto","Inviable Sanitariamente"))))</f>
        <v>Bajo</v>
      </c>
      <c r="AWF39" s="117">
        <v>0</v>
      </c>
      <c r="AWJ39" s="117">
        <v>0</v>
      </c>
      <c r="AWL39" s="117">
        <v>23.08</v>
      </c>
      <c r="AWR39" s="117">
        <f>AVERAGE(AWF39:AWQ39)</f>
        <v>7.6933333333333325</v>
      </c>
      <c r="AWS39" s="117" t="str">
        <f>IF(AWR39&lt;5,"SI","NO")</f>
        <v>NO</v>
      </c>
      <c r="AWT39" s="117" t="str">
        <f>IF(AWR39&lt;5,"Sin Riesgo",IF(AWR39 &lt;=14,"Bajo",IF(AWR39&lt;=35,"Medio",IF(AWR39&lt;=80,"Alto","Inviable Sanitariamente"))))</f>
        <v>Bajo</v>
      </c>
      <c r="AWU39" s="117">
        <v>0</v>
      </c>
      <c r="AWY39" s="117">
        <v>0</v>
      </c>
      <c r="AXA39" s="117">
        <v>23.08</v>
      </c>
      <c r="AXG39" s="117">
        <f>AVERAGE(AWU39:AXF39)</f>
        <v>7.6933333333333325</v>
      </c>
      <c r="AXH39" s="117" t="str">
        <f>IF(AXG39&lt;5,"SI","NO")</f>
        <v>NO</v>
      </c>
      <c r="AXI39" s="117" t="str">
        <f>IF(AXG39&lt;5,"Sin Riesgo",IF(AXG39 &lt;=14,"Bajo",IF(AXG39&lt;=35,"Medio",IF(AXG39&lt;=80,"Alto","Inviable Sanitariamente"))))</f>
        <v>Bajo</v>
      </c>
      <c r="AXJ39" s="117">
        <v>0</v>
      </c>
      <c r="AXN39" s="117">
        <v>0</v>
      </c>
      <c r="AXP39" s="117">
        <v>23.08</v>
      </c>
      <c r="AXV39" s="117">
        <f>AVERAGE(AXJ39:AXU39)</f>
        <v>7.6933333333333325</v>
      </c>
      <c r="AXW39" s="117" t="str">
        <f>IF(AXV39&lt;5,"SI","NO")</f>
        <v>NO</v>
      </c>
      <c r="AXX39" s="117" t="str">
        <f>IF(AXV39&lt;5,"Sin Riesgo",IF(AXV39 &lt;=14,"Bajo",IF(AXV39&lt;=35,"Medio",IF(AXV39&lt;=80,"Alto","Inviable Sanitariamente"))))</f>
        <v>Bajo</v>
      </c>
      <c r="AXY39" s="117">
        <v>0</v>
      </c>
      <c r="AYC39" s="117">
        <v>0</v>
      </c>
      <c r="AYE39" s="117">
        <v>23.08</v>
      </c>
      <c r="AYK39" s="117">
        <f>AVERAGE(AXY39:AYJ39)</f>
        <v>7.6933333333333325</v>
      </c>
      <c r="AYL39" s="117" t="str">
        <f>IF(AYK39&lt;5,"SI","NO")</f>
        <v>NO</v>
      </c>
      <c r="AYM39" s="117" t="str">
        <f>IF(AYK39&lt;5,"Sin Riesgo",IF(AYK39 &lt;=14,"Bajo",IF(AYK39&lt;=35,"Medio",IF(AYK39&lt;=80,"Alto","Inviable Sanitariamente"))))</f>
        <v>Bajo</v>
      </c>
      <c r="AYN39" s="117">
        <v>0</v>
      </c>
      <c r="AYR39" s="117">
        <v>0</v>
      </c>
      <c r="AYT39" s="117">
        <v>23.08</v>
      </c>
      <c r="AYZ39" s="117">
        <f>AVERAGE(AYN39:AYY39)</f>
        <v>7.6933333333333325</v>
      </c>
      <c r="AZA39" s="117" t="str">
        <f>IF(AYZ39&lt;5,"SI","NO")</f>
        <v>NO</v>
      </c>
      <c r="AZB39" s="117" t="str">
        <f>IF(AYZ39&lt;5,"Sin Riesgo",IF(AYZ39 &lt;=14,"Bajo",IF(AYZ39&lt;=35,"Medio",IF(AYZ39&lt;=80,"Alto","Inviable Sanitariamente"))))</f>
        <v>Bajo</v>
      </c>
      <c r="AZC39" s="117">
        <v>0</v>
      </c>
      <c r="AZG39" s="117">
        <v>0</v>
      </c>
      <c r="AZI39" s="117">
        <v>23.08</v>
      </c>
      <c r="AZO39" s="117">
        <f>AVERAGE(AZC39:AZN39)</f>
        <v>7.6933333333333325</v>
      </c>
      <c r="AZP39" s="117" t="str">
        <f>IF(AZO39&lt;5,"SI","NO")</f>
        <v>NO</v>
      </c>
      <c r="AZQ39" s="117" t="str">
        <f>IF(AZO39&lt;5,"Sin Riesgo",IF(AZO39 &lt;=14,"Bajo",IF(AZO39&lt;=35,"Medio",IF(AZO39&lt;=80,"Alto","Inviable Sanitariamente"))))</f>
        <v>Bajo</v>
      </c>
      <c r="AZR39" s="117">
        <v>0</v>
      </c>
      <c r="AZV39" s="117">
        <v>0</v>
      </c>
      <c r="AZX39" s="117">
        <v>23.08</v>
      </c>
      <c r="BAD39" s="117">
        <f>AVERAGE(AZR39:BAC39)</f>
        <v>7.6933333333333325</v>
      </c>
      <c r="BAE39" s="117" t="str">
        <f>IF(BAD39&lt;5,"SI","NO")</f>
        <v>NO</v>
      </c>
      <c r="BAF39" s="117" t="str">
        <f>IF(BAD39&lt;5,"Sin Riesgo",IF(BAD39 &lt;=14,"Bajo",IF(BAD39&lt;=35,"Medio",IF(BAD39&lt;=80,"Alto","Inviable Sanitariamente"))))</f>
        <v>Bajo</v>
      </c>
      <c r="BAG39" s="117">
        <v>0</v>
      </c>
      <c r="BAK39" s="117">
        <v>0</v>
      </c>
      <c r="BAM39" s="117">
        <v>23.08</v>
      </c>
      <c r="BAS39" s="117">
        <f>AVERAGE(BAG39:BAR39)</f>
        <v>7.6933333333333325</v>
      </c>
      <c r="BAT39" s="117" t="str">
        <f>IF(BAS39&lt;5,"SI","NO")</f>
        <v>NO</v>
      </c>
      <c r="BAU39" s="117" t="str">
        <f>IF(BAS39&lt;5,"Sin Riesgo",IF(BAS39 &lt;=14,"Bajo",IF(BAS39&lt;=35,"Medio",IF(BAS39&lt;=80,"Alto","Inviable Sanitariamente"))))</f>
        <v>Bajo</v>
      </c>
      <c r="BAV39" s="117">
        <v>0</v>
      </c>
      <c r="BAZ39" s="117">
        <v>0</v>
      </c>
      <c r="BBB39" s="117">
        <v>23.08</v>
      </c>
      <c r="BBH39" s="117">
        <f>AVERAGE(BAV39:BBG39)</f>
        <v>7.6933333333333325</v>
      </c>
      <c r="BBI39" s="117" t="str">
        <f>IF(BBH39&lt;5,"SI","NO")</f>
        <v>NO</v>
      </c>
      <c r="BBJ39" s="117" t="str">
        <f>IF(BBH39&lt;5,"Sin Riesgo",IF(BBH39 &lt;=14,"Bajo",IF(BBH39&lt;=35,"Medio",IF(BBH39&lt;=80,"Alto","Inviable Sanitariamente"))))</f>
        <v>Bajo</v>
      </c>
      <c r="BBK39" s="117">
        <v>0</v>
      </c>
      <c r="BBO39" s="117">
        <v>0</v>
      </c>
      <c r="BBQ39" s="117">
        <v>23.08</v>
      </c>
      <c r="BBW39" s="117">
        <f>AVERAGE(BBK39:BBV39)</f>
        <v>7.6933333333333325</v>
      </c>
      <c r="BBX39" s="117" t="str">
        <f>IF(BBW39&lt;5,"SI","NO")</f>
        <v>NO</v>
      </c>
      <c r="BBY39" s="117" t="str">
        <f>IF(BBW39&lt;5,"Sin Riesgo",IF(BBW39 &lt;=14,"Bajo",IF(BBW39&lt;=35,"Medio",IF(BBW39&lt;=80,"Alto","Inviable Sanitariamente"))))</f>
        <v>Bajo</v>
      </c>
      <c r="BBZ39" s="117">
        <v>0</v>
      </c>
      <c r="BCD39" s="117">
        <v>0</v>
      </c>
      <c r="BCF39" s="117">
        <v>23.08</v>
      </c>
      <c r="BCL39" s="117">
        <f>AVERAGE(BBZ39:BCK39)</f>
        <v>7.6933333333333325</v>
      </c>
      <c r="BCM39" s="117" t="str">
        <f>IF(BCL39&lt;5,"SI","NO")</f>
        <v>NO</v>
      </c>
      <c r="BCN39" s="117" t="str">
        <f>IF(BCL39&lt;5,"Sin Riesgo",IF(BCL39 &lt;=14,"Bajo",IF(BCL39&lt;=35,"Medio",IF(BCL39&lt;=80,"Alto","Inviable Sanitariamente"))))</f>
        <v>Bajo</v>
      </c>
      <c r="BCO39" s="117">
        <v>0</v>
      </c>
      <c r="BCS39" s="117">
        <v>0</v>
      </c>
      <c r="BCU39" s="117">
        <v>23.08</v>
      </c>
      <c r="BDA39" s="117">
        <f>AVERAGE(BCO39:BCZ39)</f>
        <v>7.6933333333333325</v>
      </c>
      <c r="BDB39" s="117" t="str">
        <f>IF(BDA39&lt;5,"SI","NO")</f>
        <v>NO</v>
      </c>
      <c r="BDC39" s="117" t="str">
        <f>IF(BDA39&lt;5,"Sin Riesgo",IF(BDA39 &lt;=14,"Bajo",IF(BDA39&lt;=35,"Medio",IF(BDA39&lt;=80,"Alto","Inviable Sanitariamente"))))</f>
        <v>Bajo</v>
      </c>
      <c r="BDD39" s="117">
        <v>0</v>
      </c>
      <c r="BDH39" s="117">
        <v>0</v>
      </c>
      <c r="BDJ39" s="117">
        <v>23.08</v>
      </c>
      <c r="BDP39" s="117">
        <f>AVERAGE(BDD39:BDO39)</f>
        <v>7.6933333333333325</v>
      </c>
      <c r="BDQ39" s="117" t="str">
        <f>IF(BDP39&lt;5,"SI","NO")</f>
        <v>NO</v>
      </c>
      <c r="BDR39" s="117" t="str">
        <f>IF(BDP39&lt;5,"Sin Riesgo",IF(BDP39 &lt;=14,"Bajo",IF(BDP39&lt;=35,"Medio",IF(BDP39&lt;=80,"Alto","Inviable Sanitariamente"))))</f>
        <v>Bajo</v>
      </c>
      <c r="BDS39" s="117">
        <v>0</v>
      </c>
      <c r="BDW39" s="117">
        <v>0</v>
      </c>
      <c r="BDY39" s="117">
        <v>23.08</v>
      </c>
      <c r="BEE39" s="117">
        <f>AVERAGE(BDS39:BED39)</f>
        <v>7.6933333333333325</v>
      </c>
      <c r="BEF39" s="117" t="str">
        <f>IF(BEE39&lt;5,"SI","NO")</f>
        <v>NO</v>
      </c>
      <c r="BEG39" s="117" t="str">
        <f>IF(BEE39&lt;5,"Sin Riesgo",IF(BEE39 &lt;=14,"Bajo",IF(BEE39&lt;=35,"Medio",IF(BEE39&lt;=80,"Alto","Inviable Sanitariamente"))))</f>
        <v>Bajo</v>
      </c>
      <c r="BEH39" s="117">
        <v>0</v>
      </c>
      <c r="BEL39" s="117">
        <v>0</v>
      </c>
      <c r="BEN39" s="117">
        <v>23.08</v>
      </c>
      <c r="BET39" s="117">
        <f>AVERAGE(BEH39:BES39)</f>
        <v>7.6933333333333325</v>
      </c>
      <c r="BEU39" s="117" t="str">
        <f>IF(BET39&lt;5,"SI","NO")</f>
        <v>NO</v>
      </c>
      <c r="BEV39" s="117" t="str">
        <f>IF(BET39&lt;5,"Sin Riesgo",IF(BET39 &lt;=14,"Bajo",IF(BET39&lt;=35,"Medio",IF(BET39&lt;=80,"Alto","Inviable Sanitariamente"))))</f>
        <v>Bajo</v>
      </c>
      <c r="BEW39" s="117">
        <v>0</v>
      </c>
      <c r="BFA39" s="117">
        <v>0</v>
      </c>
      <c r="BFC39" s="117">
        <v>23.08</v>
      </c>
      <c r="BFI39" s="117">
        <f>AVERAGE(BEW39:BFH39)</f>
        <v>7.6933333333333325</v>
      </c>
      <c r="BFJ39" s="117" t="str">
        <f>IF(BFI39&lt;5,"SI","NO")</f>
        <v>NO</v>
      </c>
      <c r="BFK39" s="117" t="str">
        <f>IF(BFI39&lt;5,"Sin Riesgo",IF(BFI39 &lt;=14,"Bajo",IF(BFI39&lt;=35,"Medio",IF(BFI39&lt;=80,"Alto","Inviable Sanitariamente"))))</f>
        <v>Bajo</v>
      </c>
      <c r="BFL39" s="117">
        <v>0</v>
      </c>
      <c r="BFP39" s="117">
        <v>0</v>
      </c>
      <c r="BFR39" s="117">
        <v>23.08</v>
      </c>
      <c r="BFX39" s="117">
        <f>AVERAGE(BFL39:BFW39)</f>
        <v>7.6933333333333325</v>
      </c>
      <c r="BFY39" s="117" t="str">
        <f>IF(BFX39&lt;5,"SI","NO")</f>
        <v>NO</v>
      </c>
      <c r="BFZ39" s="117" t="str">
        <f>IF(BFX39&lt;5,"Sin Riesgo",IF(BFX39 &lt;=14,"Bajo",IF(BFX39&lt;=35,"Medio",IF(BFX39&lt;=80,"Alto","Inviable Sanitariamente"))))</f>
        <v>Bajo</v>
      </c>
      <c r="BGA39" s="117">
        <v>0</v>
      </c>
      <c r="BGE39" s="117">
        <v>0</v>
      </c>
      <c r="BGG39" s="117">
        <v>23.08</v>
      </c>
      <c r="BGM39" s="117">
        <f>AVERAGE(BGA39:BGL39)</f>
        <v>7.6933333333333325</v>
      </c>
      <c r="BGN39" s="117" t="str">
        <f>IF(BGM39&lt;5,"SI","NO")</f>
        <v>NO</v>
      </c>
      <c r="BGO39" s="117" t="str">
        <f>IF(BGM39&lt;5,"Sin Riesgo",IF(BGM39 &lt;=14,"Bajo",IF(BGM39&lt;=35,"Medio",IF(BGM39&lt;=80,"Alto","Inviable Sanitariamente"))))</f>
        <v>Bajo</v>
      </c>
      <c r="BGP39" s="117">
        <v>0</v>
      </c>
      <c r="BGT39" s="117">
        <v>0</v>
      </c>
      <c r="BGV39" s="117">
        <v>23.08</v>
      </c>
      <c r="BHB39" s="117">
        <f>AVERAGE(BGP39:BHA39)</f>
        <v>7.6933333333333325</v>
      </c>
      <c r="BHC39" s="117" t="str">
        <f>IF(BHB39&lt;5,"SI","NO")</f>
        <v>NO</v>
      </c>
      <c r="BHD39" s="117" t="str">
        <f>IF(BHB39&lt;5,"Sin Riesgo",IF(BHB39 &lt;=14,"Bajo",IF(BHB39&lt;=35,"Medio",IF(BHB39&lt;=80,"Alto","Inviable Sanitariamente"))))</f>
        <v>Bajo</v>
      </c>
      <c r="BHE39" s="117">
        <v>0</v>
      </c>
      <c r="BHI39" s="117">
        <v>0</v>
      </c>
      <c r="BHK39" s="117">
        <v>23.08</v>
      </c>
      <c r="BHQ39" s="117">
        <f>AVERAGE(BHE39:BHP39)</f>
        <v>7.6933333333333325</v>
      </c>
      <c r="BHR39" s="117" t="str">
        <f>IF(BHQ39&lt;5,"SI","NO")</f>
        <v>NO</v>
      </c>
      <c r="BHS39" s="117" t="str">
        <f>IF(BHQ39&lt;5,"Sin Riesgo",IF(BHQ39 &lt;=14,"Bajo",IF(BHQ39&lt;=35,"Medio",IF(BHQ39&lt;=80,"Alto","Inviable Sanitariamente"))))</f>
        <v>Bajo</v>
      </c>
      <c r="BHT39" s="117">
        <v>0</v>
      </c>
      <c r="BHX39" s="117">
        <v>0</v>
      </c>
      <c r="BHZ39" s="117">
        <v>23.08</v>
      </c>
      <c r="BIF39" s="117">
        <f>AVERAGE(BHT39:BIE39)</f>
        <v>7.6933333333333325</v>
      </c>
      <c r="BIG39" s="117" t="str">
        <f>IF(BIF39&lt;5,"SI","NO")</f>
        <v>NO</v>
      </c>
      <c r="BIH39" s="117" t="str">
        <f>IF(BIF39&lt;5,"Sin Riesgo",IF(BIF39 &lt;=14,"Bajo",IF(BIF39&lt;=35,"Medio",IF(BIF39&lt;=80,"Alto","Inviable Sanitariamente"))))</f>
        <v>Bajo</v>
      </c>
      <c r="BII39" s="117">
        <v>0</v>
      </c>
      <c r="BIM39" s="117">
        <v>0</v>
      </c>
      <c r="BIO39" s="117">
        <v>23.08</v>
      </c>
      <c r="BIU39" s="117">
        <f>AVERAGE(BII39:BIT39)</f>
        <v>7.6933333333333325</v>
      </c>
      <c r="BIV39" s="117" t="str">
        <f>IF(BIU39&lt;5,"SI","NO")</f>
        <v>NO</v>
      </c>
      <c r="BIW39" s="117" t="str">
        <f>IF(BIU39&lt;5,"Sin Riesgo",IF(BIU39 &lt;=14,"Bajo",IF(BIU39&lt;=35,"Medio",IF(BIU39&lt;=80,"Alto","Inviable Sanitariamente"))))</f>
        <v>Bajo</v>
      </c>
      <c r="BIX39" s="117">
        <v>0</v>
      </c>
      <c r="BJB39" s="117">
        <v>0</v>
      </c>
      <c r="BJD39" s="117">
        <v>23.08</v>
      </c>
      <c r="BJJ39" s="117">
        <f>AVERAGE(BIX39:BJI39)</f>
        <v>7.6933333333333325</v>
      </c>
      <c r="BJK39" s="117" t="str">
        <f>IF(BJJ39&lt;5,"SI","NO")</f>
        <v>NO</v>
      </c>
      <c r="BJL39" s="117" t="str">
        <f>IF(BJJ39&lt;5,"Sin Riesgo",IF(BJJ39 &lt;=14,"Bajo",IF(BJJ39&lt;=35,"Medio",IF(BJJ39&lt;=80,"Alto","Inviable Sanitariamente"))))</f>
        <v>Bajo</v>
      </c>
      <c r="BJM39" s="117">
        <v>0</v>
      </c>
      <c r="BJQ39" s="117">
        <v>0</v>
      </c>
      <c r="BJS39" s="117">
        <v>23.08</v>
      </c>
      <c r="BJY39" s="117">
        <f>AVERAGE(BJM39:BJX39)</f>
        <v>7.6933333333333325</v>
      </c>
      <c r="BJZ39" s="117" t="str">
        <f>IF(BJY39&lt;5,"SI","NO")</f>
        <v>NO</v>
      </c>
      <c r="BKA39" s="117" t="str">
        <f>IF(BJY39&lt;5,"Sin Riesgo",IF(BJY39 &lt;=14,"Bajo",IF(BJY39&lt;=35,"Medio",IF(BJY39&lt;=80,"Alto","Inviable Sanitariamente"))))</f>
        <v>Bajo</v>
      </c>
      <c r="BKB39" s="117">
        <v>0</v>
      </c>
      <c r="BKF39" s="117">
        <v>0</v>
      </c>
      <c r="BKH39" s="117">
        <v>23.08</v>
      </c>
      <c r="BKN39" s="117">
        <f>AVERAGE(BKB39:BKM39)</f>
        <v>7.6933333333333325</v>
      </c>
      <c r="BKO39" s="117" t="str">
        <f>IF(BKN39&lt;5,"SI","NO")</f>
        <v>NO</v>
      </c>
      <c r="BKP39" s="117" t="str">
        <f>IF(BKN39&lt;5,"Sin Riesgo",IF(BKN39 &lt;=14,"Bajo",IF(BKN39&lt;=35,"Medio",IF(BKN39&lt;=80,"Alto","Inviable Sanitariamente"))))</f>
        <v>Bajo</v>
      </c>
      <c r="BKQ39" s="117">
        <v>0</v>
      </c>
      <c r="BKU39" s="117">
        <v>0</v>
      </c>
      <c r="BKW39" s="117">
        <v>23.08</v>
      </c>
      <c r="BLC39" s="117">
        <f>AVERAGE(BKQ39:BLB39)</f>
        <v>7.6933333333333325</v>
      </c>
      <c r="BLD39" s="117" t="str">
        <f>IF(BLC39&lt;5,"SI","NO")</f>
        <v>NO</v>
      </c>
      <c r="BLE39" s="117" t="str">
        <f>IF(BLC39&lt;5,"Sin Riesgo",IF(BLC39 &lt;=14,"Bajo",IF(BLC39&lt;=35,"Medio",IF(BLC39&lt;=80,"Alto","Inviable Sanitariamente"))))</f>
        <v>Bajo</v>
      </c>
      <c r="BLF39" s="117">
        <v>0</v>
      </c>
      <c r="BLJ39" s="117">
        <v>0</v>
      </c>
      <c r="BLL39" s="117">
        <v>23.08</v>
      </c>
      <c r="BLR39" s="117">
        <f>AVERAGE(BLF39:BLQ39)</f>
        <v>7.6933333333333325</v>
      </c>
      <c r="BLS39" s="117" t="str">
        <f>IF(BLR39&lt;5,"SI","NO")</f>
        <v>NO</v>
      </c>
      <c r="BLT39" s="117" t="str">
        <f>IF(BLR39&lt;5,"Sin Riesgo",IF(BLR39 &lt;=14,"Bajo",IF(BLR39&lt;=35,"Medio",IF(BLR39&lt;=80,"Alto","Inviable Sanitariamente"))))</f>
        <v>Bajo</v>
      </c>
      <c r="BLU39" s="117">
        <v>0</v>
      </c>
      <c r="BLY39" s="117">
        <v>0</v>
      </c>
      <c r="BMA39" s="117">
        <v>23.08</v>
      </c>
      <c r="BMG39" s="117">
        <f>AVERAGE(BLU39:BMF39)</f>
        <v>7.6933333333333325</v>
      </c>
      <c r="BMH39" s="117" t="str">
        <f>IF(BMG39&lt;5,"SI","NO")</f>
        <v>NO</v>
      </c>
      <c r="BMI39" s="117" t="str">
        <f>IF(BMG39&lt;5,"Sin Riesgo",IF(BMG39 &lt;=14,"Bajo",IF(BMG39&lt;=35,"Medio",IF(BMG39&lt;=80,"Alto","Inviable Sanitariamente"))))</f>
        <v>Bajo</v>
      </c>
      <c r="BMJ39" s="117">
        <v>0</v>
      </c>
      <c r="BMN39" s="117">
        <v>0</v>
      </c>
      <c r="BMP39" s="117">
        <v>23.08</v>
      </c>
      <c r="BMV39" s="117">
        <f>AVERAGE(BMJ39:BMU39)</f>
        <v>7.6933333333333325</v>
      </c>
      <c r="BMW39" s="117" t="str">
        <f>IF(BMV39&lt;5,"SI","NO")</f>
        <v>NO</v>
      </c>
      <c r="BMX39" s="117" t="str">
        <f>IF(BMV39&lt;5,"Sin Riesgo",IF(BMV39 &lt;=14,"Bajo",IF(BMV39&lt;=35,"Medio",IF(BMV39&lt;=80,"Alto","Inviable Sanitariamente"))))</f>
        <v>Bajo</v>
      </c>
      <c r="BMY39" s="117">
        <v>0</v>
      </c>
      <c r="BNC39" s="117">
        <v>0</v>
      </c>
      <c r="BNE39" s="117">
        <v>23.08</v>
      </c>
      <c r="BNK39" s="117">
        <f>AVERAGE(BMY39:BNJ39)</f>
        <v>7.6933333333333325</v>
      </c>
      <c r="BNL39" s="117" t="str">
        <f>IF(BNK39&lt;5,"SI","NO")</f>
        <v>NO</v>
      </c>
      <c r="BNM39" s="117" t="str">
        <f>IF(BNK39&lt;5,"Sin Riesgo",IF(BNK39 &lt;=14,"Bajo",IF(BNK39&lt;=35,"Medio",IF(BNK39&lt;=80,"Alto","Inviable Sanitariamente"))))</f>
        <v>Bajo</v>
      </c>
      <c r="BNN39" s="117">
        <v>0</v>
      </c>
      <c r="BNR39" s="117">
        <v>0</v>
      </c>
      <c r="BNT39" s="117">
        <v>23.08</v>
      </c>
      <c r="BNZ39" s="117">
        <f>AVERAGE(BNN39:BNY39)</f>
        <v>7.6933333333333325</v>
      </c>
      <c r="BOA39" s="117" t="str">
        <f>IF(BNZ39&lt;5,"SI","NO")</f>
        <v>NO</v>
      </c>
      <c r="BOB39" s="117" t="str">
        <f>IF(BNZ39&lt;5,"Sin Riesgo",IF(BNZ39 &lt;=14,"Bajo",IF(BNZ39&lt;=35,"Medio",IF(BNZ39&lt;=80,"Alto","Inviable Sanitariamente"))))</f>
        <v>Bajo</v>
      </c>
      <c r="BOC39" s="117">
        <v>0</v>
      </c>
      <c r="BOG39" s="117">
        <v>0</v>
      </c>
      <c r="BOI39" s="117">
        <v>23.08</v>
      </c>
      <c r="BOO39" s="117">
        <f>AVERAGE(BOC39:BON39)</f>
        <v>7.6933333333333325</v>
      </c>
      <c r="BOP39" s="117" t="str">
        <f>IF(BOO39&lt;5,"SI","NO")</f>
        <v>NO</v>
      </c>
      <c r="BOQ39" s="117" t="str">
        <f>IF(BOO39&lt;5,"Sin Riesgo",IF(BOO39 &lt;=14,"Bajo",IF(BOO39&lt;=35,"Medio",IF(BOO39&lt;=80,"Alto","Inviable Sanitariamente"))))</f>
        <v>Bajo</v>
      </c>
      <c r="BOR39" s="117">
        <v>0</v>
      </c>
      <c r="BOV39" s="117">
        <v>0</v>
      </c>
      <c r="BOX39" s="117">
        <v>23.08</v>
      </c>
      <c r="BPD39" s="117">
        <f>AVERAGE(BOR39:BPC39)</f>
        <v>7.6933333333333325</v>
      </c>
      <c r="BPE39" s="117" t="str">
        <f>IF(BPD39&lt;5,"SI","NO")</f>
        <v>NO</v>
      </c>
      <c r="BPF39" s="117" t="str">
        <f>IF(BPD39&lt;5,"Sin Riesgo",IF(BPD39 &lt;=14,"Bajo",IF(BPD39&lt;=35,"Medio",IF(BPD39&lt;=80,"Alto","Inviable Sanitariamente"))))</f>
        <v>Bajo</v>
      </c>
      <c r="BPG39" s="117">
        <v>0</v>
      </c>
      <c r="BPK39" s="117">
        <v>0</v>
      </c>
      <c r="BPM39" s="117">
        <v>23.08</v>
      </c>
      <c r="BPS39" s="117">
        <f>AVERAGE(BPG39:BPR39)</f>
        <v>7.6933333333333325</v>
      </c>
      <c r="BPT39" s="117" t="str">
        <f>IF(BPS39&lt;5,"SI","NO")</f>
        <v>NO</v>
      </c>
      <c r="BPU39" s="117" t="str">
        <f>IF(BPS39&lt;5,"Sin Riesgo",IF(BPS39 &lt;=14,"Bajo",IF(BPS39&lt;=35,"Medio",IF(BPS39&lt;=80,"Alto","Inviable Sanitariamente"))))</f>
        <v>Bajo</v>
      </c>
      <c r="BPV39" s="117">
        <v>0</v>
      </c>
      <c r="BPZ39" s="117">
        <v>0</v>
      </c>
      <c r="BQB39" s="117">
        <v>23.08</v>
      </c>
      <c r="BQH39" s="117">
        <f>AVERAGE(BPV39:BQG39)</f>
        <v>7.6933333333333325</v>
      </c>
      <c r="BQI39" s="117" t="str">
        <f>IF(BQH39&lt;5,"SI","NO")</f>
        <v>NO</v>
      </c>
      <c r="BQJ39" s="117" t="str">
        <f>IF(BQH39&lt;5,"Sin Riesgo",IF(BQH39 &lt;=14,"Bajo",IF(BQH39&lt;=35,"Medio",IF(BQH39&lt;=80,"Alto","Inviable Sanitariamente"))))</f>
        <v>Bajo</v>
      </c>
      <c r="BQK39" s="117">
        <v>0</v>
      </c>
      <c r="BQO39" s="117">
        <v>0</v>
      </c>
      <c r="BQQ39" s="117">
        <v>23.08</v>
      </c>
      <c r="BQW39" s="117">
        <f>AVERAGE(BQK39:BQV39)</f>
        <v>7.6933333333333325</v>
      </c>
      <c r="BQX39" s="117" t="str">
        <f>IF(BQW39&lt;5,"SI","NO")</f>
        <v>NO</v>
      </c>
      <c r="BQY39" s="117" t="str">
        <f>IF(BQW39&lt;5,"Sin Riesgo",IF(BQW39 &lt;=14,"Bajo",IF(BQW39&lt;=35,"Medio",IF(BQW39&lt;=80,"Alto","Inviable Sanitariamente"))))</f>
        <v>Bajo</v>
      </c>
      <c r="BQZ39" s="117">
        <v>0</v>
      </c>
      <c r="BRD39" s="117">
        <v>0</v>
      </c>
      <c r="BRF39" s="117">
        <v>23.08</v>
      </c>
      <c r="BRL39" s="117">
        <f>AVERAGE(BQZ39:BRK39)</f>
        <v>7.6933333333333325</v>
      </c>
      <c r="BRM39" s="117" t="str">
        <f>IF(BRL39&lt;5,"SI","NO")</f>
        <v>NO</v>
      </c>
      <c r="BRN39" s="117" t="str">
        <f>IF(BRL39&lt;5,"Sin Riesgo",IF(BRL39 &lt;=14,"Bajo",IF(BRL39&lt;=35,"Medio",IF(BRL39&lt;=80,"Alto","Inviable Sanitariamente"))))</f>
        <v>Bajo</v>
      </c>
      <c r="BRO39" s="117">
        <v>0</v>
      </c>
      <c r="BRS39" s="117">
        <v>0</v>
      </c>
      <c r="BRU39" s="117">
        <v>23.08</v>
      </c>
      <c r="BSA39" s="117">
        <f>AVERAGE(BRO39:BRZ39)</f>
        <v>7.6933333333333325</v>
      </c>
      <c r="BSB39" s="117" t="str">
        <f>IF(BSA39&lt;5,"SI","NO")</f>
        <v>NO</v>
      </c>
      <c r="BSC39" s="117" t="str">
        <f>IF(BSA39&lt;5,"Sin Riesgo",IF(BSA39 &lt;=14,"Bajo",IF(BSA39&lt;=35,"Medio",IF(BSA39&lt;=80,"Alto","Inviable Sanitariamente"))))</f>
        <v>Bajo</v>
      </c>
      <c r="BSD39" s="117">
        <v>0</v>
      </c>
      <c r="BSH39" s="117">
        <v>0</v>
      </c>
      <c r="BSJ39" s="117">
        <v>23.08</v>
      </c>
      <c r="BSP39" s="117">
        <f>AVERAGE(BSD39:BSO39)</f>
        <v>7.6933333333333325</v>
      </c>
      <c r="BSQ39" s="117" t="str">
        <f>IF(BSP39&lt;5,"SI","NO")</f>
        <v>NO</v>
      </c>
      <c r="BSR39" s="117" t="str">
        <f>IF(BSP39&lt;5,"Sin Riesgo",IF(BSP39 &lt;=14,"Bajo",IF(BSP39&lt;=35,"Medio",IF(BSP39&lt;=80,"Alto","Inviable Sanitariamente"))))</f>
        <v>Bajo</v>
      </c>
      <c r="BSS39" s="117">
        <v>0</v>
      </c>
      <c r="BSW39" s="117">
        <v>0</v>
      </c>
      <c r="BSY39" s="117">
        <v>23.08</v>
      </c>
      <c r="BTE39" s="117">
        <f>AVERAGE(BSS39:BTD39)</f>
        <v>7.6933333333333325</v>
      </c>
      <c r="BTF39" s="117" t="str">
        <f>IF(BTE39&lt;5,"SI","NO")</f>
        <v>NO</v>
      </c>
      <c r="BTG39" s="117" t="str">
        <f>IF(BTE39&lt;5,"Sin Riesgo",IF(BTE39 &lt;=14,"Bajo",IF(BTE39&lt;=35,"Medio",IF(BTE39&lt;=80,"Alto","Inviable Sanitariamente"))))</f>
        <v>Bajo</v>
      </c>
      <c r="BTH39" s="117">
        <v>0</v>
      </c>
      <c r="BTL39" s="117">
        <v>0</v>
      </c>
      <c r="BTN39" s="117">
        <v>23.08</v>
      </c>
      <c r="BTT39" s="117">
        <f>AVERAGE(BTH39:BTS39)</f>
        <v>7.6933333333333325</v>
      </c>
      <c r="BTU39" s="117" t="str">
        <f>IF(BTT39&lt;5,"SI","NO")</f>
        <v>NO</v>
      </c>
      <c r="BTV39" s="117" t="str">
        <f>IF(BTT39&lt;5,"Sin Riesgo",IF(BTT39 &lt;=14,"Bajo",IF(BTT39&lt;=35,"Medio",IF(BTT39&lt;=80,"Alto","Inviable Sanitariamente"))))</f>
        <v>Bajo</v>
      </c>
      <c r="BTW39" s="117">
        <v>0</v>
      </c>
      <c r="BUA39" s="117">
        <v>0</v>
      </c>
      <c r="BUC39" s="117">
        <v>23.08</v>
      </c>
      <c r="BUI39" s="117">
        <f>AVERAGE(BTW39:BUH39)</f>
        <v>7.6933333333333325</v>
      </c>
      <c r="BUJ39" s="117" t="str">
        <f>IF(BUI39&lt;5,"SI","NO")</f>
        <v>NO</v>
      </c>
      <c r="BUK39" s="117" t="str">
        <f>IF(BUI39&lt;5,"Sin Riesgo",IF(BUI39 &lt;=14,"Bajo",IF(BUI39&lt;=35,"Medio",IF(BUI39&lt;=80,"Alto","Inviable Sanitariamente"))))</f>
        <v>Bajo</v>
      </c>
      <c r="BUL39" s="117">
        <v>0</v>
      </c>
      <c r="BUP39" s="117">
        <v>0</v>
      </c>
      <c r="BUR39" s="117">
        <v>23.08</v>
      </c>
      <c r="BUX39" s="117">
        <f>AVERAGE(BUL39:BUW39)</f>
        <v>7.6933333333333325</v>
      </c>
      <c r="BUY39" s="117" t="str">
        <f>IF(BUX39&lt;5,"SI","NO")</f>
        <v>NO</v>
      </c>
      <c r="BUZ39" s="117" t="str">
        <f>IF(BUX39&lt;5,"Sin Riesgo",IF(BUX39 &lt;=14,"Bajo",IF(BUX39&lt;=35,"Medio",IF(BUX39&lt;=80,"Alto","Inviable Sanitariamente"))))</f>
        <v>Bajo</v>
      </c>
      <c r="BVA39" s="117">
        <v>0</v>
      </c>
      <c r="BVE39" s="117">
        <v>0</v>
      </c>
      <c r="BVG39" s="117">
        <v>23.08</v>
      </c>
      <c r="BVM39" s="117">
        <f>AVERAGE(BVA39:BVL39)</f>
        <v>7.6933333333333325</v>
      </c>
      <c r="BVN39" s="117" t="str">
        <f>IF(BVM39&lt;5,"SI","NO")</f>
        <v>NO</v>
      </c>
      <c r="BVO39" s="117" t="str">
        <f>IF(BVM39&lt;5,"Sin Riesgo",IF(BVM39 &lt;=14,"Bajo",IF(BVM39&lt;=35,"Medio",IF(BVM39&lt;=80,"Alto","Inviable Sanitariamente"))))</f>
        <v>Bajo</v>
      </c>
      <c r="BVP39" s="117">
        <v>0</v>
      </c>
      <c r="BVT39" s="117">
        <v>0</v>
      </c>
      <c r="BVV39" s="117">
        <v>23.08</v>
      </c>
      <c r="BWB39" s="117">
        <f>AVERAGE(BVP39:BWA39)</f>
        <v>7.6933333333333325</v>
      </c>
      <c r="BWC39" s="117" t="str">
        <f>IF(BWB39&lt;5,"SI","NO")</f>
        <v>NO</v>
      </c>
      <c r="BWD39" s="117" t="str">
        <f>IF(BWB39&lt;5,"Sin Riesgo",IF(BWB39 &lt;=14,"Bajo",IF(BWB39&lt;=35,"Medio",IF(BWB39&lt;=80,"Alto","Inviable Sanitariamente"))))</f>
        <v>Bajo</v>
      </c>
      <c r="BWE39" s="117">
        <v>0</v>
      </c>
      <c r="BWI39" s="117">
        <v>0</v>
      </c>
      <c r="BWK39" s="117">
        <v>23.08</v>
      </c>
      <c r="BWQ39" s="117">
        <f>AVERAGE(BWE39:BWP39)</f>
        <v>7.6933333333333325</v>
      </c>
      <c r="BWR39" s="117" t="str">
        <f>IF(BWQ39&lt;5,"SI","NO")</f>
        <v>NO</v>
      </c>
      <c r="BWS39" s="117" t="str">
        <f>IF(BWQ39&lt;5,"Sin Riesgo",IF(BWQ39 &lt;=14,"Bajo",IF(BWQ39&lt;=35,"Medio",IF(BWQ39&lt;=80,"Alto","Inviable Sanitariamente"))))</f>
        <v>Bajo</v>
      </c>
      <c r="BWT39" s="117">
        <v>0</v>
      </c>
      <c r="BWX39" s="117">
        <v>0</v>
      </c>
      <c r="BWZ39" s="117">
        <v>23.08</v>
      </c>
      <c r="BXF39" s="117">
        <f>AVERAGE(BWT39:BXE39)</f>
        <v>7.6933333333333325</v>
      </c>
      <c r="BXG39" s="117" t="str">
        <f>IF(BXF39&lt;5,"SI","NO")</f>
        <v>NO</v>
      </c>
      <c r="BXH39" s="117" t="str">
        <f>IF(BXF39&lt;5,"Sin Riesgo",IF(BXF39 &lt;=14,"Bajo",IF(BXF39&lt;=35,"Medio",IF(BXF39&lt;=80,"Alto","Inviable Sanitariamente"))))</f>
        <v>Bajo</v>
      </c>
      <c r="BXI39" s="117">
        <v>0</v>
      </c>
      <c r="BXM39" s="117">
        <v>0</v>
      </c>
      <c r="BXO39" s="117">
        <v>23.08</v>
      </c>
      <c r="BXU39" s="117">
        <f>AVERAGE(BXI39:BXT39)</f>
        <v>7.6933333333333325</v>
      </c>
      <c r="BXV39" s="117" t="str">
        <f>IF(BXU39&lt;5,"SI","NO")</f>
        <v>NO</v>
      </c>
      <c r="BXW39" s="117" t="str">
        <f>IF(BXU39&lt;5,"Sin Riesgo",IF(BXU39 &lt;=14,"Bajo",IF(BXU39&lt;=35,"Medio",IF(BXU39&lt;=80,"Alto","Inviable Sanitariamente"))))</f>
        <v>Bajo</v>
      </c>
      <c r="BXX39" s="117">
        <v>0</v>
      </c>
      <c r="BYB39" s="117">
        <v>0</v>
      </c>
      <c r="BYD39" s="117">
        <v>23.08</v>
      </c>
      <c r="BYJ39" s="117">
        <f>AVERAGE(BXX39:BYI39)</f>
        <v>7.6933333333333325</v>
      </c>
      <c r="BYK39" s="117" t="str">
        <f>IF(BYJ39&lt;5,"SI","NO")</f>
        <v>NO</v>
      </c>
      <c r="BYL39" s="117" t="str">
        <f>IF(BYJ39&lt;5,"Sin Riesgo",IF(BYJ39 &lt;=14,"Bajo",IF(BYJ39&lt;=35,"Medio",IF(BYJ39&lt;=80,"Alto","Inviable Sanitariamente"))))</f>
        <v>Bajo</v>
      </c>
      <c r="BYM39" s="117">
        <v>0</v>
      </c>
      <c r="BYQ39" s="117">
        <v>0</v>
      </c>
      <c r="BYS39" s="117">
        <v>23.08</v>
      </c>
      <c r="BYY39" s="117">
        <f>AVERAGE(BYM39:BYX39)</f>
        <v>7.6933333333333325</v>
      </c>
      <c r="BYZ39" s="117" t="str">
        <f>IF(BYY39&lt;5,"SI","NO")</f>
        <v>NO</v>
      </c>
      <c r="BZA39" s="117" t="str">
        <f>IF(BYY39&lt;5,"Sin Riesgo",IF(BYY39 &lt;=14,"Bajo",IF(BYY39&lt;=35,"Medio",IF(BYY39&lt;=80,"Alto","Inviable Sanitariamente"))))</f>
        <v>Bajo</v>
      </c>
      <c r="BZB39" s="117">
        <v>0</v>
      </c>
      <c r="BZF39" s="117">
        <v>0</v>
      </c>
      <c r="BZH39" s="117">
        <v>23.08</v>
      </c>
      <c r="BZN39" s="117">
        <f>AVERAGE(BZB39:BZM39)</f>
        <v>7.6933333333333325</v>
      </c>
      <c r="BZO39" s="117" t="str">
        <f>IF(BZN39&lt;5,"SI","NO")</f>
        <v>NO</v>
      </c>
      <c r="BZP39" s="117" t="str">
        <f>IF(BZN39&lt;5,"Sin Riesgo",IF(BZN39 &lt;=14,"Bajo",IF(BZN39&lt;=35,"Medio",IF(BZN39&lt;=80,"Alto","Inviable Sanitariamente"))))</f>
        <v>Bajo</v>
      </c>
      <c r="BZQ39" s="117">
        <v>0</v>
      </c>
      <c r="BZU39" s="117">
        <v>0</v>
      </c>
      <c r="BZW39" s="117">
        <v>23.08</v>
      </c>
      <c r="CAC39" s="117">
        <f>AVERAGE(BZQ39:CAB39)</f>
        <v>7.6933333333333325</v>
      </c>
      <c r="CAD39" s="117" t="str">
        <f>IF(CAC39&lt;5,"SI","NO")</f>
        <v>NO</v>
      </c>
      <c r="CAE39" s="117" t="str">
        <f>IF(CAC39&lt;5,"Sin Riesgo",IF(CAC39 &lt;=14,"Bajo",IF(CAC39&lt;=35,"Medio",IF(CAC39&lt;=80,"Alto","Inviable Sanitariamente"))))</f>
        <v>Bajo</v>
      </c>
      <c r="CAF39" s="117">
        <v>0</v>
      </c>
      <c r="CAJ39" s="117">
        <v>0</v>
      </c>
      <c r="CAL39" s="117">
        <v>23.08</v>
      </c>
      <c r="CAR39" s="117">
        <f>AVERAGE(CAF39:CAQ39)</f>
        <v>7.6933333333333325</v>
      </c>
      <c r="CAS39" s="117" t="str">
        <f>IF(CAR39&lt;5,"SI","NO")</f>
        <v>NO</v>
      </c>
      <c r="CAT39" s="117" t="str">
        <f>IF(CAR39&lt;5,"Sin Riesgo",IF(CAR39 &lt;=14,"Bajo",IF(CAR39&lt;=35,"Medio",IF(CAR39&lt;=80,"Alto","Inviable Sanitariamente"))))</f>
        <v>Bajo</v>
      </c>
      <c r="CAU39" s="117">
        <v>0</v>
      </c>
      <c r="CAY39" s="117">
        <v>0</v>
      </c>
      <c r="CBA39" s="117">
        <v>23.08</v>
      </c>
      <c r="CBG39" s="117">
        <f>AVERAGE(CAU39:CBF39)</f>
        <v>7.6933333333333325</v>
      </c>
      <c r="CBH39" s="117" t="str">
        <f>IF(CBG39&lt;5,"SI","NO")</f>
        <v>NO</v>
      </c>
      <c r="CBI39" s="117" t="str">
        <f>IF(CBG39&lt;5,"Sin Riesgo",IF(CBG39 &lt;=14,"Bajo",IF(CBG39&lt;=35,"Medio",IF(CBG39&lt;=80,"Alto","Inviable Sanitariamente"))))</f>
        <v>Bajo</v>
      </c>
      <c r="CBJ39" s="117">
        <v>0</v>
      </c>
      <c r="CBN39" s="117">
        <v>0</v>
      </c>
      <c r="CBP39" s="117">
        <v>23.08</v>
      </c>
      <c r="CBV39" s="117">
        <f>AVERAGE(CBJ39:CBU39)</f>
        <v>7.6933333333333325</v>
      </c>
      <c r="CBW39" s="117" t="str">
        <f>IF(CBV39&lt;5,"SI","NO")</f>
        <v>NO</v>
      </c>
      <c r="CBX39" s="117" t="str">
        <f>IF(CBV39&lt;5,"Sin Riesgo",IF(CBV39 &lt;=14,"Bajo",IF(CBV39&lt;=35,"Medio",IF(CBV39&lt;=80,"Alto","Inviable Sanitariamente"))))</f>
        <v>Bajo</v>
      </c>
      <c r="CBY39" s="117">
        <v>0</v>
      </c>
      <c r="CCC39" s="117">
        <v>0</v>
      </c>
      <c r="CCE39" s="117">
        <v>23.08</v>
      </c>
      <c r="CCK39" s="117">
        <f>AVERAGE(CBY39:CCJ39)</f>
        <v>7.6933333333333325</v>
      </c>
      <c r="CCL39" s="117" t="str">
        <f>IF(CCK39&lt;5,"SI","NO")</f>
        <v>NO</v>
      </c>
      <c r="CCM39" s="117" t="str">
        <f>IF(CCK39&lt;5,"Sin Riesgo",IF(CCK39 &lt;=14,"Bajo",IF(CCK39&lt;=35,"Medio",IF(CCK39&lt;=80,"Alto","Inviable Sanitariamente"))))</f>
        <v>Bajo</v>
      </c>
      <c r="CCN39" s="117">
        <v>0</v>
      </c>
      <c r="CCR39" s="117">
        <v>0</v>
      </c>
      <c r="CCT39" s="117">
        <v>23.08</v>
      </c>
      <c r="CCZ39" s="117">
        <f>AVERAGE(CCN39:CCY39)</f>
        <v>7.6933333333333325</v>
      </c>
      <c r="CDA39" s="117" t="str">
        <f>IF(CCZ39&lt;5,"SI","NO")</f>
        <v>NO</v>
      </c>
      <c r="CDB39" s="117" t="str">
        <f>IF(CCZ39&lt;5,"Sin Riesgo",IF(CCZ39 &lt;=14,"Bajo",IF(CCZ39&lt;=35,"Medio",IF(CCZ39&lt;=80,"Alto","Inviable Sanitariamente"))))</f>
        <v>Bajo</v>
      </c>
      <c r="CDC39" s="117">
        <v>0</v>
      </c>
      <c r="CDG39" s="117">
        <v>0</v>
      </c>
      <c r="CDI39" s="117">
        <v>23.08</v>
      </c>
      <c r="CDO39" s="117">
        <f>AVERAGE(CDC39:CDN39)</f>
        <v>7.6933333333333325</v>
      </c>
      <c r="CDP39" s="117" t="str">
        <f>IF(CDO39&lt;5,"SI","NO")</f>
        <v>NO</v>
      </c>
      <c r="CDQ39" s="117" t="str">
        <f>IF(CDO39&lt;5,"Sin Riesgo",IF(CDO39 &lt;=14,"Bajo",IF(CDO39&lt;=35,"Medio",IF(CDO39&lt;=80,"Alto","Inviable Sanitariamente"))))</f>
        <v>Bajo</v>
      </c>
      <c r="CDR39" s="117">
        <v>0</v>
      </c>
      <c r="CDV39" s="117">
        <v>0</v>
      </c>
      <c r="CDX39" s="117">
        <v>23.08</v>
      </c>
      <c r="CED39" s="117">
        <f>AVERAGE(CDR39:CEC39)</f>
        <v>7.6933333333333325</v>
      </c>
      <c r="CEE39" s="117" t="str">
        <f>IF(CED39&lt;5,"SI","NO")</f>
        <v>NO</v>
      </c>
      <c r="CEF39" s="117" t="str">
        <f>IF(CED39&lt;5,"Sin Riesgo",IF(CED39 &lt;=14,"Bajo",IF(CED39&lt;=35,"Medio",IF(CED39&lt;=80,"Alto","Inviable Sanitariamente"))))</f>
        <v>Bajo</v>
      </c>
      <c r="CEG39" s="117">
        <v>0</v>
      </c>
      <c r="CEK39" s="117">
        <v>0</v>
      </c>
      <c r="CEM39" s="117">
        <v>23.08</v>
      </c>
      <c r="CES39" s="117">
        <f>AVERAGE(CEG39:CER39)</f>
        <v>7.6933333333333325</v>
      </c>
      <c r="CET39" s="117" t="str">
        <f>IF(CES39&lt;5,"SI","NO")</f>
        <v>NO</v>
      </c>
      <c r="CEU39" s="117" t="str">
        <f>IF(CES39&lt;5,"Sin Riesgo",IF(CES39 &lt;=14,"Bajo",IF(CES39&lt;=35,"Medio",IF(CES39&lt;=80,"Alto","Inviable Sanitariamente"))))</f>
        <v>Bajo</v>
      </c>
      <c r="CEV39" s="117">
        <v>0</v>
      </c>
      <c r="CEZ39" s="117">
        <v>0</v>
      </c>
      <c r="CFB39" s="117">
        <v>23.08</v>
      </c>
      <c r="CFH39" s="117">
        <f>AVERAGE(CEV39:CFG39)</f>
        <v>7.6933333333333325</v>
      </c>
      <c r="CFI39" s="117" t="str">
        <f>IF(CFH39&lt;5,"SI","NO")</f>
        <v>NO</v>
      </c>
      <c r="CFJ39" s="117" t="str">
        <f>IF(CFH39&lt;5,"Sin Riesgo",IF(CFH39 &lt;=14,"Bajo",IF(CFH39&lt;=35,"Medio",IF(CFH39&lt;=80,"Alto","Inviable Sanitariamente"))))</f>
        <v>Bajo</v>
      </c>
      <c r="CFK39" s="117">
        <v>0</v>
      </c>
      <c r="CFO39" s="117">
        <v>0</v>
      </c>
      <c r="CFQ39" s="117">
        <v>23.08</v>
      </c>
      <c r="CFW39" s="117">
        <f>AVERAGE(CFK39:CFV39)</f>
        <v>7.6933333333333325</v>
      </c>
      <c r="CFX39" s="117" t="str">
        <f>IF(CFW39&lt;5,"SI","NO")</f>
        <v>NO</v>
      </c>
      <c r="CFY39" s="117" t="str">
        <f>IF(CFW39&lt;5,"Sin Riesgo",IF(CFW39 &lt;=14,"Bajo",IF(CFW39&lt;=35,"Medio",IF(CFW39&lt;=80,"Alto","Inviable Sanitariamente"))))</f>
        <v>Bajo</v>
      </c>
      <c r="CFZ39" s="117">
        <v>0</v>
      </c>
      <c r="CGD39" s="117">
        <v>0</v>
      </c>
      <c r="CGF39" s="117">
        <v>23.08</v>
      </c>
      <c r="CGL39" s="117">
        <f>AVERAGE(CFZ39:CGK39)</f>
        <v>7.6933333333333325</v>
      </c>
      <c r="CGM39" s="117" t="str">
        <f>IF(CGL39&lt;5,"SI","NO")</f>
        <v>NO</v>
      </c>
      <c r="CGN39" s="117" t="str">
        <f>IF(CGL39&lt;5,"Sin Riesgo",IF(CGL39 &lt;=14,"Bajo",IF(CGL39&lt;=35,"Medio",IF(CGL39&lt;=80,"Alto","Inviable Sanitariamente"))))</f>
        <v>Bajo</v>
      </c>
      <c r="CGO39" s="117">
        <v>0</v>
      </c>
      <c r="CGS39" s="117">
        <v>0</v>
      </c>
      <c r="CGU39" s="117">
        <v>23.08</v>
      </c>
      <c r="CHA39" s="117">
        <f>AVERAGE(CGO39:CGZ39)</f>
        <v>7.6933333333333325</v>
      </c>
      <c r="CHB39" s="117" t="str">
        <f>IF(CHA39&lt;5,"SI","NO")</f>
        <v>NO</v>
      </c>
      <c r="CHC39" s="117" t="str">
        <f>IF(CHA39&lt;5,"Sin Riesgo",IF(CHA39 &lt;=14,"Bajo",IF(CHA39&lt;=35,"Medio",IF(CHA39&lt;=80,"Alto","Inviable Sanitariamente"))))</f>
        <v>Bajo</v>
      </c>
      <c r="CHD39" s="117">
        <v>0</v>
      </c>
      <c r="CHH39" s="117">
        <v>0</v>
      </c>
      <c r="CHJ39" s="117">
        <v>23.08</v>
      </c>
      <c r="CHP39" s="117">
        <f>AVERAGE(CHD39:CHO39)</f>
        <v>7.6933333333333325</v>
      </c>
      <c r="CHQ39" s="117" t="str">
        <f>IF(CHP39&lt;5,"SI","NO")</f>
        <v>NO</v>
      </c>
      <c r="CHR39" s="117" t="str">
        <f>IF(CHP39&lt;5,"Sin Riesgo",IF(CHP39 &lt;=14,"Bajo",IF(CHP39&lt;=35,"Medio",IF(CHP39&lt;=80,"Alto","Inviable Sanitariamente"))))</f>
        <v>Bajo</v>
      </c>
      <c r="CHS39" s="117">
        <v>0</v>
      </c>
      <c r="CHW39" s="117">
        <v>0</v>
      </c>
      <c r="CHY39" s="117">
        <v>23.08</v>
      </c>
      <c r="CIE39" s="117">
        <f>AVERAGE(CHS39:CID39)</f>
        <v>7.6933333333333325</v>
      </c>
      <c r="CIF39" s="117" t="str">
        <f>IF(CIE39&lt;5,"SI","NO")</f>
        <v>NO</v>
      </c>
      <c r="CIG39" s="117" t="str">
        <f>IF(CIE39&lt;5,"Sin Riesgo",IF(CIE39 &lt;=14,"Bajo",IF(CIE39&lt;=35,"Medio",IF(CIE39&lt;=80,"Alto","Inviable Sanitariamente"))))</f>
        <v>Bajo</v>
      </c>
      <c r="CIH39" s="117">
        <v>0</v>
      </c>
      <c r="CIL39" s="117">
        <v>0</v>
      </c>
      <c r="CIN39" s="117">
        <v>23.08</v>
      </c>
      <c r="CIT39" s="117">
        <f>AVERAGE(CIH39:CIS39)</f>
        <v>7.6933333333333325</v>
      </c>
      <c r="CIU39" s="117" t="str">
        <f>IF(CIT39&lt;5,"SI","NO")</f>
        <v>NO</v>
      </c>
      <c r="CIV39" s="117" t="str">
        <f>IF(CIT39&lt;5,"Sin Riesgo",IF(CIT39 &lt;=14,"Bajo",IF(CIT39&lt;=35,"Medio",IF(CIT39&lt;=80,"Alto","Inviable Sanitariamente"))))</f>
        <v>Bajo</v>
      </c>
      <c r="CIW39" s="117">
        <v>0</v>
      </c>
      <c r="CJA39" s="117">
        <v>0</v>
      </c>
      <c r="CJC39" s="117">
        <v>23.08</v>
      </c>
      <c r="CJI39" s="117">
        <f>AVERAGE(CIW39:CJH39)</f>
        <v>7.6933333333333325</v>
      </c>
      <c r="CJJ39" s="117" t="str">
        <f>IF(CJI39&lt;5,"SI","NO")</f>
        <v>NO</v>
      </c>
      <c r="CJK39" s="117" t="str">
        <f>IF(CJI39&lt;5,"Sin Riesgo",IF(CJI39 &lt;=14,"Bajo",IF(CJI39&lt;=35,"Medio",IF(CJI39&lt;=80,"Alto","Inviable Sanitariamente"))))</f>
        <v>Bajo</v>
      </c>
      <c r="CJL39" s="117">
        <v>0</v>
      </c>
      <c r="CJP39" s="117">
        <v>0</v>
      </c>
      <c r="CJR39" s="117">
        <v>23.08</v>
      </c>
      <c r="CJX39" s="117">
        <f>AVERAGE(CJL39:CJW39)</f>
        <v>7.6933333333333325</v>
      </c>
      <c r="CJY39" s="117" t="str">
        <f>IF(CJX39&lt;5,"SI","NO")</f>
        <v>NO</v>
      </c>
      <c r="CJZ39" s="117" t="str">
        <f>IF(CJX39&lt;5,"Sin Riesgo",IF(CJX39 &lt;=14,"Bajo",IF(CJX39&lt;=35,"Medio",IF(CJX39&lt;=80,"Alto","Inviable Sanitariamente"))))</f>
        <v>Bajo</v>
      </c>
      <c r="CKA39" s="117">
        <v>0</v>
      </c>
      <c r="CKE39" s="117">
        <v>0</v>
      </c>
      <c r="CKG39" s="117">
        <v>23.08</v>
      </c>
      <c r="CKM39" s="117">
        <f>AVERAGE(CKA39:CKL39)</f>
        <v>7.6933333333333325</v>
      </c>
      <c r="CKN39" s="117" t="str">
        <f>IF(CKM39&lt;5,"SI","NO")</f>
        <v>NO</v>
      </c>
      <c r="CKO39" s="117" t="str">
        <f>IF(CKM39&lt;5,"Sin Riesgo",IF(CKM39 &lt;=14,"Bajo",IF(CKM39&lt;=35,"Medio",IF(CKM39&lt;=80,"Alto","Inviable Sanitariamente"))))</f>
        <v>Bajo</v>
      </c>
      <c r="CKP39" s="117">
        <v>0</v>
      </c>
      <c r="CKT39" s="117">
        <v>0</v>
      </c>
      <c r="CKV39" s="117">
        <v>23.08</v>
      </c>
      <c r="CLB39" s="117">
        <f>AVERAGE(CKP39:CLA39)</f>
        <v>7.6933333333333325</v>
      </c>
      <c r="CLC39" s="117" t="str">
        <f>IF(CLB39&lt;5,"SI","NO")</f>
        <v>NO</v>
      </c>
      <c r="CLD39" s="117" t="str">
        <f>IF(CLB39&lt;5,"Sin Riesgo",IF(CLB39 &lt;=14,"Bajo",IF(CLB39&lt;=35,"Medio",IF(CLB39&lt;=80,"Alto","Inviable Sanitariamente"))))</f>
        <v>Bajo</v>
      </c>
      <c r="CLE39" s="117">
        <v>0</v>
      </c>
      <c r="CLI39" s="117">
        <v>0</v>
      </c>
      <c r="CLK39" s="117">
        <v>23.08</v>
      </c>
      <c r="CLQ39" s="117">
        <f>AVERAGE(CLE39:CLP39)</f>
        <v>7.6933333333333325</v>
      </c>
      <c r="CLR39" s="117" t="str">
        <f>IF(CLQ39&lt;5,"SI","NO")</f>
        <v>NO</v>
      </c>
      <c r="CLS39" s="117" t="str">
        <f>IF(CLQ39&lt;5,"Sin Riesgo",IF(CLQ39 &lt;=14,"Bajo",IF(CLQ39&lt;=35,"Medio",IF(CLQ39&lt;=80,"Alto","Inviable Sanitariamente"))))</f>
        <v>Bajo</v>
      </c>
      <c r="CLT39" s="117">
        <v>0</v>
      </c>
      <c r="CLX39" s="117">
        <v>0</v>
      </c>
      <c r="CLZ39" s="117">
        <v>23.08</v>
      </c>
      <c r="CMF39" s="117">
        <f>AVERAGE(CLT39:CME39)</f>
        <v>7.6933333333333325</v>
      </c>
      <c r="CMG39" s="117" t="str">
        <f>IF(CMF39&lt;5,"SI","NO")</f>
        <v>NO</v>
      </c>
      <c r="CMH39" s="117" t="str">
        <f>IF(CMF39&lt;5,"Sin Riesgo",IF(CMF39 &lt;=14,"Bajo",IF(CMF39&lt;=35,"Medio",IF(CMF39&lt;=80,"Alto","Inviable Sanitariamente"))))</f>
        <v>Bajo</v>
      </c>
      <c r="CMI39" s="117">
        <v>0</v>
      </c>
      <c r="CMM39" s="117">
        <v>0</v>
      </c>
      <c r="CMO39" s="117">
        <v>23.08</v>
      </c>
      <c r="CMU39" s="117">
        <f>AVERAGE(CMI39:CMT39)</f>
        <v>7.6933333333333325</v>
      </c>
      <c r="CMV39" s="117" t="str">
        <f>IF(CMU39&lt;5,"SI","NO")</f>
        <v>NO</v>
      </c>
      <c r="CMW39" s="117" t="str">
        <f>IF(CMU39&lt;5,"Sin Riesgo",IF(CMU39 &lt;=14,"Bajo",IF(CMU39&lt;=35,"Medio",IF(CMU39&lt;=80,"Alto","Inviable Sanitariamente"))))</f>
        <v>Bajo</v>
      </c>
      <c r="CMX39" s="117">
        <v>0</v>
      </c>
      <c r="CNB39" s="117">
        <v>0</v>
      </c>
      <c r="CND39" s="117">
        <v>23.08</v>
      </c>
      <c r="CNJ39" s="117">
        <f>AVERAGE(CMX39:CNI39)</f>
        <v>7.6933333333333325</v>
      </c>
      <c r="CNK39" s="117" t="str">
        <f>IF(CNJ39&lt;5,"SI","NO")</f>
        <v>NO</v>
      </c>
      <c r="CNL39" s="117" t="str">
        <f>IF(CNJ39&lt;5,"Sin Riesgo",IF(CNJ39 &lt;=14,"Bajo",IF(CNJ39&lt;=35,"Medio",IF(CNJ39&lt;=80,"Alto","Inviable Sanitariamente"))))</f>
        <v>Bajo</v>
      </c>
      <c r="CNM39" s="117">
        <v>0</v>
      </c>
      <c r="CNQ39" s="117">
        <v>0</v>
      </c>
      <c r="CNS39" s="117">
        <v>23.08</v>
      </c>
      <c r="CNY39" s="117">
        <f>AVERAGE(CNM39:CNX39)</f>
        <v>7.6933333333333325</v>
      </c>
      <c r="CNZ39" s="117" t="str">
        <f>IF(CNY39&lt;5,"SI","NO")</f>
        <v>NO</v>
      </c>
      <c r="COA39" s="117" t="str">
        <f>IF(CNY39&lt;5,"Sin Riesgo",IF(CNY39 &lt;=14,"Bajo",IF(CNY39&lt;=35,"Medio",IF(CNY39&lt;=80,"Alto","Inviable Sanitariamente"))))</f>
        <v>Bajo</v>
      </c>
      <c r="COB39" s="117">
        <v>0</v>
      </c>
      <c r="COF39" s="117">
        <v>0</v>
      </c>
      <c r="COH39" s="117">
        <v>23.08</v>
      </c>
      <c r="CON39" s="117">
        <f>AVERAGE(COB39:COM39)</f>
        <v>7.6933333333333325</v>
      </c>
      <c r="COO39" s="117" t="str">
        <f>IF(CON39&lt;5,"SI","NO")</f>
        <v>NO</v>
      </c>
      <c r="COP39" s="117" t="str">
        <f>IF(CON39&lt;5,"Sin Riesgo",IF(CON39 &lt;=14,"Bajo",IF(CON39&lt;=35,"Medio",IF(CON39&lt;=80,"Alto","Inviable Sanitariamente"))))</f>
        <v>Bajo</v>
      </c>
      <c r="COQ39" s="117">
        <v>0</v>
      </c>
      <c r="COU39" s="117">
        <v>0</v>
      </c>
      <c r="COW39" s="117">
        <v>23.08</v>
      </c>
      <c r="CPC39" s="117">
        <f>AVERAGE(COQ39:CPB39)</f>
        <v>7.6933333333333325</v>
      </c>
      <c r="CPD39" s="117" t="str">
        <f>IF(CPC39&lt;5,"SI","NO")</f>
        <v>NO</v>
      </c>
      <c r="CPE39" s="117" t="str">
        <f>IF(CPC39&lt;5,"Sin Riesgo",IF(CPC39 &lt;=14,"Bajo",IF(CPC39&lt;=35,"Medio",IF(CPC39&lt;=80,"Alto","Inviable Sanitariamente"))))</f>
        <v>Bajo</v>
      </c>
      <c r="CPF39" s="117">
        <v>0</v>
      </c>
      <c r="CPJ39" s="117">
        <v>0</v>
      </c>
      <c r="CPL39" s="117">
        <v>23.08</v>
      </c>
      <c r="CPR39" s="117">
        <f>AVERAGE(CPF39:CPQ39)</f>
        <v>7.6933333333333325</v>
      </c>
      <c r="CPS39" s="117" t="str">
        <f>IF(CPR39&lt;5,"SI","NO")</f>
        <v>NO</v>
      </c>
      <c r="CPT39" s="117" t="str">
        <f>IF(CPR39&lt;5,"Sin Riesgo",IF(CPR39 &lt;=14,"Bajo",IF(CPR39&lt;=35,"Medio",IF(CPR39&lt;=80,"Alto","Inviable Sanitariamente"))))</f>
        <v>Bajo</v>
      </c>
      <c r="CPU39" s="117">
        <v>0</v>
      </c>
      <c r="CPY39" s="117">
        <v>0</v>
      </c>
      <c r="CQA39" s="117">
        <v>23.08</v>
      </c>
      <c r="CQG39" s="117">
        <f>AVERAGE(CPU39:CQF39)</f>
        <v>7.6933333333333325</v>
      </c>
      <c r="CQH39" s="117" t="str">
        <f>IF(CQG39&lt;5,"SI","NO")</f>
        <v>NO</v>
      </c>
      <c r="CQI39" s="117" t="str">
        <f>IF(CQG39&lt;5,"Sin Riesgo",IF(CQG39 &lt;=14,"Bajo",IF(CQG39&lt;=35,"Medio",IF(CQG39&lt;=80,"Alto","Inviable Sanitariamente"))))</f>
        <v>Bajo</v>
      </c>
      <c r="CQJ39" s="117">
        <v>0</v>
      </c>
      <c r="CQN39" s="117">
        <v>0</v>
      </c>
      <c r="CQP39" s="117">
        <v>23.08</v>
      </c>
      <c r="CQV39" s="117">
        <f>AVERAGE(CQJ39:CQU39)</f>
        <v>7.6933333333333325</v>
      </c>
      <c r="CQW39" s="117" t="str">
        <f>IF(CQV39&lt;5,"SI","NO")</f>
        <v>NO</v>
      </c>
      <c r="CQX39" s="117" t="str">
        <f>IF(CQV39&lt;5,"Sin Riesgo",IF(CQV39 &lt;=14,"Bajo",IF(CQV39&lt;=35,"Medio",IF(CQV39&lt;=80,"Alto","Inviable Sanitariamente"))))</f>
        <v>Bajo</v>
      </c>
      <c r="CQY39" s="117">
        <v>0</v>
      </c>
      <c r="CRC39" s="117">
        <v>0</v>
      </c>
      <c r="CRE39" s="117">
        <v>23.08</v>
      </c>
      <c r="CRK39" s="117">
        <f>AVERAGE(CQY39:CRJ39)</f>
        <v>7.6933333333333325</v>
      </c>
      <c r="CRL39" s="117" t="str">
        <f>IF(CRK39&lt;5,"SI","NO")</f>
        <v>NO</v>
      </c>
      <c r="CRM39" s="117" t="str">
        <f>IF(CRK39&lt;5,"Sin Riesgo",IF(CRK39 &lt;=14,"Bajo",IF(CRK39&lt;=35,"Medio",IF(CRK39&lt;=80,"Alto","Inviable Sanitariamente"))))</f>
        <v>Bajo</v>
      </c>
      <c r="CRN39" s="117">
        <v>0</v>
      </c>
      <c r="CRR39" s="117">
        <v>0</v>
      </c>
      <c r="CRT39" s="117">
        <v>23.08</v>
      </c>
      <c r="CRZ39" s="117">
        <f>AVERAGE(CRN39:CRY39)</f>
        <v>7.6933333333333325</v>
      </c>
      <c r="CSA39" s="117" t="str">
        <f>IF(CRZ39&lt;5,"SI","NO")</f>
        <v>NO</v>
      </c>
      <c r="CSB39" s="117" t="str">
        <f>IF(CRZ39&lt;5,"Sin Riesgo",IF(CRZ39 &lt;=14,"Bajo",IF(CRZ39&lt;=35,"Medio",IF(CRZ39&lt;=80,"Alto","Inviable Sanitariamente"))))</f>
        <v>Bajo</v>
      </c>
      <c r="CSC39" s="117">
        <v>0</v>
      </c>
      <c r="CSG39" s="117">
        <v>0</v>
      </c>
      <c r="CSI39" s="117">
        <v>23.08</v>
      </c>
      <c r="CSO39" s="117">
        <f>AVERAGE(CSC39:CSN39)</f>
        <v>7.6933333333333325</v>
      </c>
      <c r="CSP39" s="117" t="str">
        <f>IF(CSO39&lt;5,"SI","NO")</f>
        <v>NO</v>
      </c>
      <c r="CSQ39" s="117" t="str">
        <f>IF(CSO39&lt;5,"Sin Riesgo",IF(CSO39 &lt;=14,"Bajo",IF(CSO39&lt;=35,"Medio",IF(CSO39&lt;=80,"Alto","Inviable Sanitariamente"))))</f>
        <v>Bajo</v>
      </c>
      <c r="CSR39" s="117">
        <v>0</v>
      </c>
      <c r="CSV39" s="117">
        <v>0</v>
      </c>
      <c r="CSX39" s="117">
        <v>23.08</v>
      </c>
      <c r="CTD39" s="117">
        <f>AVERAGE(CSR39:CTC39)</f>
        <v>7.6933333333333325</v>
      </c>
      <c r="CTE39" s="117" t="str">
        <f>IF(CTD39&lt;5,"SI","NO")</f>
        <v>NO</v>
      </c>
      <c r="CTF39" s="117" t="str">
        <f>IF(CTD39&lt;5,"Sin Riesgo",IF(CTD39 &lt;=14,"Bajo",IF(CTD39&lt;=35,"Medio",IF(CTD39&lt;=80,"Alto","Inviable Sanitariamente"))))</f>
        <v>Bajo</v>
      </c>
      <c r="CTG39" s="117">
        <v>0</v>
      </c>
      <c r="CTK39" s="117">
        <v>0</v>
      </c>
      <c r="CTM39" s="117">
        <v>23.08</v>
      </c>
      <c r="CTS39" s="117">
        <f>AVERAGE(CTG39:CTR39)</f>
        <v>7.6933333333333325</v>
      </c>
      <c r="CTT39" s="117" t="str">
        <f>IF(CTS39&lt;5,"SI","NO")</f>
        <v>NO</v>
      </c>
      <c r="CTU39" s="117" t="str">
        <f>IF(CTS39&lt;5,"Sin Riesgo",IF(CTS39 &lt;=14,"Bajo",IF(CTS39&lt;=35,"Medio",IF(CTS39&lt;=80,"Alto","Inviable Sanitariamente"))))</f>
        <v>Bajo</v>
      </c>
      <c r="CTV39" s="117">
        <v>0</v>
      </c>
      <c r="CTZ39" s="117">
        <v>0</v>
      </c>
      <c r="CUB39" s="117">
        <v>23.08</v>
      </c>
      <c r="CUH39" s="117">
        <f>AVERAGE(CTV39:CUG39)</f>
        <v>7.6933333333333325</v>
      </c>
      <c r="CUI39" s="117" t="str">
        <f>IF(CUH39&lt;5,"SI","NO")</f>
        <v>NO</v>
      </c>
      <c r="CUJ39" s="117" t="str">
        <f>IF(CUH39&lt;5,"Sin Riesgo",IF(CUH39 &lt;=14,"Bajo",IF(CUH39&lt;=35,"Medio",IF(CUH39&lt;=80,"Alto","Inviable Sanitariamente"))))</f>
        <v>Bajo</v>
      </c>
      <c r="CUK39" s="117">
        <v>0</v>
      </c>
      <c r="CUO39" s="117">
        <v>0</v>
      </c>
      <c r="CUQ39" s="117">
        <v>23.08</v>
      </c>
      <c r="CUW39" s="117">
        <f>AVERAGE(CUK39:CUV39)</f>
        <v>7.6933333333333325</v>
      </c>
      <c r="CUX39" s="117" t="str">
        <f>IF(CUW39&lt;5,"SI","NO")</f>
        <v>NO</v>
      </c>
      <c r="CUY39" s="117" t="str">
        <f>IF(CUW39&lt;5,"Sin Riesgo",IF(CUW39 &lt;=14,"Bajo",IF(CUW39&lt;=35,"Medio",IF(CUW39&lt;=80,"Alto","Inviable Sanitariamente"))))</f>
        <v>Bajo</v>
      </c>
      <c r="CUZ39" s="117">
        <v>0</v>
      </c>
      <c r="CVD39" s="117">
        <v>0</v>
      </c>
      <c r="CVF39" s="117">
        <v>23.08</v>
      </c>
      <c r="CVL39" s="117">
        <f>AVERAGE(CUZ39:CVK39)</f>
        <v>7.6933333333333325</v>
      </c>
      <c r="CVM39" s="117" t="str">
        <f>IF(CVL39&lt;5,"SI","NO")</f>
        <v>NO</v>
      </c>
      <c r="CVN39" s="117" t="str">
        <f>IF(CVL39&lt;5,"Sin Riesgo",IF(CVL39 &lt;=14,"Bajo",IF(CVL39&lt;=35,"Medio",IF(CVL39&lt;=80,"Alto","Inviable Sanitariamente"))))</f>
        <v>Bajo</v>
      </c>
      <c r="CVO39" s="117">
        <v>0</v>
      </c>
      <c r="CVS39" s="117">
        <v>0</v>
      </c>
      <c r="CVU39" s="117">
        <v>23.08</v>
      </c>
      <c r="CWA39" s="117">
        <f>AVERAGE(CVO39:CVZ39)</f>
        <v>7.6933333333333325</v>
      </c>
      <c r="CWB39" s="117" t="str">
        <f>IF(CWA39&lt;5,"SI","NO")</f>
        <v>NO</v>
      </c>
      <c r="CWC39" s="117" t="str">
        <f>IF(CWA39&lt;5,"Sin Riesgo",IF(CWA39 &lt;=14,"Bajo",IF(CWA39&lt;=35,"Medio",IF(CWA39&lt;=80,"Alto","Inviable Sanitariamente"))))</f>
        <v>Bajo</v>
      </c>
      <c r="CWD39" s="117">
        <v>0</v>
      </c>
      <c r="CWH39" s="117">
        <v>0</v>
      </c>
      <c r="CWJ39" s="117">
        <v>23.08</v>
      </c>
      <c r="CWP39" s="117">
        <f>AVERAGE(CWD39:CWO39)</f>
        <v>7.6933333333333325</v>
      </c>
      <c r="CWQ39" s="117" t="str">
        <f>IF(CWP39&lt;5,"SI","NO")</f>
        <v>NO</v>
      </c>
      <c r="CWR39" s="117" t="str">
        <f>IF(CWP39&lt;5,"Sin Riesgo",IF(CWP39 &lt;=14,"Bajo",IF(CWP39&lt;=35,"Medio",IF(CWP39&lt;=80,"Alto","Inviable Sanitariamente"))))</f>
        <v>Bajo</v>
      </c>
      <c r="CWS39" s="117">
        <v>0</v>
      </c>
      <c r="CWW39" s="117">
        <v>0</v>
      </c>
      <c r="CWY39" s="117">
        <v>23.08</v>
      </c>
      <c r="CXE39" s="117">
        <f>AVERAGE(CWS39:CXD39)</f>
        <v>7.6933333333333325</v>
      </c>
      <c r="CXF39" s="117" t="str">
        <f>IF(CXE39&lt;5,"SI","NO")</f>
        <v>NO</v>
      </c>
      <c r="CXG39" s="117" t="str">
        <f>IF(CXE39&lt;5,"Sin Riesgo",IF(CXE39 &lt;=14,"Bajo",IF(CXE39&lt;=35,"Medio",IF(CXE39&lt;=80,"Alto","Inviable Sanitariamente"))))</f>
        <v>Bajo</v>
      </c>
      <c r="CXH39" s="117">
        <v>0</v>
      </c>
      <c r="CXL39" s="117">
        <v>0</v>
      </c>
      <c r="CXN39" s="117">
        <v>23.08</v>
      </c>
      <c r="CXT39" s="117">
        <f>AVERAGE(CXH39:CXS39)</f>
        <v>7.6933333333333325</v>
      </c>
      <c r="CXU39" s="117" t="str">
        <f>IF(CXT39&lt;5,"SI","NO")</f>
        <v>NO</v>
      </c>
      <c r="CXV39" s="117" t="str">
        <f>IF(CXT39&lt;5,"Sin Riesgo",IF(CXT39 &lt;=14,"Bajo",IF(CXT39&lt;=35,"Medio",IF(CXT39&lt;=80,"Alto","Inviable Sanitariamente"))))</f>
        <v>Bajo</v>
      </c>
      <c r="CXW39" s="117">
        <v>0</v>
      </c>
      <c r="CYA39" s="117">
        <v>0</v>
      </c>
      <c r="CYC39" s="117">
        <v>23.08</v>
      </c>
      <c r="CYI39" s="117">
        <f>AVERAGE(CXW39:CYH39)</f>
        <v>7.6933333333333325</v>
      </c>
      <c r="CYJ39" s="117" t="str">
        <f>IF(CYI39&lt;5,"SI","NO")</f>
        <v>NO</v>
      </c>
      <c r="CYK39" s="117" t="str">
        <f>IF(CYI39&lt;5,"Sin Riesgo",IF(CYI39 &lt;=14,"Bajo",IF(CYI39&lt;=35,"Medio",IF(CYI39&lt;=80,"Alto","Inviable Sanitariamente"))))</f>
        <v>Bajo</v>
      </c>
      <c r="CYL39" s="117">
        <v>0</v>
      </c>
      <c r="CYP39" s="117">
        <v>0</v>
      </c>
      <c r="CYR39" s="117">
        <v>23.08</v>
      </c>
      <c r="CYX39" s="117">
        <f>AVERAGE(CYL39:CYW39)</f>
        <v>7.6933333333333325</v>
      </c>
      <c r="CYY39" s="117" t="str">
        <f>IF(CYX39&lt;5,"SI","NO")</f>
        <v>NO</v>
      </c>
      <c r="CYZ39" s="117" t="str">
        <f>IF(CYX39&lt;5,"Sin Riesgo",IF(CYX39 &lt;=14,"Bajo",IF(CYX39&lt;=35,"Medio",IF(CYX39&lt;=80,"Alto","Inviable Sanitariamente"))))</f>
        <v>Bajo</v>
      </c>
      <c r="CZA39" s="117">
        <v>0</v>
      </c>
      <c r="CZE39" s="117">
        <v>0</v>
      </c>
      <c r="CZG39" s="117">
        <v>23.08</v>
      </c>
      <c r="CZM39" s="117">
        <f>AVERAGE(CZA39:CZL39)</f>
        <v>7.6933333333333325</v>
      </c>
      <c r="CZN39" s="117" t="str">
        <f>IF(CZM39&lt;5,"SI","NO")</f>
        <v>NO</v>
      </c>
      <c r="CZO39" s="117" t="str">
        <f>IF(CZM39&lt;5,"Sin Riesgo",IF(CZM39 &lt;=14,"Bajo",IF(CZM39&lt;=35,"Medio",IF(CZM39&lt;=80,"Alto","Inviable Sanitariamente"))))</f>
        <v>Bajo</v>
      </c>
      <c r="CZP39" s="117">
        <v>0</v>
      </c>
      <c r="CZT39" s="117">
        <v>0</v>
      </c>
      <c r="CZV39" s="117">
        <v>23.08</v>
      </c>
      <c r="DAB39" s="117">
        <f>AVERAGE(CZP39:DAA39)</f>
        <v>7.6933333333333325</v>
      </c>
      <c r="DAC39" s="117" t="str">
        <f>IF(DAB39&lt;5,"SI","NO")</f>
        <v>NO</v>
      </c>
      <c r="DAD39" s="117" t="str">
        <f>IF(DAB39&lt;5,"Sin Riesgo",IF(DAB39 &lt;=14,"Bajo",IF(DAB39&lt;=35,"Medio",IF(DAB39&lt;=80,"Alto","Inviable Sanitariamente"))))</f>
        <v>Bajo</v>
      </c>
      <c r="DAE39" s="117">
        <v>0</v>
      </c>
      <c r="DAI39" s="117">
        <v>0</v>
      </c>
      <c r="DAK39" s="117">
        <v>23.08</v>
      </c>
      <c r="DAQ39" s="117">
        <f>AVERAGE(DAE39:DAP39)</f>
        <v>7.6933333333333325</v>
      </c>
      <c r="DAR39" s="117" t="str">
        <f>IF(DAQ39&lt;5,"SI","NO")</f>
        <v>NO</v>
      </c>
      <c r="DAS39" s="117" t="str">
        <f>IF(DAQ39&lt;5,"Sin Riesgo",IF(DAQ39 &lt;=14,"Bajo",IF(DAQ39&lt;=35,"Medio",IF(DAQ39&lt;=80,"Alto","Inviable Sanitariamente"))))</f>
        <v>Bajo</v>
      </c>
      <c r="DAT39" s="117">
        <v>0</v>
      </c>
      <c r="DAX39" s="117">
        <v>0</v>
      </c>
      <c r="DAZ39" s="117">
        <v>23.08</v>
      </c>
      <c r="DBF39" s="117">
        <f>AVERAGE(DAT39:DBE39)</f>
        <v>7.6933333333333325</v>
      </c>
      <c r="DBG39" s="117" t="str">
        <f>IF(DBF39&lt;5,"SI","NO")</f>
        <v>NO</v>
      </c>
      <c r="DBH39" s="117" t="str">
        <f>IF(DBF39&lt;5,"Sin Riesgo",IF(DBF39 &lt;=14,"Bajo",IF(DBF39&lt;=35,"Medio",IF(DBF39&lt;=80,"Alto","Inviable Sanitariamente"))))</f>
        <v>Bajo</v>
      </c>
      <c r="DBI39" s="117">
        <v>0</v>
      </c>
      <c r="DBM39" s="117">
        <v>0</v>
      </c>
      <c r="DBO39" s="117">
        <v>23.08</v>
      </c>
      <c r="DBU39" s="117">
        <f>AVERAGE(DBI39:DBT39)</f>
        <v>7.6933333333333325</v>
      </c>
      <c r="DBV39" s="117" t="str">
        <f>IF(DBU39&lt;5,"SI","NO")</f>
        <v>NO</v>
      </c>
      <c r="DBW39" s="117" t="str">
        <f>IF(DBU39&lt;5,"Sin Riesgo",IF(DBU39 &lt;=14,"Bajo",IF(DBU39&lt;=35,"Medio",IF(DBU39&lt;=80,"Alto","Inviable Sanitariamente"))))</f>
        <v>Bajo</v>
      </c>
      <c r="DBX39" s="117">
        <v>0</v>
      </c>
      <c r="DCB39" s="117">
        <v>0</v>
      </c>
      <c r="DCD39" s="117">
        <v>23.08</v>
      </c>
      <c r="DCJ39" s="117">
        <f>AVERAGE(DBX39:DCI39)</f>
        <v>7.6933333333333325</v>
      </c>
      <c r="DCK39" s="117" t="str">
        <f>IF(DCJ39&lt;5,"SI","NO")</f>
        <v>NO</v>
      </c>
      <c r="DCL39" s="117" t="str">
        <f>IF(DCJ39&lt;5,"Sin Riesgo",IF(DCJ39 &lt;=14,"Bajo",IF(DCJ39&lt;=35,"Medio",IF(DCJ39&lt;=80,"Alto","Inviable Sanitariamente"))))</f>
        <v>Bajo</v>
      </c>
      <c r="DCM39" s="117">
        <v>0</v>
      </c>
      <c r="DCQ39" s="117">
        <v>0</v>
      </c>
      <c r="DCS39" s="117">
        <v>23.08</v>
      </c>
      <c r="DCY39" s="117">
        <f>AVERAGE(DCM39:DCX39)</f>
        <v>7.6933333333333325</v>
      </c>
      <c r="DCZ39" s="117" t="str">
        <f>IF(DCY39&lt;5,"SI","NO")</f>
        <v>NO</v>
      </c>
      <c r="DDA39" s="117" t="str">
        <f>IF(DCY39&lt;5,"Sin Riesgo",IF(DCY39 &lt;=14,"Bajo",IF(DCY39&lt;=35,"Medio",IF(DCY39&lt;=80,"Alto","Inviable Sanitariamente"))))</f>
        <v>Bajo</v>
      </c>
      <c r="DDB39" s="117">
        <v>0</v>
      </c>
      <c r="DDF39" s="117">
        <v>0</v>
      </c>
      <c r="DDH39" s="117">
        <v>23.08</v>
      </c>
      <c r="DDN39" s="117">
        <f>AVERAGE(DDB39:DDM39)</f>
        <v>7.6933333333333325</v>
      </c>
      <c r="DDO39" s="117" t="str">
        <f>IF(DDN39&lt;5,"SI","NO")</f>
        <v>NO</v>
      </c>
      <c r="DDP39" s="117" t="str">
        <f>IF(DDN39&lt;5,"Sin Riesgo",IF(DDN39 &lt;=14,"Bajo",IF(DDN39&lt;=35,"Medio",IF(DDN39&lt;=80,"Alto","Inviable Sanitariamente"))))</f>
        <v>Bajo</v>
      </c>
      <c r="DDQ39" s="117">
        <v>0</v>
      </c>
      <c r="DDU39" s="117">
        <v>0</v>
      </c>
      <c r="DDW39" s="117">
        <v>23.08</v>
      </c>
      <c r="DEC39" s="117">
        <f>AVERAGE(DDQ39:DEB39)</f>
        <v>7.6933333333333325</v>
      </c>
      <c r="DED39" s="117" t="str">
        <f>IF(DEC39&lt;5,"SI","NO")</f>
        <v>NO</v>
      </c>
      <c r="DEE39" s="117" t="str">
        <f>IF(DEC39&lt;5,"Sin Riesgo",IF(DEC39 &lt;=14,"Bajo",IF(DEC39&lt;=35,"Medio",IF(DEC39&lt;=80,"Alto","Inviable Sanitariamente"))))</f>
        <v>Bajo</v>
      </c>
      <c r="DEF39" s="117">
        <v>0</v>
      </c>
      <c r="DEJ39" s="117">
        <v>0</v>
      </c>
      <c r="DEL39" s="117">
        <v>23.08</v>
      </c>
      <c r="DER39" s="117">
        <f>AVERAGE(DEF39:DEQ39)</f>
        <v>7.6933333333333325</v>
      </c>
      <c r="DES39" s="117" t="str">
        <f>IF(DER39&lt;5,"SI","NO")</f>
        <v>NO</v>
      </c>
      <c r="DET39" s="117" t="str">
        <f>IF(DER39&lt;5,"Sin Riesgo",IF(DER39 &lt;=14,"Bajo",IF(DER39&lt;=35,"Medio",IF(DER39&lt;=80,"Alto","Inviable Sanitariamente"))))</f>
        <v>Bajo</v>
      </c>
      <c r="DEU39" s="117">
        <v>0</v>
      </c>
      <c r="DEY39" s="117">
        <v>0</v>
      </c>
      <c r="DFA39" s="117">
        <v>23.08</v>
      </c>
      <c r="DFG39" s="117">
        <f>AVERAGE(DEU39:DFF39)</f>
        <v>7.6933333333333325</v>
      </c>
      <c r="DFH39" s="117" t="str">
        <f>IF(DFG39&lt;5,"SI","NO")</f>
        <v>NO</v>
      </c>
      <c r="DFI39" s="117" t="str">
        <f>IF(DFG39&lt;5,"Sin Riesgo",IF(DFG39 &lt;=14,"Bajo",IF(DFG39&lt;=35,"Medio",IF(DFG39&lt;=80,"Alto","Inviable Sanitariamente"))))</f>
        <v>Bajo</v>
      </c>
      <c r="DFJ39" s="117">
        <v>0</v>
      </c>
      <c r="DFN39" s="117">
        <v>0</v>
      </c>
      <c r="DFP39" s="117">
        <v>23.08</v>
      </c>
      <c r="DFV39" s="117">
        <f>AVERAGE(DFJ39:DFU39)</f>
        <v>7.6933333333333325</v>
      </c>
      <c r="DFW39" s="117" t="str">
        <f>IF(DFV39&lt;5,"SI","NO")</f>
        <v>NO</v>
      </c>
      <c r="DFX39" s="117" t="str">
        <f>IF(DFV39&lt;5,"Sin Riesgo",IF(DFV39 &lt;=14,"Bajo",IF(DFV39&lt;=35,"Medio",IF(DFV39&lt;=80,"Alto","Inviable Sanitariamente"))))</f>
        <v>Bajo</v>
      </c>
      <c r="DFY39" s="117">
        <v>0</v>
      </c>
      <c r="DGC39" s="117">
        <v>0</v>
      </c>
      <c r="DGE39" s="117">
        <v>23.08</v>
      </c>
      <c r="DGK39" s="117">
        <f>AVERAGE(DFY39:DGJ39)</f>
        <v>7.6933333333333325</v>
      </c>
      <c r="DGL39" s="117" t="str">
        <f>IF(DGK39&lt;5,"SI","NO")</f>
        <v>NO</v>
      </c>
      <c r="DGM39" s="117" t="str">
        <f>IF(DGK39&lt;5,"Sin Riesgo",IF(DGK39 &lt;=14,"Bajo",IF(DGK39&lt;=35,"Medio",IF(DGK39&lt;=80,"Alto","Inviable Sanitariamente"))))</f>
        <v>Bajo</v>
      </c>
      <c r="DGN39" s="117">
        <v>0</v>
      </c>
      <c r="DGR39" s="117">
        <v>0</v>
      </c>
      <c r="DGT39" s="117">
        <v>23.08</v>
      </c>
      <c r="DGZ39" s="117">
        <f>AVERAGE(DGN39:DGY39)</f>
        <v>7.6933333333333325</v>
      </c>
      <c r="DHA39" s="117" t="str">
        <f>IF(DGZ39&lt;5,"SI","NO")</f>
        <v>NO</v>
      </c>
      <c r="DHB39" s="117" t="str">
        <f>IF(DGZ39&lt;5,"Sin Riesgo",IF(DGZ39 &lt;=14,"Bajo",IF(DGZ39&lt;=35,"Medio",IF(DGZ39&lt;=80,"Alto","Inviable Sanitariamente"))))</f>
        <v>Bajo</v>
      </c>
      <c r="DHC39" s="117">
        <v>0</v>
      </c>
      <c r="DHG39" s="117">
        <v>0</v>
      </c>
      <c r="DHI39" s="117">
        <v>23.08</v>
      </c>
      <c r="DHO39" s="117">
        <f>AVERAGE(DHC39:DHN39)</f>
        <v>7.6933333333333325</v>
      </c>
      <c r="DHP39" s="117" t="str">
        <f>IF(DHO39&lt;5,"SI","NO")</f>
        <v>NO</v>
      </c>
      <c r="DHQ39" s="117" t="str">
        <f>IF(DHO39&lt;5,"Sin Riesgo",IF(DHO39 &lt;=14,"Bajo",IF(DHO39&lt;=35,"Medio",IF(DHO39&lt;=80,"Alto","Inviable Sanitariamente"))))</f>
        <v>Bajo</v>
      </c>
      <c r="DHR39" s="117">
        <v>0</v>
      </c>
      <c r="DHV39" s="117">
        <v>0</v>
      </c>
      <c r="DHX39" s="117">
        <v>23.08</v>
      </c>
      <c r="DID39" s="117">
        <f>AVERAGE(DHR39:DIC39)</f>
        <v>7.6933333333333325</v>
      </c>
      <c r="DIE39" s="117" t="str">
        <f>IF(DID39&lt;5,"SI","NO")</f>
        <v>NO</v>
      </c>
      <c r="DIF39" s="117" t="str">
        <f>IF(DID39&lt;5,"Sin Riesgo",IF(DID39 &lt;=14,"Bajo",IF(DID39&lt;=35,"Medio",IF(DID39&lt;=80,"Alto","Inviable Sanitariamente"))))</f>
        <v>Bajo</v>
      </c>
      <c r="DIG39" s="117">
        <v>0</v>
      </c>
      <c r="DIK39" s="117">
        <v>0</v>
      </c>
      <c r="DIM39" s="117">
        <v>23.08</v>
      </c>
      <c r="DIS39" s="117">
        <f>AVERAGE(DIG39:DIR39)</f>
        <v>7.6933333333333325</v>
      </c>
      <c r="DIT39" s="117" t="str">
        <f>IF(DIS39&lt;5,"SI","NO")</f>
        <v>NO</v>
      </c>
      <c r="DIU39" s="117" t="str">
        <f>IF(DIS39&lt;5,"Sin Riesgo",IF(DIS39 &lt;=14,"Bajo",IF(DIS39&lt;=35,"Medio",IF(DIS39&lt;=80,"Alto","Inviable Sanitariamente"))))</f>
        <v>Bajo</v>
      </c>
      <c r="DIV39" s="117">
        <v>0</v>
      </c>
      <c r="DIZ39" s="117">
        <v>0</v>
      </c>
      <c r="DJB39" s="117">
        <v>23.08</v>
      </c>
      <c r="DJH39" s="117">
        <f>AVERAGE(DIV39:DJG39)</f>
        <v>7.6933333333333325</v>
      </c>
      <c r="DJI39" s="117" t="str">
        <f>IF(DJH39&lt;5,"SI","NO")</f>
        <v>NO</v>
      </c>
      <c r="DJJ39" s="117" t="str">
        <f>IF(DJH39&lt;5,"Sin Riesgo",IF(DJH39 &lt;=14,"Bajo",IF(DJH39&lt;=35,"Medio",IF(DJH39&lt;=80,"Alto","Inviable Sanitariamente"))))</f>
        <v>Bajo</v>
      </c>
      <c r="DJK39" s="117">
        <v>0</v>
      </c>
      <c r="DJO39" s="117">
        <v>0</v>
      </c>
      <c r="DJQ39" s="117">
        <v>23.08</v>
      </c>
      <c r="DJW39" s="117">
        <f>AVERAGE(DJK39:DJV39)</f>
        <v>7.6933333333333325</v>
      </c>
      <c r="DJX39" s="117" t="str">
        <f>IF(DJW39&lt;5,"SI","NO")</f>
        <v>NO</v>
      </c>
      <c r="DJY39" s="117" t="str">
        <f>IF(DJW39&lt;5,"Sin Riesgo",IF(DJW39 &lt;=14,"Bajo",IF(DJW39&lt;=35,"Medio",IF(DJW39&lt;=80,"Alto","Inviable Sanitariamente"))))</f>
        <v>Bajo</v>
      </c>
      <c r="DJZ39" s="117">
        <v>0</v>
      </c>
      <c r="DKD39" s="117">
        <v>0</v>
      </c>
      <c r="DKF39" s="117">
        <v>23.08</v>
      </c>
      <c r="DKL39" s="117">
        <f>AVERAGE(DJZ39:DKK39)</f>
        <v>7.6933333333333325</v>
      </c>
      <c r="DKM39" s="117" t="str">
        <f>IF(DKL39&lt;5,"SI","NO")</f>
        <v>NO</v>
      </c>
      <c r="DKN39" s="117" t="str">
        <f>IF(DKL39&lt;5,"Sin Riesgo",IF(DKL39 &lt;=14,"Bajo",IF(DKL39&lt;=35,"Medio",IF(DKL39&lt;=80,"Alto","Inviable Sanitariamente"))))</f>
        <v>Bajo</v>
      </c>
      <c r="DKO39" s="117">
        <v>0</v>
      </c>
      <c r="DKS39" s="117">
        <v>0</v>
      </c>
      <c r="DKU39" s="117">
        <v>23.08</v>
      </c>
      <c r="DLA39" s="117">
        <f>AVERAGE(DKO39:DKZ39)</f>
        <v>7.6933333333333325</v>
      </c>
      <c r="DLB39" s="117" t="str">
        <f>IF(DLA39&lt;5,"SI","NO")</f>
        <v>NO</v>
      </c>
      <c r="DLC39" s="117" t="str">
        <f>IF(DLA39&lt;5,"Sin Riesgo",IF(DLA39 &lt;=14,"Bajo",IF(DLA39&lt;=35,"Medio",IF(DLA39&lt;=80,"Alto","Inviable Sanitariamente"))))</f>
        <v>Bajo</v>
      </c>
      <c r="DLD39" s="117">
        <v>0</v>
      </c>
      <c r="DLH39" s="117">
        <v>0</v>
      </c>
      <c r="DLJ39" s="117">
        <v>23.08</v>
      </c>
      <c r="DLP39" s="117">
        <f>AVERAGE(DLD39:DLO39)</f>
        <v>7.6933333333333325</v>
      </c>
      <c r="DLQ39" s="117" t="str">
        <f>IF(DLP39&lt;5,"SI","NO")</f>
        <v>NO</v>
      </c>
      <c r="DLR39" s="117" t="str">
        <f>IF(DLP39&lt;5,"Sin Riesgo",IF(DLP39 &lt;=14,"Bajo",IF(DLP39&lt;=35,"Medio",IF(DLP39&lt;=80,"Alto","Inviable Sanitariamente"))))</f>
        <v>Bajo</v>
      </c>
      <c r="DLS39" s="117">
        <v>0</v>
      </c>
      <c r="DLW39" s="117">
        <v>0</v>
      </c>
      <c r="DLY39" s="117">
        <v>23.08</v>
      </c>
      <c r="DME39" s="117">
        <f>AVERAGE(DLS39:DMD39)</f>
        <v>7.6933333333333325</v>
      </c>
      <c r="DMF39" s="117" t="str">
        <f>IF(DME39&lt;5,"SI","NO")</f>
        <v>NO</v>
      </c>
      <c r="DMG39" s="117" t="str">
        <f>IF(DME39&lt;5,"Sin Riesgo",IF(DME39 &lt;=14,"Bajo",IF(DME39&lt;=35,"Medio",IF(DME39&lt;=80,"Alto","Inviable Sanitariamente"))))</f>
        <v>Bajo</v>
      </c>
      <c r="DMH39" s="117">
        <v>0</v>
      </c>
      <c r="DML39" s="117">
        <v>0</v>
      </c>
      <c r="DMN39" s="117">
        <v>23.08</v>
      </c>
      <c r="DMT39" s="117">
        <f>AVERAGE(DMH39:DMS39)</f>
        <v>7.6933333333333325</v>
      </c>
      <c r="DMU39" s="117" t="str">
        <f>IF(DMT39&lt;5,"SI","NO")</f>
        <v>NO</v>
      </c>
      <c r="DMV39" s="117" t="str">
        <f>IF(DMT39&lt;5,"Sin Riesgo",IF(DMT39 &lt;=14,"Bajo",IF(DMT39&lt;=35,"Medio",IF(DMT39&lt;=80,"Alto","Inviable Sanitariamente"))))</f>
        <v>Bajo</v>
      </c>
      <c r="DMW39" s="117">
        <v>0</v>
      </c>
      <c r="DNA39" s="117">
        <v>0</v>
      </c>
      <c r="DNC39" s="117">
        <v>23.08</v>
      </c>
      <c r="DNI39" s="117">
        <f>AVERAGE(DMW39:DNH39)</f>
        <v>7.6933333333333325</v>
      </c>
      <c r="DNJ39" s="117" t="str">
        <f>IF(DNI39&lt;5,"SI","NO")</f>
        <v>NO</v>
      </c>
      <c r="DNK39" s="117" t="str">
        <f>IF(DNI39&lt;5,"Sin Riesgo",IF(DNI39 &lt;=14,"Bajo",IF(DNI39&lt;=35,"Medio",IF(DNI39&lt;=80,"Alto","Inviable Sanitariamente"))))</f>
        <v>Bajo</v>
      </c>
      <c r="DNL39" s="117">
        <v>0</v>
      </c>
      <c r="DNP39" s="117">
        <v>0</v>
      </c>
      <c r="DNR39" s="117">
        <v>23.08</v>
      </c>
      <c r="DNX39" s="117">
        <f>AVERAGE(DNL39:DNW39)</f>
        <v>7.6933333333333325</v>
      </c>
      <c r="DNY39" s="117" t="str">
        <f>IF(DNX39&lt;5,"SI","NO")</f>
        <v>NO</v>
      </c>
      <c r="DNZ39" s="117" t="str">
        <f>IF(DNX39&lt;5,"Sin Riesgo",IF(DNX39 &lt;=14,"Bajo",IF(DNX39&lt;=35,"Medio",IF(DNX39&lt;=80,"Alto","Inviable Sanitariamente"))))</f>
        <v>Bajo</v>
      </c>
      <c r="DOA39" s="117">
        <v>0</v>
      </c>
      <c r="DOE39" s="117">
        <v>0</v>
      </c>
      <c r="DOG39" s="117">
        <v>23.08</v>
      </c>
      <c r="DOM39" s="117">
        <f>AVERAGE(DOA39:DOL39)</f>
        <v>7.6933333333333325</v>
      </c>
      <c r="DON39" s="117" t="str">
        <f>IF(DOM39&lt;5,"SI","NO")</f>
        <v>NO</v>
      </c>
      <c r="DOO39" s="117" t="str">
        <f>IF(DOM39&lt;5,"Sin Riesgo",IF(DOM39 &lt;=14,"Bajo",IF(DOM39&lt;=35,"Medio",IF(DOM39&lt;=80,"Alto","Inviable Sanitariamente"))))</f>
        <v>Bajo</v>
      </c>
      <c r="DOP39" s="117">
        <v>0</v>
      </c>
      <c r="DOT39" s="117">
        <v>0</v>
      </c>
      <c r="DOV39" s="117">
        <v>23.08</v>
      </c>
      <c r="DPB39" s="117">
        <f>AVERAGE(DOP39:DPA39)</f>
        <v>7.6933333333333325</v>
      </c>
      <c r="DPC39" s="117" t="str">
        <f>IF(DPB39&lt;5,"SI","NO")</f>
        <v>NO</v>
      </c>
      <c r="DPD39" s="117" t="str">
        <f>IF(DPB39&lt;5,"Sin Riesgo",IF(DPB39 &lt;=14,"Bajo",IF(DPB39&lt;=35,"Medio",IF(DPB39&lt;=80,"Alto","Inviable Sanitariamente"))))</f>
        <v>Bajo</v>
      </c>
      <c r="DPE39" s="117">
        <v>0</v>
      </c>
      <c r="DPI39" s="117">
        <v>0</v>
      </c>
      <c r="DPK39" s="117">
        <v>23.08</v>
      </c>
      <c r="DPQ39" s="117">
        <f>AVERAGE(DPE39:DPP39)</f>
        <v>7.6933333333333325</v>
      </c>
      <c r="DPR39" s="117" t="str">
        <f>IF(DPQ39&lt;5,"SI","NO")</f>
        <v>NO</v>
      </c>
      <c r="DPS39" s="117" t="str">
        <f>IF(DPQ39&lt;5,"Sin Riesgo",IF(DPQ39 &lt;=14,"Bajo",IF(DPQ39&lt;=35,"Medio",IF(DPQ39&lt;=80,"Alto","Inviable Sanitariamente"))))</f>
        <v>Bajo</v>
      </c>
      <c r="DPT39" s="117">
        <v>0</v>
      </c>
      <c r="DPX39" s="117">
        <v>0</v>
      </c>
      <c r="DPZ39" s="117">
        <v>23.08</v>
      </c>
      <c r="DQF39" s="117">
        <f>AVERAGE(DPT39:DQE39)</f>
        <v>7.6933333333333325</v>
      </c>
      <c r="DQG39" s="117" t="str">
        <f>IF(DQF39&lt;5,"SI","NO")</f>
        <v>NO</v>
      </c>
      <c r="DQH39" s="117" t="str">
        <f>IF(DQF39&lt;5,"Sin Riesgo",IF(DQF39 &lt;=14,"Bajo",IF(DQF39&lt;=35,"Medio",IF(DQF39&lt;=80,"Alto","Inviable Sanitariamente"))))</f>
        <v>Bajo</v>
      </c>
      <c r="DQI39" s="117">
        <v>0</v>
      </c>
      <c r="DQM39" s="117">
        <v>0</v>
      </c>
      <c r="DQO39" s="117">
        <v>23.08</v>
      </c>
      <c r="DQU39" s="117">
        <f>AVERAGE(DQI39:DQT39)</f>
        <v>7.6933333333333325</v>
      </c>
      <c r="DQV39" s="117" t="str">
        <f>IF(DQU39&lt;5,"SI","NO")</f>
        <v>NO</v>
      </c>
      <c r="DQW39" s="117" t="str">
        <f>IF(DQU39&lt;5,"Sin Riesgo",IF(DQU39 &lt;=14,"Bajo",IF(DQU39&lt;=35,"Medio",IF(DQU39&lt;=80,"Alto","Inviable Sanitariamente"))))</f>
        <v>Bajo</v>
      </c>
      <c r="DQX39" s="117">
        <v>0</v>
      </c>
      <c r="DRB39" s="117">
        <v>0</v>
      </c>
      <c r="DRD39" s="117">
        <v>23.08</v>
      </c>
      <c r="DRJ39" s="117">
        <f>AVERAGE(DQX39:DRI39)</f>
        <v>7.6933333333333325</v>
      </c>
      <c r="DRK39" s="117" t="str">
        <f>IF(DRJ39&lt;5,"SI","NO")</f>
        <v>NO</v>
      </c>
      <c r="DRL39" s="117" t="str">
        <f>IF(DRJ39&lt;5,"Sin Riesgo",IF(DRJ39 &lt;=14,"Bajo",IF(DRJ39&lt;=35,"Medio",IF(DRJ39&lt;=80,"Alto","Inviable Sanitariamente"))))</f>
        <v>Bajo</v>
      </c>
      <c r="DRM39" s="117">
        <v>0</v>
      </c>
      <c r="DRQ39" s="117">
        <v>0</v>
      </c>
      <c r="DRS39" s="117">
        <v>23.08</v>
      </c>
      <c r="DRY39" s="117">
        <f>AVERAGE(DRM39:DRX39)</f>
        <v>7.6933333333333325</v>
      </c>
      <c r="DRZ39" s="117" t="str">
        <f>IF(DRY39&lt;5,"SI","NO")</f>
        <v>NO</v>
      </c>
      <c r="DSA39" s="117" t="str">
        <f>IF(DRY39&lt;5,"Sin Riesgo",IF(DRY39 &lt;=14,"Bajo",IF(DRY39&lt;=35,"Medio",IF(DRY39&lt;=80,"Alto","Inviable Sanitariamente"))))</f>
        <v>Bajo</v>
      </c>
      <c r="DSB39" s="117">
        <v>0</v>
      </c>
      <c r="DSF39" s="117">
        <v>0</v>
      </c>
      <c r="DSH39" s="117">
        <v>23.08</v>
      </c>
      <c r="DSN39" s="117">
        <f>AVERAGE(DSB39:DSM39)</f>
        <v>7.6933333333333325</v>
      </c>
      <c r="DSO39" s="117" t="str">
        <f>IF(DSN39&lt;5,"SI","NO")</f>
        <v>NO</v>
      </c>
      <c r="DSP39" s="117" t="str">
        <f>IF(DSN39&lt;5,"Sin Riesgo",IF(DSN39 &lt;=14,"Bajo",IF(DSN39&lt;=35,"Medio",IF(DSN39&lt;=80,"Alto","Inviable Sanitariamente"))))</f>
        <v>Bajo</v>
      </c>
      <c r="DSQ39" s="117">
        <v>0</v>
      </c>
      <c r="DSU39" s="117">
        <v>0</v>
      </c>
      <c r="DSW39" s="117">
        <v>23.08</v>
      </c>
      <c r="DTC39" s="117">
        <f>AVERAGE(DSQ39:DTB39)</f>
        <v>7.6933333333333325</v>
      </c>
      <c r="DTD39" s="117" t="str">
        <f>IF(DTC39&lt;5,"SI","NO")</f>
        <v>NO</v>
      </c>
      <c r="DTE39" s="117" t="str">
        <f>IF(DTC39&lt;5,"Sin Riesgo",IF(DTC39 &lt;=14,"Bajo",IF(DTC39&lt;=35,"Medio",IF(DTC39&lt;=80,"Alto","Inviable Sanitariamente"))))</f>
        <v>Bajo</v>
      </c>
      <c r="DTF39" s="117">
        <v>0</v>
      </c>
      <c r="DTJ39" s="117">
        <v>0</v>
      </c>
      <c r="DTL39" s="117">
        <v>23.08</v>
      </c>
      <c r="DTR39" s="117">
        <f>AVERAGE(DTF39:DTQ39)</f>
        <v>7.6933333333333325</v>
      </c>
      <c r="DTS39" s="117" t="str">
        <f>IF(DTR39&lt;5,"SI","NO")</f>
        <v>NO</v>
      </c>
      <c r="DTT39" s="117" t="str">
        <f>IF(DTR39&lt;5,"Sin Riesgo",IF(DTR39 &lt;=14,"Bajo",IF(DTR39&lt;=35,"Medio",IF(DTR39&lt;=80,"Alto","Inviable Sanitariamente"))))</f>
        <v>Bajo</v>
      </c>
      <c r="DTU39" s="117">
        <v>0</v>
      </c>
      <c r="DTY39" s="117">
        <v>0</v>
      </c>
      <c r="DUA39" s="117">
        <v>23.08</v>
      </c>
      <c r="DUG39" s="117">
        <f>AVERAGE(DTU39:DUF39)</f>
        <v>7.6933333333333325</v>
      </c>
      <c r="DUH39" s="117" t="str">
        <f>IF(DUG39&lt;5,"SI","NO")</f>
        <v>NO</v>
      </c>
      <c r="DUI39" s="117" t="str">
        <f>IF(DUG39&lt;5,"Sin Riesgo",IF(DUG39 &lt;=14,"Bajo",IF(DUG39&lt;=35,"Medio",IF(DUG39&lt;=80,"Alto","Inviable Sanitariamente"))))</f>
        <v>Bajo</v>
      </c>
      <c r="DUJ39" s="117">
        <v>0</v>
      </c>
      <c r="DUN39" s="117">
        <v>0</v>
      </c>
      <c r="DUP39" s="117">
        <v>23.08</v>
      </c>
      <c r="DUV39" s="117">
        <f>AVERAGE(DUJ39:DUU39)</f>
        <v>7.6933333333333325</v>
      </c>
      <c r="DUW39" s="117" t="str">
        <f>IF(DUV39&lt;5,"SI","NO")</f>
        <v>NO</v>
      </c>
      <c r="DUX39" s="117" t="str">
        <f>IF(DUV39&lt;5,"Sin Riesgo",IF(DUV39 &lt;=14,"Bajo",IF(DUV39&lt;=35,"Medio",IF(DUV39&lt;=80,"Alto","Inviable Sanitariamente"))))</f>
        <v>Bajo</v>
      </c>
      <c r="DUY39" s="117">
        <v>0</v>
      </c>
      <c r="DVC39" s="117">
        <v>0</v>
      </c>
      <c r="DVE39" s="117">
        <v>23.08</v>
      </c>
      <c r="DVK39" s="117">
        <f>AVERAGE(DUY39:DVJ39)</f>
        <v>7.6933333333333325</v>
      </c>
      <c r="DVL39" s="117" t="str">
        <f>IF(DVK39&lt;5,"SI","NO")</f>
        <v>NO</v>
      </c>
      <c r="DVM39" s="117" t="str">
        <f>IF(DVK39&lt;5,"Sin Riesgo",IF(DVK39 &lt;=14,"Bajo",IF(DVK39&lt;=35,"Medio",IF(DVK39&lt;=80,"Alto","Inviable Sanitariamente"))))</f>
        <v>Bajo</v>
      </c>
      <c r="DVN39" s="117">
        <v>0</v>
      </c>
      <c r="DVR39" s="117">
        <v>0</v>
      </c>
      <c r="DVT39" s="117">
        <v>23.08</v>
      </c>
      <c r="DVZ39" s="117">
        <f>AVERAGE(DVN39:DVY39)</f>
        <v>7.6933333333333325</v>
      </c>
      <c r="DWA39" s="117" t="str">
        <f>IF(DVZ39&lt;5,"SI","NO")</f>
        <v>NO</v>
      </c>
      <c r="DWB39" s="117" t="str">
        <f>IF(DVZ39&lt;5,"Sin Riesgo",IF(DVZ39 &lt;=14,"Bajo",IF(DVZ39&lt;=35,"Medio",IF(DVZ39&lt;=80,"Alto","Inviable Sanitariamente"))))</f>
        <v>Bajo</v>
      </c>
      <c r="DWC39" s="117">
        <v>0</v>
      </c>
      <c r="DWG39" s="117">
        <v>0</v>
      </c>
      <c r="DWI39" s="117">
        <v>23.08</v>
      </c>
      <c r="DWO39" s="117">
        <f>AVERAGE(DWC39:DWN39)</f>
        <v>7.6933333333333325</v>
      </c>
      <c r="DWP39" s="117" t="str">
        <f>IF(DWO39&lt;5,"SI","NO")</f>
        <v>NO</v>
      </c>
      <c r="DWQ39" s="117" t="str">
        <f>IF(DWO39&lt;5,"Sin Riesgo",IF(DWO39 &lt;=14,"Bajo",IF(DWO39&lt;=35,"Medio",IF(DWO39&lt;=80,"Alto","Inviable Sanitariamente"))))</f>
        <v>Bajo</v>
      </c>
      <c r="DWR39" s="117">
        <v>0</v>
      </c>
      <c r="DWV39" s="117">
        <v>0</v>
      </c>
      <c r="DWX39" s="117">
        <v>23.08</v>
      </c>
      <c r="DXD39" s="117">
        <f>AVERAGE(DWR39:DXC39)</f>
        <v>7.6933333333333325</v>
      </c>
      <c r="DXE39" s="117" t="str">
        <f>IF(DXD39&lt;5,"SI","NO")</f>
        <v>NO</v>
      </c>
      <c r="DXF39" s="117" t="str">
        <f>IF(DXD39&lt;5,"Sin Riesgo",IF(DXD39 &lt;=14,"Bajo",IF(DXD39&lt;=35,"Medio",IF(DXD39&lt;=80,"Alto","Inviable Sanitariamente"))))</f>
        <v>Bajo</v>
      </c>
      <c r="DXG39" s="117">
        <v>0</v>
      </c>
      <c r="DXK39" s="117">
        <v>0</v>
      </c>
      <c r="DXM39" s="117">
        <v>23.08</v>
      </c>
      <c r="DXS39" s="117">
        <f>AVERAGE(DXG39:DXR39)</f>
        <v>7.6933333333333325</v>
      </c>
      <c r="DXT39" s="117" t="str">
        <f>IF(DXS39&lt;5,"SI","NO")</f>
        <v>NO</v>
      </c>
      <c r="DXU39" s="117" t="str">
        <f>IF(DXS39&lt;5,"Sin Riesgo",IF(DXS39 &lt;=14,"Bajo",IF(DXS39&lt;=35,"Medio",IF(DXS39&lt;=80,"Alto","Inviable Sanitariamente"))))</f>
        <v>Bajo</v>
      </c>
      <c r="DXV39" s="117">
        <v>0</v>
      </c>
      <c r="DXZ39" s="117">
        <v>0</v>
      </c>
      <c r="DYB39" s="117">
        <v>23.08</v>
      </c>
      <c r="DYH39" s="117">
        <f>AVERAGE(DXV39:DYG39)</f>
        <v>7.6933333333333325</v>
      </c>
      <c r="DYI39" s="117" t="str">
        <f>IF(DYH39&lt;5,"SI","NO")</f>
        <v>NO</v>
      </c>
      <c r="DYJ39" s="117" t="str">
        <f>IF(DYH39&lt;5,"Sin Riesgo",IF(DYH39 &lt;=14,"Bajo",IF(DYH39&lt;=35,"Medio",IF(DYH39&lt;=80,"Alto","Inviable Sanitariamente"))))</f>
        <v>Bajo</v>
      </c>
      <c r="DYK39" s="117">
        <v>0</v>
      </c>
      <c r="DYO39" s="117">
        <v>0</v>
      </c>
      <c r="DYQ39" s="117">
        <v>23.08</v>
      </c>
      <c r="DYW39" s="117">
        <f>AVERAGE(DYK39:DYV39)</f>
        <v>7.6933333333333325</v>
      </c>
      <c r="DYX39" s="117" t="str">
        <f>IF(DYW39&lt;5,"SI","NO")</f>
        <v>NO</v>
      </c>
      <c r="DYY39" s="117" t="str">
        <f>IF(DYW39&lt;5,"Sin Riesgo",IF(DYW39 &lt;=14,"Bajo",IF(DYW39&lt;=35,"Medio",IF(DYW39&lt;=80,"Alto","Inviable Sanitariamente"))))</f>
        <v>Bajo</v>
      </c>
      <c r="DYZ39" s="117">
        <v>0</v>
      </c>
      <c r="DZD39" s="117">
        <v>0</v>
      </c>
      <c r="DZF39" s="117">
        <v>23.08</v>
      </c>
      <c r="DZL39" s="117">
        <f>AVERAGE(DYZ39:DZK39)</f>
        <v>7.6933333333333325</v>
      </c>
      <c r="DZM39" s="117" t="str">
        <f>IF(DZL39&lt;5,"SI","NO")</f>
        <v>NO</v>
      </c>
      <c r="DZN39" s="117" t="str">
        <f>IF(DZL39&lt;5,"Sin Riesgo",IF(DZL39 &lt;=14,"Bajo",IF(DZL39&lt;=35,"Medio",IF(DZL39&lt;=80,"Alto","Inviable Sanitariamente"))))</f>
        <v>Bajo</v>
      </c>
      <c r="DZO39" s="117">
        <v>0</v>
      </c>
      <c r="DZS39" s="117">
        <v>0</v>
      </c>
      <c r="DZU39" s="117">
        <v>23.08</v>
      </c>
      <c r="EAA39" s="117">
        <f>AVERAGE(DZO39:DZZ39)</f>
        <v>7.6933333333333325</v>
      </c>
      <c r="EAB39" s="117" t="str">
        <f>IF(EAA39&lt;5,"SI","NO")</f>
        <v>NO</v>
      </c>
      <c r="EAC39" s="117" t="str">
        <f>IF(EAA39&lt;5,"Sin Riesgo",IF(EAA39 &lt;=14,"Bajo",IF(EAA39&lt;=35,"Medio",IF(EAA39&lt;=80,"Alto","Inviable Sanitariamente"))))</f>
        <v>Bajo</v>
      </c>
      <c r="EAD39" s="117">
        <v>0</v>
      </c>
      <c r="EAH39" s="117">
        <v>0</v>
      </c>
      <c r="EAJ39" s="117">
        <v>23.08</v>
      </c>
      <c r="EAP39" s="117">
        <f>AVERAGE(EAD39:EAO39)</f>
        <v>7.6933333333333325</v>
      </c>
      <c r="EAQ39" s="117" t="str">
        <f>IF(EAP39&lt;5,"SI","NO")</f>
        <v>NO</v>
      </c>
      <c r="EAR39" s="117" t="str">
        <f>IF(EAP39&lt;5,"Sin Riesgo",IF(EAP39 &lt;=14,"Bajo",IF(EAP39&lt;=35,"Medio",IF(EAP39&lt;=80,"Alto","Inviable Sanitariamente"))))</f>
        <v>Bajo</v>
      </c>
      <c r="EAS39" s="117">
        <v>0</v>
      </c>
      <c r="EAW39" s="117">
        <v>0</v>
      </c>
      <c r="EAY39" s="117">
        <v>23.08</v>
      </c>
      <c r="EBE39" s="117">
        <f>AVERAGE(EAS39:EBD39)</f>
        <v>7.6933333333333325</v>
      </c>
      <c r="EBF39" s="117" t="str">
        <f>IF(EBE39&lt;5,"SI","NO")</f>
        <v>NO</v>
      </c>
      <c r="EBG39" s="117" t="str">
        <f>IF(EBE39&lt;5,"Sin Riesgo",IF(EBE39 &lt;=14,"Bajo",IF(EBE39&lt;=35,"Medio",IF(EBE39&lt;=80,"Alto","Inviable Sanitariamente"))))</f>
        <v>Bajo</v>
      </c>
      <c r="EBH39" s="117">
        <v>0</v>
      </c>
      <c r="EBL39" s="117">
        <v>0</v>
      </c>
      <c r="EBN39" s="117">
        <v>23.08</v>
      </c>
      <c r="EBT39" s="117">
        <f>AVERAGE(EBH39:EBS39)</f>
        <v>7.6933333333333325</v>
      </c>
      <c r="EBU39" s="117" t="str">
        <f>IF(EBT39&lt;5,"SI","NO")</f>
        <v>NO</v>
      </c>
      <c r="EBV39" s="117" t="str">
        <f>IF(EBT39&lt;5,"Sin Riesgo",IF(EBT39 &lt;=14,"Bajo",IF(EBT39&lt;=35,"Medio",IF(EBT39&lt;=80,"Alto","Inviable Sanitariamente"))))</f>
        <v>Bajo</v>
      </c>
      <c r="EBW39" s="117">
        <v>0</v>
      </c>
      <c r="ECA39" s="117">
        <v>0</v>
      </c>
      <c r="ECC39" s="117">
        <v>23.08</v>
      </c>
      <c r="ECI39" s="117">
        <f>AVERAGE(EBW39:ECH39)</f>
        <v>7.6933333333333325</v>
      </c>
      <c r="ECJ39" s="117" t="str">
        <f>IF(ECI39&lt;5,"SI","NO")</f>
        <v>NO</v>
      </c>
      <c r="ECK39" s="117" t="str">
        <f>IF(ECI39&lt;5,"Sin Riesgo",IF(ECI39 &lt;=14,"Bajo",IF(ECI39&lt;=35,"Medio",IF(ECI39&lt;=80,"Alto","Inviable Sanitariamente"))))</f>
        <v>Bajo</v>
      </c>
      <c r="ECL39" s="117">
        <v>0</v>
      </c>
      <c r="ECP39" s="117">
        <v>0</v>
      </c>
      <c r="ECR39" s="117">
        <v>23.08</v>
      </c>
      <c r="ECX39" s="117">
        <f>AVERAGE(ECL39:ECW39)</f>
        <v>7.6933333333333325</v>
      </c>
      <c r="ECY39" s="117" t="str">
        <f>IF(ECX39&lt;5,"SI","NO")</f>
        <v>NO</v>
      </c>
      <c r="ECZ39" s="117" t="str">
        <f>IF(ECX39&lt;5,"Sin Riesgo",IF(ECX39 &lt;=14,"Bajo",IF(ECX39&lt;=35,"Medio",IF(ECX39&lt;=80,"Alto","Inviable Sanitariamente"))))</f>
        <v>Bajo</v>
      </c>
      <c r="EDA39" s="117">
        <v>0</v>
      </c>
      <c r="EDE39" s="117">
        <v>0</v>
      </c>
      <c r="EDG39" s="117">
        <v>23.08</v>
      </c>
      <c r="EDM39" s="117">
        <f>AVERAGE(EDA39:EDL39)</f>
        <v>7.6933333333333325</v>
      </c>
      <c r="EDN39" s="117" t="str">
        <f>IF(EDM39&lt;5,"SI","NO")</f>
        <v>NO</v>
      </c>
      <c r="EDO39" s="117" t="str">
        <f>IF(EDM39&lt;5,"Sin Riesgo",IF(EDM39 &lt;=14,"Bajo",IF(EDM39&lt;=35,"Medio",IF(EDM39&lt;=80,"Alto","Inviable Sanitariamente"))))</f>
        <v>Bajo</v>
      </c>
      <c r="EDP39" s="117">
        <v>0</v>
      </c>
      <c r="EDT39" s="117">
        <v>0</v>
      </c>
      <c r="EDV39" s="117">
        <v>23.08</v>
      </c>
      <c r="EEB39" s="117">
        <f>AVERAGE(EDP39:EEA39)</f>
        <v>7.6933333333333325</v>
      </c>
      <c r="EEC39" s="117" t="str">
        <f>IF(EEB39&lt;5,"SI","NO")</f>
        <v>NO</v>
      </c>
      <c r="EED39" s="117" t="str">
        <f>IF(EEB39&lt;5,"Sin Riesgo",IF(EEB39 &lt;=14,"Bajo",IF(EEB39&lt;=35,"Medio",IF(EEB39&lt;=80,"Alto","Inviable Sanitariamente"))))</f>
        <v>Bajo</v>
      </c>
      <c r="EEE39" s="117">
        <v>0</v>
      </c>
      <c r="EEI39" s="117">
        <v>0</v>
      </c>
      <c r="EEK39" s="117">
        <v>23.08</v>
      </c>
      <c r="EEQ39" s="117">
        <f>AVERAGE(EEE39:EEP39)</f>
        <v>7.6933333333333325</v>
      </c>
      <c r="EER39" s="117" t="str">
        <f>IF(EEQ39&lt;5,"SI","NO")</f>
        <v>NO</v>
      </c>
      <c r="EES39" s="117" t="str">
        <f>IF(EEQ39&lt;5,"Sin Riesgo",IF(EEQ39 &lt;=14,"Bajo",IF(EEQ39&lt;=35,"Medio",IF(EEQ39&lt;=80,"Alto","Inviable Sanitariamente"))))</f>
        <v>Bajo</v>
      </c>
      <c r="EET39" s="117">
        <v>0</v>
      </c>
      <c r="EEX39" s="117">
        <v>0</v>
      </c>
      <c r="EEZ39" s="117">
        <v>23.08</v>
      </c>
      <c r="EFF39" s="117">
        <f>AVERAGE(EET39:EFE39)</f>
        <v>7.6933333333333325</v>
      </c>
      <c r="EFG39" s="117" t="str">
        <f>IF(EFF39&lt;5,"SI","NO")</f>
        <v>NO</v>
      </c>
      <c r="EFH39" s="117" t="str">
        <f>IF(EFF39&lt;5,"Sin Riesgo",IF(EFF39 &lt;=14,"Bajo",IF(EFF39&lt;=35,"Medio",IF(EFF39&lt;=80,"Alto","Inviable Sanitariamente"))))</f>
        <v>Bajo</v>
      </c>
      <c r="EFI39" s="117">
        <v>0</v>
      </c>
      <c r="EFM39" s="117">
        <v>0</v>
      </c>
      <c r="EFO39" s="117">
        <v>23.08</v>
      </c>
      <c r="EFU39" s="117">
        <f>AVERAGE(EFI39:EFT39)</f>
        <v>7.6933333333333325</v>
      </c>
      <c r="EFV39" s="117" t="str">
        <f>IF(EFU39&lt;5,"SI","NO")</f>
        <v>NO</v>
      </c>
      <c r="EFW39" s="117" t="str">
        <f>IF(EFU39&lt;5,"Sin Riesgo",IF(EFU39 &lt;=14,"Bajo",IF(EFU39&lt;=35,"Medio",IF(EFU39&lt;=80,"Alto","Inviable Sanitariamente"))))</f>
        <v>Bajo</v>
      </c>
      <c r="EFX39" s="117">
        <v>0</v>
      </c>
      <c r="EGB39" s="117">
        <v>0</v>
      </c>
      <c r="EGD39" s="117">
        <v>23.08</v>
      </c>
      <c r="EGJ39" s="117">
        <f>AVERAGE(EFX39:EGI39)</f>
        <v>7.6933333333333325</v>
      </c>
      <c r="EGK39" s="117" t="str">
        <f>IF(EGJ39&lt;5,"SI","NO")</f>
        <v>NO</v>
      </c>
      <c r="EGL39" s="117" t="str">
        <f>IF(EGJ39&lt;5,"Sin Riesgo",IF(EGJ39 &lt;=14,"Bajo",IF(EGJ39&lt;=35,"Medio",IF(EGJ39&lt;=80,"Alto","Inviable Sanitariamente"))))</f>
        <v>Bajo</v>
      </c>
      <c r="EGM39" s="117">
        <v>0</v>
      </c>
      <c r="EGQ39" s="117">
        <v>0</v>
      </c>
      <c r="EGS39" s="117">
        <v>23.08</v>
      </c>
      <c r="EGY39" s="117">
        <f>AVERAGE(EGM39:EGX39)</f>
        <v>7.6933333333333325</v>
      </c>
      <c r="EGZ39" s="117" t="str">
        <f>IF(EGY39&lt;5,"SI","NO")</f>
        <v>NO</v>
      </c>
      <c r="EHA39" s="117" t="str">
        <f>IF(EGY39&lt;5,"Sin Riesgo",IF(EGY39 &lt;=14,"Bajo",IF(EGY39&lt;=35,"Medio",IF(EGY39&lt;=80,"Alto","Inviable Sanitariamente"))))</f>
        <v>Bajo</v>
      </c>
      <c r="EHB39" s="117">
        <v>0</v>
      </c>
      <c r="EHF39" s="117">
        <v>0</v>
      </c>
      <c r="EHH39" s="117">
        <v>23.08</v>
      </c>
      <c r="EHN39" s="117">
        <f>AVERAGE(EHB39:EHM39)</f>
        <v>7.6933333333333325</v>
      </c>
      <c r="EHO39" s="117" t="str">
        <f>IF(EHN39&lt;5,"SI","NO")</f>
        <v>NO</v>
      </c>
      <c r="EHP39" s="117" t="str">
        <f>IF(EHN39&lt;5,"Sin Riesgo",IF(EHN39 &lt;=14,"Bajo",IF(EHN39&lt;=35,"Medio",IF(EHN39&lt;=80,"Alto","Inviable Sanitariamente"))))</f>
        <v>Bajo</v>
      </c>
      <c r="EHQ39" s="117">
        <v>0</v>
      </c>
      <c r="EHU39" s="117">
        <v>0</v>
      </c>
      <c r="EHW39" s="117">
        <v>23.08</v>
      </c>
      <c r="EIC39" s="117">
        <f>AVERAGE(EHQ39:EIB39)</f>
        <v>7.6933333333333325</v>
      </c>
      <c r="EID39" s="117" t="str">
        <f>IF(EIC39&lt;5,"SI","NO")</f>
        <v>NO</v>
      </c>
      <c r="EIE39" s="117" t="str">
        <f>IF(EIC39&lt;5,"Sin Riesgo",IF(EIC39 &lt;=14,"Bajo",IF(EIC39&lt;=35,"Medio",IF(EIC39&lt;=80,"Alto","Inviable Sanitariamente"))))</f>
        <v>Bajo</v>
      </c>
      <c r="EIF39" s="117">
        <v>0</v>
      </c>
      <c r="EIJ39" s="117">
        <v>0</v>
      </c>
      <c r="EIL39" s="117">
        <v>23.08</v>
      </c>
      <c r="EIR39" s="117">
        <f>AVERAGE(EIF39:EIQ39)</f>
        <v>7.6933333333333325</v>
      </c>
      <c r="EIS39" s="117" t="str">
        <f>IF(EIR39&lt;5,"SI","NO")</f>
        <v>NO</v>
      </c>
      <c r="EIT39" s="117" t="str">
        <f>IF(EIR39&lt;5,"Sin Riesgo",IF(EIR39 &lt;=14,"Bajo",IF(EIR39&lt;=35,"Medio",IF(EIR39&lt;=80,"Alto","Inviable Sanitariamente"))))</f>
        <v>Bajo</v>
      </c>
      <c r="EIU39" s="117">
        <v>0</v>
      </c>
      <c r="EIY39" s="117">
        <v>0</v>
      </c>
      <c r="EJA39" s="117">
        <v>23.08</v>
      </c>
      <c r="EJG39" s="117">
        <f>AVERAGE(EIU39:EJF39)</f>
        <v>7.6933333333333325</v>
      </c>
      <c r="EJH39" s="117" t="str">
        <f>IF(EJG39&lt;5,"SI","NO")</f>
        <v>NO</v>
      </c>
      <c r="EJI39" s="117" t="str">
        <f>IF(EJG39&lt;5,"Sin Riesgo",IF(EJG39 &lt;=14,"Bajo",IF(EJG39&lt;=35,"Medio",IF(EJG39&lt;=80,"Alto","Inviable Sanitariamente"))))</f>
        <v>Bajo</v>
      </c>
      <c r="EJJ39" s="117">
        <v>0</v>
      </c>
      <c r="EJN39" s="117">
        <v>0</v>
      </c>
      <c r="EJP39" s="117">
        <v>23.08</v>
      </c>
      <c r="EJV39" s="117">
        <f>AVERAGE(EJJ39:EJU39)</f>
        <v>7.6933333333333325</v>
      </c>
      <c r="EJW39" s="117" t="str">
        <f>IF(EJV39&lt;5,"SI","NO")</f>
        <v>NO</v>
      </c>
      <c r="EJX39" s="117" t="str">
        <f>IF(EJV39&lt;5,"Sin Riesgo",IF(EJV39 &lt;=14,"Bajo",IF(EJV39&lt;=35,"Medio",IF(EJV39&lt;=80,"Alto","Inviable Sanitariamente"))))</f>
        <v>Bajo</v>
      </c>
      <c r="EJY39" s="117">
        <v>0</v>
      </c>
      <c r="EKC39" s="117">
        <v>0</v>
      </c>
      <c r="EKE39" s="117">
        <v>23.08</v>
      </c>
      <c r="EKK39" s="117">
        <f>AVERAGE(EJY39:EKJ39)</f>
        <v>7.6933333333333325</v>
      </c>
      <c r="EKL39" s="117" t="str">
        <f>IF(EKK39&lt;5,"SI","NO")</f>
        <v>NO</v>
      </c>
      <c r="EKM39" s="117" t="str">
        <f>IF(EKK39&lt;5,"Sin Riesgo",IF(EKK39 &lt;=14,"Bajo",IF(EKK39&lt;=35,"Medio",IF(EKK39&lt;=80,"Alto","Inviable Sanitariamente"))))</f>
        <v>Bajo</v>
      </c>
      <c r="EKN39" s="117">
        <v>0</v>
      </c>
      <c r="EKR39" s="117">
        <v>0</v>
      </c>
      <c r="EKT39" s="117">
        <v>23.08</v>
      </c>
      <c r="EKZ39" s="117">
        <f>AVERAGE(EKN39:EKY39)</f>
        <v>7.6933333333333325</v>
      </c>
      <c r="ELA39" s="117" t="str">
        <f>IF(EKZ39&lt;5,"SI","NO")</f>
        <v>NO</v>
      </c>
      <c r="ELB39" s="117" t="str">
        <f>IF(EKZ39&lt;5,"Sin Riesgo",IF(EKZ39 &lt;=14,"Bajo",IF(EKZ39&lt;=35,"Medio",IF(EKZ39&lt;=80,"Alto","Inviable Sanitariamente"))))</f>
        <v>Bajo</v>
      </c>
      <c r="ELC39" s="117">
        <v>0</v>
      </c>
      <c r="ELG39" s="117">
        <v>0</v>
      </c>
      <c r="ELI39" s="117">
        <v>23.08</v>
      </c>
      <c r="ELO39" s="117">
        <f>AVERAGE(ELC39:ELN39)</f>
        <v>7.6933333333333325</v>
      </c>
      <c r="ELP39" s="117" t="str">
        <f>IF(ELO39&lt;5,"SI","NO")</f>
        <v>NO</v>
      </c>
      <c r="ELQ39" s="117" t="str">
        <f>IF(ELO39&lt;5,"Sin Riesgo",IF(ELO39 &lt;=14,"Bajo",IF(ELO39&lt;=35,"Medio",IF(ELO39&lt;=80,"Alto","Inviable Sanitariamente"))))</f>
        <v>Bajo</v>
      </c>
      <c r="ELR39" s="117">
        <v>0</v>
      </c>
      <c r="ELV39" s="117">
        <v>0</v>
      </c>
      <c r="ELX39" s="117">
        <v>23.08</v>
      </c>
      <c r="EMD39" s="117">
        <f>AVERAGE(ELR39:EMC39)</f>
        <v>7.6933333333333325</v>
      </c>
      <c r="EME39" s="117" t="str">
        <f>IF(EMD39&lt;5,"SI","NO")</f>
        <v>NO</v>
      </c>
      <c r="EMF39" s="117" t="str">
        <f>IF(EMD39&lt;5,"Sin Riesgo",IF(EMD39 &lt;=14,"Bajo",IF(EMD39&lt;=35,"Medio",IF(EMD39&lt;=80,"Alto","Inviable Sanitariamente"))))</f>
        <v>Bajo</v>
      </c>
      <c r="EMG39" s="117">
        <v>0</v>
      </c>
      <c r="EMK39" s="117">
        <v>0</v>
      </c>
      <c r="EMM39" s="117">
        <v>23.08</v>
      </c>
      <c r="EMS39" s="117">
        <f>AVERAGE(EMG39:EMR39)</f>
        <v>7.6933333333333325</v>
      </c>
      <c r="EMT39" s="117" t="str">
        <f>IF(EMS39&lt;5,"SI","NO")</f>
        <v>NO</v>
      </c>
      <c r="EMU39" s="117" t="str">
        <f>IF(EMS39&lt;5,"Sin Riesgo",IF(EMS39 &lt;=14,"Bajo",IF(EMS39&lt;=35,"Medio",IF(EMS39&lt;=80,"Alto","Inviable Sanitariamente"))))</f>
        <v>Bajo</v>
      </c>
      <c r="EMV39" s="117">
        <v>0</v>
      </c>
      <c r="EMZ39" s="117">
        <v>0</v>
      </c>
      <c r="ENB39" s="117">
        <v>23.08</v>
      </c>
      <c r="ENH39" s="117">
        <f>AVERAGE(EMV39:ENG39)</f>
        <v>7.6933333333333325</v>
      </c>
      <c r="ENI39" s="117" t="str">
        <f>IF(ENH39&lt;5,"SI","NO")</f>
        <v>NO</v>
      </c>
      <c r="ENJ39" s="117" t="str">
        <f>IF(ENH39&lt;5,"Sin Riesgo",IF(ENH39 &lt;=14,"Bajo",IF(ENH39&lt;=35,"Medio",IF(ENH39&lt;=80,"Alto","Inviable Sanitariamente"))))</f>
        <v>Bajo</v>
      </c>
      <c r="ENK39" s="117">
        <v>0</v>
      </c>
      <c r="ENO39" s="117">
        <v>0</v>
      </c>
      <c r="ENQ39" s="117">
        <v>23.08</v>
      </c>
      <c r="ENW39" s="117">
        <f>AVERAGE(ENK39:ENV39)</f>
        <v>7.6933333333333325</v>
      </c>
      <c r="ENX39" s="117" t="str">
        <f>IF(ENW39&lt;5,"SI","NO")</f>
        <v>NO</v>
      </c>
      <c r="ENY39" s="117" t="str">
        <f>IF(ENW39&lt;5,"Sin Riesgo",IF(ENW39 &lt;=14,"Bajo",IF(ENW39&lt;=35,"Medio",IF(ENW39&lt;=80,"Alto","Inviable Sanitariamente"))))</f>
        <v>Bajo</v>
      </c>
      <c r="ENZ39" s="117">
        <v>0</v>
      </c>
      <c r="EOD39" s="117">
        <v>0</v>
      </c>
      <c r="EOF39" s="117">
        <v>23.08</v>
      </c>
      <c r="EOL39" s="117">
        <f>AVERAGE(ENZ39:EOK39)</f>
        <v>7.6933333333333325</v>
      </c>
      <c r="EOM39" s="117" t="str">
        <f>IF(EOL39&lt;5,"SI","NO")</f>
        <v>NO</v>
      </c>
      <c r="EON39" s="117" t="str">
        <f>IF(EOL39&lt;5,"Sin Riesgo",IF(EOL39 &lt;=14,"Bajo",IF(EOL39&lt;=35,"Medio",IF(EOL39&lt;=80,"Alto","Inviable Sanitariamente"))))</f>
        <v>Bajo</v>
      </c>
      <c r="EOO39" s="117">
        <v>0</v>
      </c>
      <c r="EOS39" s="117">
        <v>0</v>
      </c>
      <c r="EOU39" s="117">
        <v>23.08</v>
      </c>
      <c r="EPA39" s="117">
        <f>AVERAGE(EOO39:EOZ39)</f>
        <v>7.6933333333333325</v>
      </c>
      <c r="EPB39" s="117" t="str">
        <f>IF(EPA39&lt;5,"SI","NO")</f>
        <v>NO</v>
      </c>
      <c r="EPC39" s="117" t="str">
        <f>IF(EPA39&lt;5,"Sin Riesgo",IF(EPA39 &lt;=14,"Bajo",IF(EPA39&lt;=35,"Medio",IF(EPA39&lt;=80,"Alto","Inviable Sanitariamente"))))</f>
        <v>Bajo</v>
      </c>
      <c r="EPD39" s="117">
        <v>0</v>
      </c>
      <c r="EPH39" s="117">
        <v>0</v>
      </c>
      <c r="EPJ39" s="117">
        <v>23.08</v>
      </c>
      <c r="EPP39" s="117">
        <f>AVERAGE(EPD39:EPO39)</f>
        <v>7.6933333333333325</v>
      </c>
      <c r="EPQ39" s="117" t="str">
        <f>IF(EPP39&lt;5,"SI","NO")</f>
        <v>NO</v>
      </c>
      <c r="EPR39" s="117" t="str">
        <f>IF(EPP39&lt;5,"Sin Riesgo",IF(EPP39 &lt;=14,"Bajo",IF(EPP39&lt;=35,"Medio",IF(EPP39&lt;=80,"Alto","Inviable Sanitariamente"))))</f>
        <v>Bajo</v>
      </c>
      <c r="EPS39" s="117">
        <v>0</v>
      </c>
      <c r="EPW39" s="117">
        <v>0</v>
      </c>
      <c r="EPY39" s="117">
        <v>23.08</v>
      </c>
      <c r="EQE39" s="117">
        <f>AVERAGE(EPS39:EQD39)</f>
        <v>7.6933333333333325</v>
      </c>
      <c r="EQF39" s="117" t="str">
        <f>IF(EQE39&lt;5,"SI","NO")</f>
        <v>NO</v>
      </c>
      <c r="EQG39" s="117" t="str">
        <f>IF(EQE39&lt;5,"Sin Riesgo",IF(EQE39 &lt;=14,"Bajo",IF(EQE39&lt;=35,"Medio",IF(EQE39&lt;=80,"Alto","Inviable Sanitariamente"))))</f>
        <v>Bajo</v>
      </c>
      <c r="EQH39" s="117">
        <v>0</v>
      </c>
      <c r="EQL39" s="117">
        <v>0</v>
      </c>
      <c r="EQN39" s="117">
        <v>23.08</v>
      </c>
      <c r="EQT39" s="117">
        <f>AVERAGE(EQH39:EQS39)</f>
        <v>7.6933333333333325</v>
      </c>
      <c r="EQU39" s="117" t="str">
        <f>IF(EQT39&lt;5,"SI","NO")</f>
        <v>NO</v>
      </c>
      <c r="EQV39" s="117" t="str">
        <f>IF(EQT39&lt;5,"Sin Riesgo",IF(EQT39 &lt;=14,"Bajo",IF(EQT39&lt;=35,"Medio",IF(EQT39&lt;=80,"Alto","Inviable Sanitariamente"))))</f>
        <v>Bajo</v>
      </c>
      <c r="EQW39" s="117">
        <v>0</v>
      </c>
      <c r="ERA39" s="117">
        <v>0</v>
      </c>
      <c r="ERC39" s="117">
        <v>23.08</v>
      </c>
      <c r="ERI39" s="117">
        <f>AVERAGE(EQW39:ERH39)</f>
        <v>7.6933333333333325</v>
      </c>
      <c r="ERJ39" s="117" t="str">
        <f>IF(ERI39&lt;5,"SI","NO")</f>
        <v>NO</v>
      </c>
      <c r="ERK39" s="117" t="str">
        <f>IF(ERI39&lt;5,"Sin Riesgo",IF(ERI39 &lt;=14,"Bajo",IF(ERI39&lt;=35,"Medio",IF(ERI39&lt;=80,"Alto","Inviable Sanitariamente"))))</f>
        <v>Bajo</v>
      </c>
      <c r="ERL39" s="117">
        <v>0</v>
      </c>
      <c r="ERP39" s="117">
        <v>0</v>
      </c>
      <c r="ERR39" s="117">
        <v>23.08</v>
      </c>
      <c r="ERX39" s="117">
        <f>AVERAGE(ERL39:ERW39)</f>
        <v>7.6933333333333325</v>
      </c>
      <c r="ERY39" s="117" t="str">
        <f>IF(ERX39&lt;5,"SI","NO")</f>
        <v>NO</v>
      </c>
      <c r="ERZ39" s="117" t="str">
        <f>IF(ERX39&lt;5,"Sin Riesgo",IF(ERX39 &lt;=14,"Bajo",IF(ERX39&lt;=35,"Medio",IF(ERX39&lt;=80,"Alto","Inviable Sanitariamente"))))</f>
        <v>Bajo</v>
      </c>
      <c r="ESA39" s="117">
        <v>0</v>
      </c>
      <c r="ESE39" s="117">
        <v>0</v>
      </c>
      <c r="ESG39" s="117">
        <v>23.08</v>
      </c>
      <c r="ESM39" s="117">
        <f>AVERAGE(ESA39:ESL39)</f>
        <v>7.6933333333333325</v>
      </c>
      <c r="ESN39" s="117" t="str">
        <f>IF(ESM39&lt;5,"SI","NO")</f>
        <v>NO</v>
      </c>
      <c r="ESO39" s="117" t="str">
        <f>IF(ESM39&lt;5,"Sin Riesgo",IF(ESM39 &lt;=14,"Bajo",IF(ESM39&lt;=35,"Medio",IF(ESM39&lt;=80,"Alto","Inviable Sanitariamente"))))</f>
        <v>Bajo</v>
      </c>
      <c r="ESP39" s="117">
        <v>0</v>
      </c>
      <c r="EST39" s="117">
        <v>0</v>
      </c>
      <c r="ESV39" s="117">
        <v>23.08</v>
      </c>
      <c r="ETB39" s="117">
        <f>AVERAGE(ESP39:ETA39)</f>
        <v>7.6933333333333325</v>
      </c>
      <c r="ETC39" s="117" t="str">
        <f>IF(ETB39&lt;5,"SI","NO")</f>
        <v>NO</v>
      </c>
      <c r="ETD39" s="117" t="str">
        <f>IF(ETB39&lt;5,"Sin Riesgo",IF(ETB39 &lt;=14,"Bajo",IF(ETB39&lt;=35,"Medio",IF(ETB39&lt;=80,"Alto","Inviable Sanitariamente"))))</f>
        <v>Bajo</v>
      </c>
      <c r="ETE39" s="117">
        <v>0</v>
      </c>
      <c r="ETI39" s="117">
        <v>0</v>
      </c>
      <c r="ETK39" s="117">
        <v>23.08</v>
      </c>
      <c r="ETQ39" s="117">
        <f>AVERAGE(ETE39:ETP39)</f>
        <v>7.6933333333333325</v>
      </c>
      <c r="ETR39" s="117" t="str">
        <f>IF(ETQ39&lt;5,"SI","NO")</f>
        <v>NO</v>
      </c>
      <c r="ETS39" s="117" t="str">
        <f>IF(ETQ39&lt;5,"Sin Riesgo",IF(ETQ39 &lt;=14,"Bajo",IF(ETQ39&lt;=35,"Medio",IF(ETQ39&lt;=80,"Alto","Inviable Sanitariamente"))))</f>
        <v>Bajo</v>
      </c>
      <c r="ETT39" s="117">
        <v>0</v>
      </c>
      <c r="ETX39" s="117">
        <v>0</v>
      </c>
      <c r="ETZ39" s="117">
        <v>23.08</v>
      </c>
      <c r="EUF39" s="117">
        <f>AVERAGE(ETT39:EUE39)</f>
        <v>7.6933333333333325</v>
      </c>
      <c r="EUG39" s="117" t="str">
        <f>IF(EUF39&lt;5,"SI","NO")</f>
        <v>NO</v>
      </c>
      <c r="EUH39" s="117" t="str">
        <f>IF(EUF39&lt;5,"Sin Riesgo",IF(EUF39 &lt;=14,"Bajo",IF(EUF39&lt;=35,"Medio",IF(EUF39&lt;=80,"Alto","Inviable Sanitariamente"))))</f>
        <v>Bajo</v>
      </c>
      <c r="EUI39" s="117">
        <v>0</v>
      </c>
      <c r="EUM39" s="117">
        <v>0</v>
      </c>
      <c r="EUO39" s="117">
        <v>23.08</v>
      </c>
      <c r="EUU39" s="117">
        <f>AVERAGE(EUI39:EUT39)</f>
        <v>7.6933333333333325</v>
      </c>
      <c r="EUV39" s="117" t="str">
        <f>IF(EUU39&lt;5,"SI","NO")</f>
        <v>NO</v>
      </c>
      <c r="EUW39" s="117" t="str">
        <f>IF(EUU39&lt;5,"Sin Riesgo",IF(EUU39 &lt;=14,"Bajo",IF(EUU39&lt;=35,"Medio",IF(EUU39&lt;=80,"Alto","Inviable Sanitariamente"))))</f>
        <v>Bajo</v>
      </c>
      <c r="EUX39" s="117">
        <v>0</v>
      </c>
      <c r="EVB39" s="117">
        <v>0</v>
      </c>
      <c r="EVD39" s="117">
        <v>23.08</v>
      </c>
      <c r="EVJ39" s="117">
        <f>AVERAGE(EUX39:EVI39)</f>
        <v>7.6933333333333325</v>
      </c>
      <c r="EVK39" s="117" t="str">
        <f>IF(EVJ39&lt;5,"SI","NO")</f>
        <v>NO</v>
      </c>
      <c r="EVL39" s="117" t="str">
        <f>IF(EVJ39&lt;5,"Sin Riesgo",IF(EVJ39 &lt;=14,"Bajo",IF(EVJ39&lt;=35,"Medio",IF(EVJ39&lt;=80,"Alto","Inviable Sanitariamente"))))</f>
        <v>Bajo</v>
      </c>
      <c r="EVM39" s="117">
        <v>0</v>
      </c>
      <c r="EVQ39" s="117">
        <v>0</v>
      </c>
      <c r="EVS39" s="117">
        <v>23.08</v>
      </c>
      <c r="EVY39" s="117">
        <f>AVERAGE(EVM39:EVX39)</f>
        <v>7.6933333333333325</v>
      </c>
      <c r="EVZ39" s="117" t="str">
        <f>IF(EVY39&lt;5,"SI","NO")</f>
        <v>NO</v>
      </c>
      <c r="EWA39" s="117" t="str">
        <f>IF(EVY39&lt;5,"Sin Riesgo",IF(EVY39 &lt;=14,"Bajo",IF(EVY39&lt;=35,"Medio",IF(EVY39&lt;=80,"Alto","Inviable Sanitariamente"))))</f>
        <v>Bajo</v>
      </c>
      <c r="EWB39" s="117">
        <v>0</v>
      </c>
      <c r="EWF39" s="117">
        <v>0</v>
      </c>
      <c r="EWH39" s="117">
        <v>23.08</v>
      </c>
      <c r="EWN39" s="117">
        <f>AVERAGE(EWB39:EWM39)</f>
        <v>7.6933333333333325</v>
      </c>
      <c r="EWO39" s="117" t="str">
        <f>IF(EWN39&lt;5,"SI","NO")</f>
        <v>NO</v>
      </c>
      <c r="EWP39" s="117" t="str">
        <f>IF(EWN39&lt;5,"Sin Riesgo",IF(EWN39 &lt;=14,"Bajo",IF(EWN39&lt;=35,"Medio",IF(EWN39&lt;=80,"Alto","Inviable Sanitariamente"))))</f>
        <v>Bajo</v>
      </c>
      <c r="EWQ39" s="117">
        <v>0</v>
      </c>
      <c r="EWU39" s="117">
        <v>0</v>
      </c>
      <c r="EWW39" s="117">
        <v>23.08</v>
      </c>
      <c r="EXC39" s="117">
        <f>AVERAGE(EWQ39:EXB39)</f>
        <v>7.6933333333333325</v>
      </c>
      <c r="EXD39" s="117" t="str">
        <f>IF(EXC39&lt;5,"SI","NO")</f>
        <v>NO</v>
      </c>
      <c r="EXE39" s="117" t="str">
        <f>IF(EXC39&lt;5,"Sin Riesgo",IF(EXC39 &lt;=14,"Bajo",IF(EXC39&lt;=35,"Medio",IF(EXC39&lt;=80,"Alto","Inviable Sanitariamente"))))</f>
        <v>Bajo</v>
      </c>
      <c r="EXF39" s="117">
        <v>0</v>
      </c>
      <c r="EXJ39" s="117">
        <v>0</v>
      </c>
      <c r="EXL39" s="117">
        <v>23.08</v>
      </c>
      <c r="EXR39" s="117">
        <f>AVERAGE(EXF39:EXQ39)</f>
        <v>7.6933333333333325</v>
      </c>
      <c r="EXS39" s="117" t="str">
        <f>IF(EXR39&lt;5,"SI","NO")</f>
        <v>NO</v>
      </c>
      <c r="EXT39" s="117" t="str">
        <f>IF(EXR39&lt;5,"Sin Riesgo",IF(EXR39 &lt;=14,"Bajo",IF(EXR39&lt;=35,"Medio",IF(EXR39&lt;=80,"Alto","Inviable Sanitariamente"))))</f>
        <v>Bajo</v>
      </c>
      <c r="EXU39" s="117">
        <v>0</v>
      </c>
      <c r="EXY39" s="117">
        <v>0</v>
      </c>
      <c r="EYA39" s="117">
        <v>23.08</v>
      </c>
      <c r="EYG39" s="117">
        <f>AVERAGE(EXU39:EYF39)</f>
        <v>7.6933333333333325</v>
      </c>
      <c r="EYH39" s="117" t="str">
        <f>IF(EYG39&lt;5,"SI","NO")</f>
        <v>NO</v>
      </c>
      <c r="EYI39" s="117" t="str">
        <f>IF(EYG39&lt;5,"Sin Riesgo",IF(EYG39 &lt;=14,"Bajo",IF(EYG39&lt;=35,"Medio",IF(EYG39&lt;=80,"Alto","Inviable Sanitariamente"))))</f>
        <v>Bajo</v>
      </c>
      <c r="EYJ39" s="117">
        <v>0</v>
      </c>
      <c r="EYN39" s="117">
        <v>0</v>
      </c>
      <c r="EYP39" s="117">
        <v>23.08</v>
      </c>
      <c r="EYV39" s="117">
        <f>AVERAGE(EYJ39:EYU39)</f>
        <v>7.6933333333333325</v>
      </c>
      <c r="EYW39" s="117" t="str">
        <f>IF(EYV39&lt;5,"SI","NO")</f>
        <v>NO</v>
      </c>
      <c r="EYX39" s="117" t="str">
        <f>IF(EYV39&lt;5,"Sin Riesgo",IF(EYV39 &lt;=14,"Bajo",IF(EYV39&lt;=35,"Medio",IF(EYV39&lt;=80,"Alto","Inviable Sanitariamente"))))</f>
        <v>Bajo</v>
      </c>
      <c r="EYY39" s="117">
        <v>0</v>
      </c>
      <c r="EZC39" s="117">
        <v>0</v>
      </c>
      <c r="EZE39" s="117">
        <v>23.08</v>
      </c>
      <c r="EZK39" s="117">
        <f>AVERAGE(EYY39:EZJ39)</f>
        <v>7.6933333333333325</v>
      </c>
      <c r="EZL39" s="117" t="str">
        <f>IF(EZK39&lt;5,"SI","NO")</f>
        <v>NO</v>
      </c>
      <c r="EZM39" s="117" t="str">
        <f>IF(EZK39&lt;5,"Sin Riesgo",IF(EZK39 &lt;=14,"Bajo",IF(EZK39&lt;=35,"Medio",IF(EZK39&lt;=80,"Alto","Inviable Sanitariamente"))))</f>
        <v>Bajo</v>
      </c>
      <c r="EZN39" s="117">
        <v>0</v>
      </c>
      <c r="EZR39" s="117">
        <v>0</v>
      </c>
      <c r="EZT39" s="117">
        <v>23.08</v>
      </c>
      <c r="EZZ39" s="117">
        <f>AVERAGE(EZN39:EZY39)</f>
        <v>7.6933333333333325</v>
      </c>
      <c r="FAA39" s="117" t="str">
        <f>IF(EZZ39&lt;5,"SI","NO")</f>
        <v>NO</v>
      </c>
      <c r="FAB39" s="117" t="str">
        <f>IF(EZZ39&lt;5,"Sin Riesgo",IF(EZZ39 &lt;=14,"Bajo",IF(EZZ39&lt;=35,"Medio",IF(EZZ39&lt;=80,"Alto","Inviable Sanitariamente"))))</f>
        <v>Bajo</v>
      </c>
      <c r="FAC39" s="117">
        <v>0</v>
      </c>
      <c r="FAG39" s="117">
        <v>0</v>
      </c>
      <c r="FAI39" s="117">
        <v>23.08</v>
      </c>
      <c r="FAO39" s="117">
        <f>AVERAGE(FAC39:FAN39)</f>
        <v>7.6933333333333325</v>
      </c>
      <c r="FAP39" s="117" t="str">
        <f>IF(FAO39&lt;5,"SI","NO")</f>
        <v>NO</v>
      </c>
      <c r="FAQ39" s="117" t="str">
        <f>IF(FAO39&lt;5,"Sin Riesgo",IF(FAO39 &lt;=14,"Bajo",IF(FAO39&lt;=35,"Medio",IF(FAO39&lt;=80,"Alto","Inviable Sanitariamente"))))</f>
        <v>Bajo</v>
      </c>
      <c r="FAR39" s="117">
        <v>0</v>
      </c>
      <c r="FAV39" s="117">
        <v>0</v>
      </c>
      <c r="FAX39" s="117">
        <v>23.08</v>
      </c>
      <c r="FBD39" s="117">
        <f>AVERAGE(FAR39:FBC39)</f>
        <v>7.6933333333333325</v>
      </c>
      <c r="FBE39" s="117" t="str">
        <f>IF(FBD39&lt;5,"SI","NO")</f>
        <v>NO</v>
      </c>
      <c r="FBF39" s="117" t="str">
        <f>IF(FBD39&lt;5,"Sin Riesgo",IF(FBD39 &lt;=14,"Bajo",IF(FBD39&lt;=35,"Medio",IF(FBD39&lt;=80,"Alto","Inviable Sanitariamente"))))</f>
        <v>Bajo</v>
      </c>
      <c r="FBG39" s="117">
        <v>0</v>
      </c>
      <c r="FBK39" s="117">
        <v>0</v>
      </c>
      <c r="FBM39" s="117">
        <v>23.08</v>
      </c>
      <c r="FBS39" s="117">
        <f>AVERAGE(FBG39:FBR39)</f>
        <v>7.6933333333333325</v>
      </c>
      <c r="FBT39" s="117" t="str">
        <f>IF(FBS39&lt;5,"SI","NO")</f>
        <v>NO</v>
      </c>
      <c r="FBU39" s="117" t="str">
        <f>IF(FBS39&lt;5,"Sin Riesgo",IF(FBS39 &lt;=14,"Bajo",IF(FBS39&lt;=35,"Medio",IF(FBS39&lt;=80,"Alto","Inviable Sanitariamente"))))</f>
        <v>Bajo</v>
      </c>
      <c r="FBV39" s="117">
        <v>0</v>
      </c>
      <c r="FBZ39" s="117">
        <v>0</v>
      </c>
      <c r="FCB39" s="117">
        <v>23.08</v>
      </c>
      <c r="FCH39" s="117">
        <f>AVERAGE(FBV39:FCG39)</f>
        <v>7.6933333333333325</v>
      </c>
      <c r="FCI39" s="117" t="str">
        <f>IF(FCH39&lt;5,"SI","NO")</f>
        <v>NO</v>
      </c>
      <c r="FCJ39" s="117" t="str">
        <f>IF(FCH39&lt;5,"Sin Riesgo",IF(FCH39 &lt;=14,"Bajo",IF(FCH39&lt;=35,"Medio",IF(FCH39&lt;=80,"Alto","Inviable Sanitariamente"))))</f>
        <v>Bajo</v>
      </c>
      <c r="FCK39" s="117">
        <v>0</v>
      </c>
      <c r="FCO39" s="117">
        <v>0</v>
      </c>
      <c r="FCQ39" s="117">
        <v>23.08</v>
      </c>
      <c r="FCW39" s="117">
        <f>AVERAGE(FCK39:FCV39)</f>
        <v>7.6933333333333325</v>
      </c>
      <c r="FCX39" s="117" t="str">
        <f>IF(FCW39&lt;5,"SI","NO")</f>
        <v>NO</v>
      </c>
      <c r="FCY39" s="117" t="str">
        <f>IF(FCW39&lt;5,"Sin Riesgo",IF(FCW39 &lt;=14,"Bajo",IF(FCW39&lt;=35,"Medio",IF(FCW39&lt;=80,"Alto","Inviable Sanitariamente"))))</f>
        <v>Bajo</v>
      </c>
      <c r="FCZ39" s="117">
        <v>0</v>
      </c>
      <c r="FDD39" s="117">
        <v>0</v>
      </c>
      <c r="FDF39" s="117">
        <v>23.08</v>
      </c>
      <c r="FDL39" s="117">
        <f>AVERAGE(FCZ39:FDK39)</f>
        <v>7.6933333333333325</v>
      </c>
      <c r="FDM39" s="117" t="str">
        <f>IF(FDL39&lt;5,"SI","NO")</f>
        <v>NO</v>
      </c>
      <c r="FDN39" s="117" t="str">
        <f>IF(FDL39&lt;5,"Sin Riesgo",IF(FDL39 &lt;=14,"Bajo",IF(FDL39&lt;=35,"Medio",IF(FDL39&lt;=80,"Alto","Inviable Sanitariamente"))))</f>
        <v>Bajo</v>
      </c>
      <c r="FDO39" s="117">
        <v>0</v>
      </c>
      <c r="FDS39" s="117">
        <v>0</v>
      </c>
      <c r="FDU39" s="117">
        <v>23.08</v>
      </c>
      <c r="FEA39" s="117">
        <f>AVERAGE(FDO39:FDZ39)</f>
        <v>7.6933333333333325</v>
      </c>
      <c r="FEB39" s="117" t="str">
        <f>IF(FEA39&lt;5,"SI","NO")</f>
        <v>NO</v>
      </c>
      <c r="FEC39" s="117" t="str">
        <f>IF(FEA39&lt;5,"Sin Riesgo",IF(FEA39 &lt;=14,"Bajo",IF(FEA39&lt;=35,"Medio",IF(FEA39&lt;=80,"Alto","Inviable Sanitariamente"))))</f>
        <v>Bajo</v>
      </c>
      <c r="FED39" s="117">
        <v>0</v>
      </c>
      <c r="FEH39" s="117">
        <v>0</v>
      </c>
      <c r="FEJ39" s="117">
        <v>23.08</v>
      </c>
      <c r="FEP39" s="117">
        <f>AVERAGE(FED39:FEO39)</f>
        <v>7.6933333333333325</v>
      </c>
      <c r="FEQ39" s="117" t="str">
        <f>IF(FEP39&lt;5,"SI","NO")</f>
        <v>NO</v>
      </c>
      <c r="FER39" s="117" t="str">
        <f>IF(FEP39&lt;5,"Sin Riesgo",IF(FEP39 &lt;=14,"Bajo",IF(FEP39&lt;=35,"Medio",IF(FEP39&lt;=80,"Alto","Inviable Sanitariamente"))))</f>
        <v>Bajo</v>
      </c>
      <c r="FES39" s="117">
        <v>0</v>
      </c>
      <c r="FEW39" s="117">
        <v>0</v>
      </c>
      <c r="FEY39" s="117">
        <v>23.08</v>
      </c>
      <c r="FFE39" s="117">
        <f>AVERAGE(FES39:FFD39)</f>
        <v>7.6933333333333325</v>
      </c>
      <c r="FFF39" s="117" t="str">
        <f>IF(FFE39&lt;5,"SI","NO")</f>
        <v>NO</v>
      </c>
      <c r="FFG39" s="117" t="str">
        <f>IF(FFE39&lt;5,"Sin Riesgo",IF(FFE39 &lt;=14,"Bajo",IF(FFE39&lt;=35,"Medio",IF(FFE39&lt;=80,"Alto","Inviable Sanitariamente"))))</f>
        <v>Bajo</v>
      </c>
      <c r="FFH39" s="117">
        <v>0</v>
      </c>
      <c r="FFL39" s="117">
        <v>0</v>
      </c>
      <c r="FFN39" s="117">
        <v>23.08</v>
      </c>
      <c r="FFT39" s="117">
        <f>AVERAGE(FFH39:FFS39)</f>
        <v>7.6933333333333325</v>
      </c>
      <c r="FFU39" s="117" t="str">
        <f>IF(FFT39&lt;5,"SI","NO")</f>
        <v>NO</v>
      </c>
      <c r="FFV39" s="117" t="str">
        <f>IF(FFT39&lt;5,"Sin Riesgo",IF(FFT39 &lt;=14,"Bajo",IF(FFT39&lt;=35,"Medio",IF(FFT39&lt;=80,"Alto","Inviable Sanitariamente"))))</f>
        <v>Bajo</v>
      </c>
      <c r="FFW39" s="117">
        <v>0</v>
      </c>
      <c r="FGA39" s="117">
        <v>0</v>
      </c>
      <c r="FGC39" s="117">
        <v>23.08</v>
      </c>
      <c r="FGI39" s="117">
        <f>AVERAGE(FFW39:FGH39)</f>
        <v>7.6933333333333325</v>
      </c>
      <c r="FGJ39" s="117" t="str">
        <f>IF(FGI39&lt;5,"SI","NO")</f>
        <v>NO</v>
      </c>
      <c r="FGK39" s="117" t="str">
        <f>IF(FGI39&lt;5,"Sin Riesgo",IF(FGI39 &lt;=14,"Bajo",IF(FGI39&lt;=35,"Medio",IF(FGI39&lt;=80,"Alto","Inviable Sanitariamente"))))</f>
        <v>Bajo</v>
      </c>
      <c r="FGL39" s="117">
        <v>0</v>
      </c>
      <c r="FGP39" s="117">
        <v>0</v>
      </c>
      <c r="FGR39" s="117">
        <v>23.08</v>
      </c>
      <c r="FGX39" s="117">
        <f>AVERAGE(FGL39:FGW39)</f>
        <v>7.6933333333333325</v>
      </c>
      <c r="FGY39" s="117" t="str">
        <f>IF(FGX39&lt;5,"SI","NO")</f>
        <v>NO</v>
      </c>
      <c r="FGZ39" s="117" t="str">
        <f>IF(FGX39&lt;5,"Sin Riesgo",IF(FGX39 &lt;=14,"Bajo",IF(FGX39&lt;=35,"Medio",IF(FGX39&lt;=80,"Alto","Inviable Sanitariamente"))))</f>
        <v>Bajo</v>
      </c>
      <c r="FHA39" s="117">
        <v>0</v>
      </c>
      <c r="FHE39" s="117">
        <v>0</v>
      </c>
      <c r="FHG39" s="117">
        <v>23.08</v>
      </c>
      <c r="FHM39" s="117">
        <f>AVERAGE(FHA39:FHL39)</f>
        <v>7.6933333333333325</v>
      </c>
      <c r="FHN39" s="117" t="str">
        <f>IF(FHM39&lt;5,"SI","NO")</f>
        <v>NO</v>
      </c>
      <c r="FHO39" s="117" t="str">
        <f>IF(FHM39&lt;5,"Sin Riesgo",IF(FHM39 &lt;=14,"Bajo",IF(FHM39&lt;=35,"Medio",IF(FHM39&lt;=80,"Alto","Inviable Sanitariamente"))))</f>
        <v>Bajo</v>
      </c>
      <c r="FHP39" s="117">
        <v>0</v>
      </c>
      <c r="FHT39" s="117">
        <v>0</v>
      </c>
      <c r="FHV39" s="117">
        <v>23.08</v>
      </c>
      <c r="FIB39" s="117">
        <f>AVERAGE(FHP39:FIA39)</f>
        <v>7.6933333333333325</v>
      </c>
      <c r="FIC39" s="117" t="str">
        <f>IF(FIB39&lt;5,"SI","NO")</f>
        <v>NO</v>
      </c>
      <c r="FID39" s="117" t="str">
        <f>IF(FIB39&lt;5,"Sin Riesgo",IF(FIB39 &lt;=14,"Bajo",IF(FIB39&lt;=35,"Medio",IF(FIB39&lt;=80,"Alto","Inviable Sanitariamente"))))</f>
        <v>Bajo</v>
      </c>
      <c r="FIE39" s="117">
        <v>0</v>
      </c>
      <c r="FII39" s="117">
        <v>0</v>
      </c>
      <c r="FIK39" s="117">
        <v>23.08</v>
      </c>
      <c r="FIQ39" s="117">
        <f>AVERAGE(FIE39:FIP39)</f>
        <v>7.6933333333333325</v>
      </c>
      <c r="FIR39" s="117" t="str">
        <f>IF(FIQ39&lt;5,"SI","NO")</f>
        <v>NO</v>
      </c>
      <c r="FIS39" s="117" t="str">
        <f>IF(FIQ39&lt;5,"Sin Riesgo",IF(FIQ39 &lt;=14,"Bajo",IF(FIQ39&lt;=35,"Medio",IF(FIQ39&lt;=80,"Alto","Inviable Sanitariamente"))))</f>
        <v>Bajo</v>
      </c>
      <c r="FIT39" s="117">
        <v>0</v>
      </c>
      <c r="FIX39" s="117">
        <v>0</v>
      </c>
      <c r="FIZ39" s="117">
        <v>23.08</v>
      </c>
      <c r="FJF39" s="117">
        <f>AVERAGE(FIT39:FJE39)</f>
        <v>7.6933333333333325</v>
      </c>
      <c r="FJG39" s="117" t="str">
        <f>IF(FJF39&lt;5,"SI","NO")</f>
        <v>NO</v>
      </c>
      <c r="FJH39" s="117" t="str">
        <f>IF(FJF39&lt;5,"Sin Riesgo",IF(FJF39 &lt;=14,"Bajo",IF(FJF39&lt;=35,"Medio",IF(FJF39&lt;=80,"Alto","Inviable Sanitariamente"))))</f>
        <v>Bajo</v>
      </c>
      <c r="FJI39" s="117">
        <v>0</v>
      </c>
      <c r="FJM39" s="117">
        <v>0</v>
      </c>
      <c r="FJO39" s="117">
        <v>23.08</v>
      </c>
      <c r="FJU39" s="117">
        <f>AVERAGE(FJI39:FJT39)</f>
        <v>7.6933333333333325</v>
      </c>
      <c r="FJV39" s="117" t="str">
        <f>IF(FJU39&lt;5,"SI","NO")</f>
        <v>NO</v>
      </c>
      <c r="FJW39" s="117" t="str">
        <f>IF(FJU39&lt;5,"Sin Riesgo",IF(FJU39 &lt;=14,"Bajo",IF(FJU39&lt;=35,"Medio",IF(FJU39&lt;=80,"Alto","Inviable Sanitariamente"))))</f>
        <v>Bajo</v>
      </c>
      <c r="FJX39" s="117">
        <v>0</v>
      </c>
      <c r="FKB39" s="117">
        <v>0</v>
      </c>
      <c r="FKD39" s="117">
        <v>23.08</v>
      </c>
      <c r="FKJ39" s="117">
        <f>AVERAGE(FJX39:FKI39)</f>
        <v>7.6933333333333325</v>
      </c>
      <c r="FKK39" s="117" t="str">
        <f>IF(FKJ39&lt;5,"SI","NO")</f>
        <v>NO</v>
      </c>
      <c r="FKL39" s="117" t="str">
        <f>IF(FKJ39&lt;5,"Sin Riesgo",IF(FKJ39 &lt;=14,"Bajo",IF(FKJ39&lt;=35,"Medio",IF(FKJ39&lt;=80,"Alto","Inviable Sanitariamente"))))</f>
        <v>Bajo</v>
      </c>
      <c r="FKM39" s="117">
        <v>0</v>
      </c>
      <c r="FKQ39" s="117">
        <v>0</v>
      </c>
      <c r="FKS39" s="117">
        <v>23.08</v>
      </c>
      <c r="FKY39" s="117">
        <f>AVERAGE(FKM39:FKX39)</f>
        <v>7.6933333333333325</v>
      </c>
      <c r="FKZ39" s="117" t="str">
        <f>IF(FKY39&lt;5,"SI","NO")</f>
        <v>NO</v>
      </c>
      <c r="FLA39" s="117" t="str">
        <f>IF(FKY39&lt;5,"Sin Riesgo",IF(FKY39 &lt;=14,"Bajo",IF(FKY39&lt;=35,"Medio",IF(FKY39&lt;=80,"Alto","Inviable Sanitariamente"))))</f>
        <v>Bajo</v>
      </c>
      <c r="FLB39" s="117">
        <v>0</v>
      </c>
      <c r="FLF39" s="117">
        <v>0</v>
      </c>
      <c r="FLH39" s="117">
        <v>23.08</v>
      </c>
      <c r="FLN39" s="117">
        <f>AVERAGE(FLB39:FLM39)</f>
        <v>7.6933333333333325</v>
      </c>
      <c r="FLO39" s="117" t="str">
        <f>IF(FLN39&lt;5,"SI","NO")</f>
        <v>NO</v>
      </c>
      <c r="FLP39" s="117" t="str">
        <f>IF(FLN39&lt;5,"Sin Riesgo",IF(FLN39 &lt;=14,"Bajo",IF(FLN39&lt;=35,"Medio",IF(FLN39&lt;=80,"Alto","Inviable Sanitariamente"))))</f>
        <v>Bajo</v>
      </c>
      <c r="FLQ39" s="117">
        <v>0</v>
      </c>
      <c r="FLU39" s="117">
        <v>0</v>
      </c>
      <c r="FLW39" s="117">
        <v>23.08</v>
      </c>
      <c r="FMC39" s="117">
        <f>AVERAGE(FLQ39:FMB39)</f>
        <v>7.6933333333333325</v>
      </c>
      <c r="FMD39" s="117" t="str">
        <f>IF(FMC39&lt;5,"SI","NO")</f>
        <v>NO</v>
      </c>
      <c r="FME39" s="117" t="str">
        <f>IF(FMC39&lt;5,"Sin Riesgo",IF(FMC39 &lt;=14,"Bajo",IF(FMC39&lt;=35,"Medio",IF(FMC39&lt;=80,"Alto","Inviable Sanitariamente"))))</f>
        <v>Bajo</v>
      </c>
      <c r="FMF39" s="117">
        <v>0</v>
      </c>
      <c r="FMJ39" s="117">
        <v>0</v>
      </c>
      <c r="FML39" s="117">
        <v>23.08</v>
      </c>
      <c r="FMR39" s="117">
        <f>AVERAGE(FMF39:FMQ39)</f>
        <v>7.6933333333333325</v>
      </c>
      <c r="FMS39" s="117" t="str">
        <f>IF(FMR39&lt;5,"SI","NO")</f>
        <v>NO</v>
      </c>
      <c r="FMT39" s="117" t="str">
        <f>IF(FMR39&lt;5,"Sin Riesgo",IF(FMR39 &lt;=14,"Bajo",IF(FMR39&lt;=35,"Medio",IF(FMR39&lt;=80,"Alto","Inviable Sanitariamente"))))</f>
        <v>Bajo</v>
      </c>
      <c r="FMU39" s="117">
        <v>0</v>
      </c>
      <c r="FMY39" s="117">
        <v>0</v>
      </c>
      <c r="FNA39" s="117">
        <v>23.08</v>
      </c>
      <c r="FNG39" s="117">
        <f>AVERAGE(FMU39:FNF39)</f>
        <v>7.6933333333333325</v>
      </c>
      <c r="FNH39" s="117" t="str">
        <f>IF(FNG39&lt;5,"SI","NO")</f>
        <v>NO</v>
      </c>
      <c r="FNI39" s="117" t="str">
        <f>IF(FNG39&lt;5,"Sin Riesgo",IF(FNG39 &lt;=14,"Bajo",IF(FNG39&lt;=35,"Medio",IF(FNG39&lt;=80,"Alto","Inviable Sanitariamente"))))</f>
        <v>Bajo</v>
      </c>
      <c r="FNJ39" s="117">
        <v>0</v>
      </c>
      <c r="FNN39" s="117">
        <v>0</v>
      </c>
      <c r="FNP39" s="117">
        <v>23.08</v>
      </c>
      <c r="FNV39" s="117">
        <f>AVERAGE(FNJ39:FNU39)</f>
        <v>7.6933333333333325</v>
      </c>
      <c r="FNW39" s="117" t="str">
        <f>IF(FNV39&lt;5,"SI","NO")</f>
        <v>NO</v>
      </c>
      <c r="FNX39" s="117" t="str">
        <f>IF(FNV39&lt;5,"Sin Riesgo",IF(FNV39 &lt;=14,"Bajo",IF(FNV39&lt;=35,"Medio",IF(FNV39&lt;=80,"Alto","Inviable Sanitariamente"))))</f>
        <v>Bajo</v>
      </c>
      <c r="FNY39" s="117">
        <v>0</v>
      </c>
      <c r="FOC39" s="117">
        <v>0</v>
      </c>
      <c r="FOE39" s="117">
        <v>23.08</v>
      </c>
      <c r="FOK39" s="117">
        <f>AVERAGE(FNY39:FOJ39)</f>
        <v>7.6933333333333325</v>
      </c>
      <c r="FOL39" s="117" t="str">
        <f>IF(FOK39&lt;5,"SI","NO")</f>
        <v>NO</v>
      </c>
      <c r="FOM39" s="117" t="str">
        <f>IF(FOK39&lt;5,"Sin Riesgo",IF(FOK39 &lt;=14,"Bajo",IF(FOK39&lt;=35,"Medio",IF(FOK39&lt;=80,"Alto","Inviable Sanitariamente"))))</f>
        <v>Bajo</v>
      </c>
      <c r="FON39" s="117">
        <v>0</v>
      </c>
      <c r="FOR39" s="117">
        <v>0</v>
      </c>
      <c r="FOT39" s="117">
        <v>23.08</v>
      </c>
      <c r="FOZ39" s="117">
        <f>AVERAGE(FON39:FOY39)</f>
        <v>7.6933333333333325</v>
      </c>
      <c r="FPA39" s="117" t="str">
        <f>IF(FOZ39&lt;5,"SI","NO")</f>
        <v>NO</v>
      </c>
      <c r="FPB39" s="117" t="str">
        <f>IF(FOZ39&lt;5,"Sin Riesgo",IF(FOZ39 &lt;=14,"Bajo",IF(FOZ39&lt;=35,"Medio",IF(FOZ39&lt;=80,"Alto","Inviable Sanitariamente"))))</f>
        <v>Bajo</v>
      </c>
      <c r="FPC39" s="117">
        <v>0</v>
      </c>
      <c r="FPG39" s="117">
        <v>0</v>
      </c>
      <c r="FPI39" s="117">
        <v>23.08</v>
      </c>
      <c r="FPO39" s="117">
        <f>AVERAGE(FPC39:FPN39)</f>
        <v>7.6933333333333325</v>
      </c>
      <c r="FPP39" s="117" t="str">
        <f>IF(FPO39&lt;5,"SI","NO")</f>
        <v>NO</v>
      </c>
      <c r="FPQ39" s="117" t="str">
        <f>IF(FPO39&lt;5,"Sin Riesgo",IF(FPO39 &lt;=14,"Bajo",IF(FPO39&lt;=35,"Medio",IF(FPO39&lt;=80,"Alto","Inviable Sanitariamente"))))</f>
        <v>Bajo</v>
      </c>
      <c r="FPR39" s="117">
        <v>0</v>
      </c>
      <c r="FPV39" s="117">
        <v>0</v>
      </c>
      <c r="FPX39" s="117">
        <v>23.08</v>
      </c>
      <c r="FQD39" s="117">
        <f>AVERAGE(FPR39:FQC39)</f>
        <v>7.6933333333333325</v>
      </c>
      <c r="FQE39" s="117" t="str">
        <f>IF(FQD39&lt;5,"SI","NO")</f>
        <v>NO</v>
      </c>
      <c r="FQF39" s="117" t="str">
        <f>IF(FQD39&lt;5,"Sin Riesgo",IF(FQD39 &lt;=14,"Bajo",IF(FQD39&lt;=35,"Medio",IF(FQD39&lt;=80,"Alto","Inviable Sanitariamente"))))</f>
        <v>Bajo</v>
      </c>
      <c r="FQG39" s="117">
        <v>0</v>
      </c>
      <c r="FQK39" s="117">
        <v>0</v>
      </c>
      <c r="FQM39" s="117">
        <v>23.08</v>
      </c>
      <c r="FQS39" s="117">
        <f>AVERAGE(FQG39:FQR39)</f>
        <v>7.6933333333333325</v>
      </c>
      <c r="FQT39" s="117" t="str">
        <f>IF(FQS39&lt;5,"SI","NO")</f>
        <v>NO</v>
      </c>
      <c r="FQU39" s="117" t="str">
        <f>IF(FQS39&lt;5,"Sin Riesgo",IF(FQS39 &lt;=14,"Bajo",IF(FQS39&lt;=35,"Medio",IF(FQS39&lt;=80,"Alto","Inviable Sanitariamente"))))</f>
        <v>Bajo</v>
      </c>
      <c r="FQV39" s="117">
        <v>0</v>
      </c>
      <c r="FQZ39" s="117">
        <v>0</v>
      </c>
      <c r="FRB39" s="117">
        <v>23.08</v>
      </c>
      <c r="FRH39" s="117">
        <f>AVERAGE(FQV39:FRG39)</f>
        <v>7.6933333333333325</v>
      </c>
      <c r="FRI39" s="117" t="str">
        <f>IF(FRH39&lt;5,"SI","NO")</f>
        <v>NO</v>
      </c>
      <c r="FRJ39" s="117" t="str">
        <f>IF(FRH39&lt;5,"Sin Riesgo",IF(FRH39 &lt;=14,"Bajo",IF(FRH39&lt;=35,"Medio",IF(FRH39&lt;=80,"Alto","Inviable Sanitariamente"))))</f>
        <v>Bajo</v>
      </c>
      <c r="FRK39" s="117">
        <v>0</v>
      </c>
      <c r="FRO39" s="117">
        <v>0</v>
      </c>
      <c r="FRQ39" s="117">
        <v>23.08</v>
      </c>
      <c r="FRW39" s="117">
        <f>AVERAGE(FRK39:FRV39)</f>
        <v>7.6933333333333325</v>
      </c>
      <c r="FRX39" s="117" t="str">
        <f>IF(FRW39&lt;5,"SI","NO")</f>
        <v>NO</v>
      </c>
      <c r="FRY39" s="117" t="str">
        <f>IF(FRW39&lt;5,"Sin Riesgo",IF(FRW39 &lt;=14,"Bajo",IF(FRW39&lt;=35,"Medio",IF(FRW39&lt;=80,"Alto","Inviable Sanitariamente"))))</f>
        <v>Bajo</v>
      </c>
      <c r="FRZ39" s="117">
        <v>0</v>
      </c>
      <c r="FSD39" s="117">
        <v>0</v>
      </c>
      <c r="FSF39" s="117">
        <v>23.08</v>
      </c>
      <c r="FSL39" s="117">
        <f>AVERAGE(FRZ39:FSK39)</f>
        <v>7.6933333333333325</v>
      </c>
      <c r="FSM39" s="117" t="str">
        <f>IF(FSL39&lt;5,"SI","NO")</f>
        <v>NO</v>
      </c>
      <c r="FSN39" s="117" t="str">
        <f>IF(FSL39&lt;5,"Sin Riesgo",IF(FSL39 &lt;=14,"Bajo",IF(FSL39&lt;=35,"Medio",IF(FSL39&lt;=80,"Alto","Inviable Sanitariamente"))))</f>
        <v>Bajo</v>
      </c>
      <c r="FSO39" s="117">
        <v>0</v>
      </c>
      <c r="FSS39" s="117">
        <v>0</v>
      </c>
      <c r="FSU39" s="117">
        <v>23.08</v>
      </c>
      <c r="FTA39" s="117">
        <f>AVERAGE(FSO39:FSZ39)</f>
        <v>7.6933333333333325</v>
      </c>
      <c r="FTB39" s="117" t="str">
        <f>IF(FTA39&lt;5,"SI","NO")</f>
        <v>NO</v>
      </c>
      <c r="FTC39" s="117" t="str">
        <f>IF(FTA39&lt;5,"Sin Riesgo",IF(FTA39 &lt;=14,"Bajo",IF(FTA39&lt;=35,"Medio",IF(FTA39&lt;=80,"Alto","Inviable Sanitariamente"))))</f>
        <v>Bajo</v>
      </c>
      <c r="FTD39" s="117">
        <v>0</v>
      </c>
      <c r="FTH39" s="117">
        <v>0</v>
      </c>
      <c r="FTJ39" s="117">
        <v>23.08</v>
      </c>
      <c r="FTP39" s="117">
        <f>AVERAGE(FTD39:FTO39)</f>
        <v>7.6933333333333325</v>
      </c>
      <c r="FTQ39" s="117" t="str">
        <f>IF(FTP39&lt;5,"SI","NO")</f>
        <v>NO</v>
      </c>
      <c r="FTR39" s="117" t="str">
        <f>IF(FTP39&lt;5,"Sin Riesgo",IF(FTP39 &lt;=14,"Bajo",IF(FTP39&lt;=35,"Medio",IF(FTP39&lt;=80,"Alto","Inviable Sanitariamente"))))</f>
        <v>Bajo</v>
      </c>
      <c r="FTS39" s="117">
        <v>0</v>
      </c>
      <c r="FTW39" s="117">
        <v>0</v>
      </c>
      <c r="FTY39" s="117">
        <v>23.08</v>
      </c>
      <c r="FUE39" s="117">
        <f>AVERAGE(FTS39:FUD39)</f>
        <v>7.6933333333333325</v>
      </c>
      <c r="FUF39" s="117" t="str">
        <f>IF(FUE39&lt;5,"SI","NO")</f>
        <v>NO</v>
      </c>
      <c r="FUG39" s="117" t="str">
        <f>IF(FUE39&lt;5,"Sin Riesgo",IF(FUE39 &lt;=14,"Bajo",IF(FUE39&lt;=35,"Medio",IF(FUE39&lt;=80,"Alto","Inviable Sanitariamente"))))</f>
        <v>Bajo</v>
      </c>
      <c r="FUH39" s="117">
        <v>0</v>
      </c>
      <c r="FUL39" s="117">
        <v>0</v>
      </c>
      <c r="FUN39" s="117">
        <v>23.08</v>
      </c>
      <c r="FUT39" s="117">
        <f>AVERAGE(FUH39:FUS39)</f>
        <v>7.6933333333333325</v>
      </c>
      <c r="FUU39" s="117" t="str">
        <f>IF(FUT39&lt;5,"SI","NO")</f>
        <v>NO</v>
      </c>
      <c r="FUV39" s="117" t="str">
        <f>IF(FUT39&lt;5,"Sin Riesgo",IF(FUT39 &lt;=14,"Bajo",IF(FUT39&lt;=35,"Medio",IF(FUT39&lt;=80,"Alto","Inviable Sanitariamente"))))</f>
        <v>Bajo</v>
      </c>
      <c r="FUW39" s="117">
        <v>0</v>
      </c>
      <c r="FVA39" s="117">
        <v>0</v>
      </c>
      <c r="FVC39" s="117">
        <v>23.08</v>
      </c>
      <c r="FVI39" s="117">
        <f>AVERAGE(FUW39:FVH39)</f>
        <v>7.6933333333333325</v>
      </c>
      <c r="FVJ39" s="117" t="str">
        <f>IF(FVI39&lt;5,"SI","NO")</f>
        <v>NO</v>
      </c>
      <c r="FVK39" s="117" t="str">
        <f>IF(FVI39&lt;5,"Sin Riesgo",IF(FVI39 &lt;=14,"Bajo",IF(FVI39&lt;=35,"Medio",IF(FVI39&lt;=80,"Alto","Inviable Sanitariamente"))))</f>
        <v>Bajo</v>
      </c>
      <c r="FVL39" s="117">
        <v>0</v>
      </c>
      <c r="FVP39" s="117">
        <v>0</v>
      </c>
      <c r="FVR39" s="117">
        <v>23.08</v>
      </c>
      <c r="FVX39" s="117">
        <f>AVERAGE(FVL39:FVW39)</f>
        <v>7.6933333333333325</v>
      </c>
      <c r="FVY39" s="117" t="str">
        <f>IF(FVX39&lt;5,"SI","NO")</f>
        <v>NO</v>
      </c>
      <c r="FVZ39" s="117" t="str">
        <f>IF(FVX39&lt;5,"Sin Riesgo",IF(FVX39 &lt;=14,"Bajo",IF(FVX39&lt;=35,"Medio",IF(FVX39&lt;=80,"Alto","Inviable Sanitariamente"))))</f>
        <v>Bajo</v>
      </c>
      <c r="FWA39" s="117">
        <v>0</v>
      </c>
      <c r="FWE39" s="117">
        <v>0</v>
      </c>
      <c r="FWG39" s="117">
        <v>23.08</v>
      </c>
      <c r="FWM39" s="117">
        <f>AVERAGE(FWA39:FWL39)</f>
        <v>7.6933333333333325</v>
      </c>
      <c r="FWN39" s="117" t="str">
        <f>IF(FWM39&lt;5,"SI","NO")</f>
        <v>NO</v>
      </c>
      <c r="FWO39" s="117" t="str">
        <f>IF(FWM39&lt;5,"Sin Riesgo",IF(FWM39 &lt;=14,"Bajo",IF(FWM39&lt;=35,"Medio",IF(FWM39&lt;=80,"Alto","Inviable Sanitariamente"))))</f>
        <v>Bajo</v>
      </c>
      <c r="FWP39" s="117">
        <v>0</v>
      </c>
      <c r="FWT39" s="117">
        <v>0</v>
      </c>
      <c r="FWV39" s="117">
        <v>23.08</v>
      </c>
      <c r="FXB39" s="117">
        <f>AVERAGE(FWP39:FXA39)</f>
        <v>7.6933333333333325</v>
      </c>
      <c r="FXC39" s="117" t="str">
        <f>IF(FXB39&lt;5,"SI","NO")</f>
        <v>NO</v>
      </c>
      <c r="FXD39" s="117" t="str">
        <f>IF(FXB39&lt;5,"Sin Riesgo",IF(FXB39 &lt;=14,"Bajo",IF(FXB39&lt;=35,"Medio",IF(FXB39&lt;=80,"Alto","Inviable Sanitariamente"))))</f>
        <v>Bajo</v>
      </c>
      <c r="FXE39" s="117">
        <v>0</v>
      </c>
      <c r="FXI39" s="117">
        <v>0</v>
      </c>
      <c r="FXK39" s="117">
        <v>23.08</v>
      </c>
      <c r="FXQ39" s="117">
        <f>AVERAGE(FXE39:FXP39)</f>
        <v>7.6933333333333325</v>
      </c>
      <c r="FXR39" s="117" t="str">
        <f>IF(FXQ39&lt;5,"SI","NO")</f>
        <v>NO</v>
      </c>
      <c r="FXS39" s="117" t="str">
        <f>IF(FXQ39&lt;5,"Sin Riesgo",IF(FXQ39 &lt;=14,"Bajo",IF(FXQ39&lt;=35,"Medio",IF(FXQ39&lt;=80,"Alto","Inviable Sanitariamente"))))</f>
        <v>Bajo</v>
      </c>
      <c r="FXT39" s="117">
        <v>0</v>
      </c>
      <c r="FXX39" s="117">
        <v>0</v>
      </c>
      <c r="FXZ39" s="117">
        <v>23.08</v>
      </c>
      <c r="FYF39" s="117">
        <f>AVERAGE(FXT39:FYE39)</f>
        <v>7.6933333333333325</v>
      </c>
      <c r="FYG39" s="117" t="str">
        <f>IF(FYF39&lt;5,"SI","NO")</f>
        <v>NO</v>
      </c>
      <c r="FYH39" s="117" t="str">
        <f>IF(FYF39&lt;5,"Sin Riesgo",IF(FYF39 &lt;=14,"Bajo",IF(FYF39&lt;=35,"Medio",IF(FYF39&lt;=80,"Alto","Inviable Sanitariamente"))))</f>
        <v>Bajo</v>
      </c>
      <c r="FYI39" s="117">
        <v>0</v>
      </c>
      <c r="FYM39" s="117">
        <v>0</v>
      </c>
      <c r="FYO39" s="117">
        <v>23.08</v>
      </c>
      <c r="FYU39" s="117">
        <f>AVERAGE(FYI39:FYT39)</f>
        <v>7.6933333333333325</v>
      </c>
      <c r="FYV39" s="117" t="str">
        <f>IF(FYU39&lt;5,"SI","NO")</f>
        <v>NO</v>
      </c>
      <c r="FYW39" s="117" t="str">
        <f>IF(FYU39&lt;5,"Sin Riesgo",IF(FYU39 &lt;=14,"Bajo",IF(FYU39&lt;=35,"Medio",IF(FYU39&lt;=80,"Alto","Inviable Sanitariamente"))))</f>
        <v>Bajo</v>
      </c>
      <c r="FYX39" s="117">
        <v>0</v>
      </c>
      <c r="FZB39" s="117">
        <v>0</v>
      </c>
      <c r="FZD39" s="117">
        <v>23.08</v>
      </c>
      <c r="FZJ39" s="117">
        <f>AVERAGE(FYX39:FZI39)</f>
        <v>7.6933333333333325</v>
      </c>
      <c r="FZK39" s="117" t="str">
        <f>IF(FZJ39&lt;5,"SI","NO")</f>
        <v>NO</v>
      </c>
      <c r="FZL39" s="117" t="str">
        <f>IF(FZJ39&lt;5,"Sin Riesgo",IF(FZJ39 &lt;=14,"Bajo",IF(FZJ39&lt;=35,"Medio",IF(FZJ39&lt;=80,"Alto","Inviable Sanitariamente"))))</f>
        <v>Bajo</v>
      </c>
      <c r="FZM39" s="117">
        <v>0</v>
      </c>
      <c r="FZQ39" s="117">
        <v>0</v>
      </c>
      <c r="FZS39" s="117">
        <v>23.08</v>
      </c>
      <c r="FZY39" s="117">
        <f>AVERAGE(FZM39:FZX39)</f>
        <v>7.6933333333333325</v>
      </c>
      <c r="FZZ39" s="117" t="str">
        <f>IF(FZY39&lt;5,"SI","NO")</f>
        <v>NO</v>
      </c>
      <c r="GAA39" s="117" t="str">
        <f>IF(FZY39&lt;5,"Sin Riesgo",IF(FZY39 &lt;=14,"Bajo",IF(FZY39&lt;=35,"Medio",IF(FZY39&lt;=80,"Alto","Inviable Sanitariamente"))))</f>
        <v>Bajo</v>
      </c>
      <c r="GAB39" s="117">
        <v>0</v>
      </c>
      <c r="GAF39" s="117">
        <v>0</v>
      </c>
      <c r="GAH39" s="117">
        <v>23.08</v>
      </c>
      <c r="GAN39" s="117">
        <f>AVERAGE(GAB39:GAM39)</f>
        <v>7.6933333333333325</v>
      </c>
      <c r="GAO39" s="117" t="str">
        <f>IF(GAN39&lt;5,"SI","NO")</f>
        <v>NO</v>
      </c>
      <c r="GAP39" s="117" t="str">
        <f>IF(GAN39&lt;5,"Sin Riesgo",IF(GAN39 &lt;=14,"Bajo",IF(GAN39&lt;=35,"Medio",IF(GAN39&lt;=80,"Alto","Inviable Sanitariamente"))))</f>
        <v>Bajo</v>
      </c>
      <c r="GAQ39" s="117">
        <v>0</v>
      </c>
      <c r="GAU39" s="117">
        <v>0</v>
      </c>
      <c r="GAW39" s="117">
        <v>23.08</v>
      </c>
      <c r="GBC39" s="117">
        <f>AVERAGE(GAQ39:GBB39)</f>
        <v>7.6933333333333325</v>
      </c>
      <c r="GBD39" s="117" t="str">
        <f>IF(GBC39&lt;5,"SI","NO")</f>
        <v>NO</v>
      </c>
      <c r="GBE39" s="117" t="str">
        <f>IF(GBC39&lt;5,"Sin Riesgo",IF(GBC39 &lt;=14,"Bajo",IF(GBC39&lt;=35,"Medio",IF(GBC39&lt;=80,"Alto","Inviable Sanitariamente"))))</f>
        <v>Bajo</v>
      </c>
      <c r="GBF39" s="117">
        <v>0</v>
      </c>
      <c r="GBJ39" s="117">
        <v>0</v>
      </c>
      <c r="GBL39" s="117">
        <v>23.08</v>
      </c>
      <c r="GBR39" s="117">
        <f>AVERAGE(GBF39:GBQ39)</f>
        <v>7.6933333333333325</v>
      </c>
      <c r="GBS39" s="117" t="str">
        <f>IF(GBR39&lt;5,"SI","NO")</f>
        <v>NO</v>
      </c>
      <c r="GBT39" s="117" t="str">
        <f>IF(GBR39&lt;5,"Sin Riesgo",IF(GBR39 &lt;=14,"Bajo",IF(GBR39&lt;=35,"Medio",IF(GBR39&lt;=80,"Alto","Inviable Sanitariamente"))))</f>
        <v>Bajo</v>
      </c>
      <c r="GBU39" s="117">
        <v>0</v>
      </c>
      <c r="GBY39" s="117">
        <v>0</v>
      </c>
      <c r="GCA39" s="117">
        <v>23.08</v>
      </c>
      <c r="GCG39" s="117">
        <f>AVERAGE(GBU39:GCF39)</f>
        <v>7.6933333333333325</v>
      </c>
      <c r="GCH39" s="117" t="str">
        <f>IF(GCG39&lt;5,"SI","NO")</f>
        <v>NO</v>
      </c>
      <c r="GCI39" s="117" t="str">
        <f>IF(GCG39&lt;5,"Sin Riesgo",IF(GCG39 &lt;=14,"Bajo",IF(GCG39&lt;=35,"Medio",IF(GCG39&lt;=80,"Alto","Inviable Sanitariamente"))))</f>
        <v>Bajo</v>
      </c>
      <c r="GCJ39" s="117">
        <v>0</v>
      </c>
      <c r="GCN39" s="117">
        <v>0</v>
      </c>
      <c r="GCP39" s="117">
        <v>23.08</v>
      </c>
      <c r="GCV39" s="117">
        <f>AVERAGE(GCJ39:GCU39)</f>
        <v>7.6933333333333325</v>
      </c>
      <c r="GCW39" s="117" t="str">
        <f>IF(GCV39&lt;5,"SI","NO")</f>
        <v>NO</v>
      </c>
      <c r="GCX39" s="117" t="str">
        <f>IF(GCV39&lt;5,"Sin Riesgo",IF(GCV39 &lt;=14,"Bajo",IF(GCV39&lt;=35,"Medio",IF(GCV39&lt;=80,"Alto","Inviable Sanitariamente"))))</f>
        <v>Bajo</v>
      </c>
      <c r="GCY39" s="117">
        <v>0</v>
      </c>
      <c r="GDC39" s="117">
        <v>0</v>
      </c>
      <c r="GDE39" s="117">
        <v>23.08</v>
      </c>
      <c r="GDK39" s="117">
        <f>AVERAGE(GCY39:GDJ39)</f>
        <v>7.6933333333333325</v>
      </c>
      <c r="GDL39" s="117" t="str">
        <f>IF(GDK39&lt;5,"SI","NO")</f>
        <v>NO</v>
      </c>
      <c r="GDM39" s="117" t="str">
        <f>IF(GDK39&lt;5,"Sin Riesgo",IF(GDK39 &lt;=14,"Bajo",IF(GDK39&lt;=35,"Medio",IF(GDK39&lt;=80,"Alto","Inviable Sanitariamente"))))</f>
        <v>Bajo</v>
      </c>
      <c r="GDN39" s="117">
        <v>0</v>
      </c>
      <c r="GDR39" s="117">
        <v>0</v>
      </c>
      <c r="GDT39" s="117">
        <v>23.08</v>
      </c>
      <c r="GDZ39" s="117">
        <f>AVERAGE(GDN39:GDY39)</f>
        <v>7.6933333333333325</v>
      </c>
      <c r="GEA39" s="117" t="str">
        <f>IF(GDZ39&lt;5,"SI","NO")</f>
        <v>NO</v>
      </c>
      <c r="GEB39" s="117" t="str">
        <f>IF(GDZ39&lt;5,"Sin Riesgo",IF(GDZ39 &lt;=14,"Bajo",IF(GDZ39&lt;=35,"Medio",IF(GDZ39&lt;=80,"Alto","Inviable Sanitariamente"))))</f>
        <v>Bajo</v>
      </c>
      <c r="GEC39" s="117">
        <v>0</v>
      </c>
      <c r="GEG39" s="117">
        <v>0</v>
      </c>
      <c r="GEI39" s="117">
        <v>23.08</v>
      </c>
      <c r="GEO39" s="117">
        <f>AVERAGE(GEC39:GEN39)</f>
        <v>7.6933333333333325</v>
      </c>
      <c r="GEP39" s="117" t="str">
        <f>IF(GEO39&lt;5,"SI","NO")</f>
        <v>NO</v>
      </c>
      <c r="GEQ39" s="117" t="str">
        <f>IF(GEO39&lt;5,"Sin Riesgo",IF(GEO39 &lt;=14,"Bajo",IF(GEO39&lt;=35,"Medio",IF(GEO39&lt;=80,"Alto","Inviable Sanitariamente"))))</f>
        <v>Bajo</v>
      </c>
      <c r="GER39" s="117">
        <v>0</v>
      </c>
      <c r="GEV39" s="117">
        <v>0</v>
      </c>
      <c r="GEX39" s="117">
        <v>23.08</v>
      </c>
      <c r="GFD39" s="117">
        <f>AVERAGE(GER39:GFC39)</f>
        <v>7.6933333333333325</v>
      </c>
      <c r="GFE39" s="117" t="str">
        <f>IF(GFD39&lt;5,"SI","NO")</f>
        <v>NO</v>
      </c>
      <c r="GFF39" s="117" t="str">
        <f>IF(GFD39&lt;5,"Sin Riesgo",IF(GFD39 &lt;=14,"Bajo",IF(GFD39&lt;=35,"Medio",IF(GFD39&lt;=80,"Alto","Inviable Sanitariamente"))))</f>
        <v>Bajo</v>
      </c>
      <c r="GFG39" s="117">
        <v>0</v>
      </c>
      <c r="GFK39" s="117">
        <v>0</v>
      </c>
      <c r="GFM39" s="117">
        <v>23.08</v>
      </c>
      <c r="GFS39" s="117">
        <f>AVERAGE(GFG39:GFR39)</f>
        <v>7.6933333333333325</v>
      </c>
      <c r="GFT39" s="117" t="str">
        <f>IF(GFS39&lt;5,"SI","NO")</f>
        <v>NO</v>
      </c>
      <c r="GFU39" s="117" t="str">
        <f>IF(GFS39&lt;5,"Sin Riesgo",IF(GFS39 &lt;=14,"Bajo",IF(GFS39&lt;=35,"Medio",IF(GFS39&lt;=80,"Alto","Inviable Sanitariamente"))))</f>
        <v>Bajo</v>
      </c>
      <c r="GFV39" s="117">
        <v>0</v>
      </c>
      <c r="GFZ39" s="117">
        <v>0</v>
      </c>
      <c r="GGB39" s="117">
        <v>23.08</v>
      </c>
      <c r="GGH39" s="117">
        <f>AVERAGE(GFV39:GGG39)</f>
        <v>7.6933333333333325</v>
      </c>
      <c r="GGI39" s="117" t="str">
        <f>IF(GGH39&lt;5,"SI","NO")</f>
        <v>NO</v>
      </c>
      <c r="GGJ39" s="117" t="str">
        <f>IF(GGH39&lt;5,"Sin Riesgo",IF(GGH39 &lt;=14,"Bajo",IF(GGH39&lt;=35,"Medio",IF(GGH39&lt;=80,"Alto","Inviable Sanitariamente"))))</f>
        <v>Bajo</v>
      </c>
      <c r="GGK39" s="117">
        <v>0</v>
      </c>
      <c r="GGO39" s="117">
        <v>0</v>
      </c>
      <c r="GGQ39" s="117">
        <v>23.08</v>
      </c>
      <c r="GGW39" s="117">
        <f>AVERAGE(GGK39:GGV39)</f>
        <v>7.6933333333333325</v>
      </c>
      <c r="GGX39" s="117" t="str">
        <f>IF(GGW39&lt;5,"SI","NO")</f>
        <v>NO</v>
      </c>
      <c r="GGY39" s="117" t="str">
        <f>IF(GGW39&lt;5,"Sin Riesgo",IF(GGW39 &lt;=14,"Bajo",IF(GGW39&lt;=35,"Medio",IF(GGW39&lt;=80,"Alto","Inviable Sanitariamente"))))</f>
        <v>Bajo</v>
      </c>
      <c r="GGZ39" s="117">
        <v>0</v>
      </c>
      <c r="GHD39" s="117">
        <v>0</v>
      </c>
      <c r="GHF39" s="117">
        <v>23.08</v>
      </c>
      <c r="GHL39" s="117">
        <f>AVERAGE(GGZ39:GHK39)</f>
        <v>7.6933333333333325</v>
      </c>
      <c r="GHM39" s="117" t="str">
        <f>IF(GHL39&lt;5,"SI","NO")</f>
        <v>NO</v>
      </c>
      <c r="GHN39" s="117" t="str">
        <f>IF(GHL39&lt;5,"Sin Riesgo",IF(GHL39 &lt;=14,"Bajo",IF(GHL39&lt;=35,"Medio",IF(GHL39&lt;=80,"Alto","Inviable Sanitariamente"))))</f>
        <v>Bajo</v>
      </c>
      <c r="GHO39" s="117">
        <v>0</v>
      </c>
      <c r="GHS39" s="117">
        <v>0</v>
      </c>
      <c r="GHU39" s="117">
        <v>23.08</v>
      </c>
      <c r="GIA39" s="117">
        <f>AVERAGE(GHO39:GHZ39)</f>
        <v>7.6933333333333325</v>
      </c>
      <c r="GIB39" s="117" t="str">
        <f>IF(GIA39&lt;5,"SI","NO")</f>
        <v>NO</v>
      </c>
      <c r="GIC39" s="117" t="str">
        <f>IF(GIA39&lt;5,"Sin Riesgo",IF(GIA39 &lt;=14,"Bajo",IF(GIA39&lt;=35,"Medio",IF(GIA39&lt;=80,"Alto","Inviable Sanitariamente"))))</f>
        <v>Bajo</v>
      </c>
      <c r="GID39" s="117">
        <v>0</v>
      </c>
      <c r="GIH39" s="117">
        <v>0</v>
      </c>
      <c r="GIJ39" s="117">
        <v>23.08</v>
      </c>
      <c r="GIP39" s="117">
        <f>AVERAGE(GID39:GIO39)</f>
        <v>7.6933333333333325</v>
      </c>
      <c r="GIQ39" s="117" t="str">
        <f>IF(GIP39&lt;5,"SI","NO")</f>
        <v>NO</v>
      </c>
      <c r="GIR39" s="117" t="str">
        <f>IF(GIP39&lt;5,"Sin Riesgo",IF(GIP39 &lt;=14,"Bajo",IF(GIP39&lt;=35,"Medio",IF(GIP39&lt;=80,"Alto","Inviable Sanitariamente"))))</f>
        <v>Bajo</v>
      </c>
      <c r="GIS39" s="117">
        <v>0</v>
      </c>
      <c r="GIW39" s="117">
        <v>0</v>
      </c>
      <c r="GIY39" s="117">
        <v>23.08</v>
      </c>
      <c r="GJE39" s="117">
        <f>AVERAGE(GIS39:GJD39)</f>
        <v>7.6933333333333325</v>
      </c>
      <c r="GJF39" s="117" t="str">
        <f>IF(GJE39&lt;5,"SI","NO")</f>
        <v>NO</v>
      </c>
      <c r="GJG39" s="117" t="str">
        <f>IF(GJE39&lt;5,"Sin Riesgo",IF(GJE39 &lt;=14,"Bajo",IF(GJE39&lt;=35,"Medio",IF(GJE39&lt;=80,"Alto","Inviable Sanitariamente"))))</f>
        <v>Bajo</v>
      </c>
      <c r="GJH39" s="117">
        <v>0</v>
      </c>
      <c r="GJL39" s="117">
        <v>0</v>
      </c>
      <c r="GJN39" s="117">
        <v>23.08</v>
      </c>
      <c r="GJT39" s="117">
        <f>AVERAGE(GJH39:GJS39)</f>
        <v>7.6933333333333325</v>
      </c>
      <c r="GJU39" s="117" t="str">
        <f>IF(GJT39&lt;5,"SI","NO")</f>
        <v>NO</v>
      </c>
      <c r="GJV39" s="117" t="str">
        <f>IF(GJT39&lt;5,"Sin Riesgo",IF(GJT39 &lt;=14,"Bajo",IF(GJT39&lt;=35,"Medio",IF(GJT39&lt;=80,"Alto","Inviable Sanitariamente"))))</f>
        <v>Bajo</v>
      </c>
      <c r="GJW39" s="117">
        <v>0</v>
      </c>
      <c r="GKA39" s="117">
        <v>0</v>
      </c>
      <c r="GKC39" s="117">
        <v>23.08</v>
      </c>
      <c r="GKI39" s="117">
        <f>AVERAGE(GJW39:GKH39)</f>
        <v>7.6933333333333325</v>
      </c>
      <c r="GKJ39" s="117" t="str">
        <f>IF(GKI39&lt;5,"SI","NO")</f>
        <v>NO</v>
      </c>
      <c r="GKK39" s="117" t="str">
        <f>IF(GKI39&lt;5,"Sin Riesgo",IF(GKI39 &lt;=14,"Bajo",IF(GKI39&lt;=35,"Medio",IF(GKI39&lt;=80,"Alto","Inviable Sanitariamente"))))</f>
        <v>Bajo</v>
      </c>
      <c r="GKL39" s="117">
        <v>0</v>
      </c>
      <c r="GKP39" s="117">
        <v>0</v>
      </c>
      <c r="GKR39" s="117">
        <v>23.08</v>
      </c>
      <c r="GKX39" s="117">
        <f>AVERAGE(GKL39:GKW39)</f>
        <v>7.6933333333333325</v>
      </c>
      <c r="GKY39" s="117" t="str">
        <f>IF(GKX39&lt;5,"SI","NO")</f>
        <v>NO</v>
      </c>
      <c r="GKZ39" s="117" t="str">
        <f>IF(GKX39&lt;5,"Sin Riesgo",IF(GKX39 &lt;=14,"Bajo",IF(GKX39&lt;=35,"Medio",IF(GKX39&lt;=80,"Alto","Inviable Sanitariamente"))))</f>
        <v>Bajo</v>
      </c>
      <c r="GLA39" s="117">
        <v>0</v>
      </c>
      <c r="GLE39" s="117">
        <v>0</v>
      </c>
      <c r="GLG39" s="117">
        <v>23.08</v>
      </c>
      <c r="GLM39" s="117">
        <f>AVERAGE(GLA39:GLL39)</f>
        <v>7.6933333333333325</v>
      </c>
      <c r="GLN39" s="117" t="str">
        <f>IF(GLM39&lt;5,"SI","NO")</f>
        <v>NO</v>
      </c>
      <c r="GLO39" s="117" t="str">
        <f>IF(GLM39&lt;5,"Sin Riesgo",IF(GLM39 &lt;=14,"Bajo",IF(GLM39&lt;=35,"Medio",IF(GLM39&lt;=80,"Alto","Inviable Sanitariamente"))))</f>
        <v>Bajo</v>
      </c>
      <c r="GLP39" s="117">
        <v>0</v>
      </c>
      <c r="GLT39" s="117">
        <v>0</v>
      </c>
      <c r="GLV39" s="117">
        <v>23.08</v>
      </c>
      <c r="GMB39" s="117">
        <f>AVERAGE(GLP39:GMA39)</f>
        <v>7.6933333333333325</v>
      </c>
      <c r="GMC39" s="117" t="str">
        <f>IF(GMB39&lt;5,"SI","NO")</f>
        <v>NO</v>
      </c>
      <c r="GMD39" s="117" t="str">
        <f>IF(GMB39&lt;5,"Sin Riesgo",IF(GMB39 &lt;=14,"Bajo",IF(GMB39&lt;=35,"Medio",IF(GMB39&lt;=80,"Alto","Inviable Sanitariamente"))))</f>
        <v>Bajo</v>
      </c>
      <c r="GME39" s="117">
        <v>0</v>
      </c>
      <c r="GMI39" s="117">
        <v>0</v>
      </c>
      <c r="GMK39" s="117">
        <v>23.08</v>
      </c>
      <c r="GMQ39" s="117">
        <f>AVERAGE(GME39:GMP39)</f>
        <v>7.6933333333333325</v>
      </c>
      <c r="GMR39" s="117" t="str">
        <f>IF(GMQ39&lt;5,"SI","NO")</f>
        <v>NO</v>
      </c>
      <c r="GMS39" s="117" t="str">
        <f>IF(GMQ39&lt;5,"Sin Riesgo",IF(GMQ39 &lt;=14,"Bajo",IF(GMQ39&lt;=35,"Medio",IF(GMQ39&lt;=80,"Alto","Inviable Sanitariamente"))))</f>
        <v>Bajo</v>
      </c>
      <c r="GMT39" s="117">
        <v>0</v>
      </c>
      <c r="GMX39" s="117">
        <v>0</v>
      </c>
      <c r="GMZ39" s="117">
        <v>23.08</v>
      </c>
      <c r="GNF39" s="117">
        <f>AVERAGE(GMT39:GNE39)</f>
        <v>7.6933333333333325</v>
      </c>
      <c r="GNG39" s="117" t="str">
        <f>IF(GNF39&lt;5,"SI","NO")</f>
        <v>NO</v>
      </c>
      <c r="GNH39" s="117" t="str">
        <f>IF(GNF39&lt;5,"Sin Riesgo",IF(GNF39 &lt;=14,"Bajo",IF(GNF39&lt;=35,"Medio",IF(GNF39&lt;=80,"Alto","Inviable Sanitariamente"))))</f>
        <v>Bajo</v>
      </c>
      <c r="GNI39" s="117">
        <v>0</v>
      </c>
      <c r="GNM39" s="117">
        <v>0</v>
      </c>
      <c r="GNO39" s="117">
        <v>23.08</v>
      </c>
      <c r="GNU39" s="117">
        <f>AVERAGE(GNI39:GNT39)</f>
        <v>7.6933333333333325</v>
      </c>
      <c r="GNV39" s="117" t="str">
        <f>IF(GNU39&lt;5,"SI","NO")</f>
        <v>NO</v>
      </c>
      <c r="GNW39" s="117" t="str">
        <f>IF(GNU39&lt;5,"Sin Riesgo",IF(GNU39 &lt;=14,"Bajo",IF(GNU39&lt;=35,"Medio",IF(GNU39&lt;=80,"Alto","Inviable Sanitariamente"))))</f>
        <v>Bajo</v>
      </c>
      <c r="GNX39" s="117">
        <v>0</v>
      </c>
      <c r="GOB39" s="117">
        <v>0</v>
      </c>
      <c r="GOD39" s="117">
        <v>23.08</v>
      </c>
      <c r="GOJ39" s="117">
        <f>AVERAGE(GNX39:GOI39)</f>
        <v>7.6933333333333325</v>
      </c>
      <c r="GOK39" s="117" t="str">
        <f>IF(GOJ39&lt;5,"SI","NO")</f>
        <v>NO</v>
      </c>
      <c r="GOL39" s="117" t="str">
        <f>IF(GOJ39&lt;5,"Sin Riesgo",IF(GOJ39 &lt;=14,"Bajo",IF(GOJ39&lt;=35,"Medio",IF(GOJ39&lt;=80,"Alto","Inviable Sanitariamente"))))</f>
        <v>Bajo</v>
      </c>
      <c r="GOM39" s="117">
        <v>0</v>
      </c>
      <c r="GOQ39" s="117">
        <v>0</v>
      </c>
      <c r="GOS39" s="117">
        <v>23.08</v>
      </c>
      <c r="GOY39" s="117">
        <f>AVERAGE(GOM39:GOX39)</f>
        <v>7.6933333333333325</v>
      </c>
      <c r="GOZ39" s="117" t="str">
        <f>IF(GOY39&lt;5,"SI","NO")</f>
        <v>NO</v>
      </c>
      <c r="GPA39" s="117" t="str">
        <f>IF(GOY39&lt;5,"Sin Riesgo",IF(GOY39 &lt;=14,"Bajo",IF(GOY39&lt;=35,"Medio",IF(GOY39&lt;=80,"Alto","Inviable Sanitariamente"))))</f>
        <v>Bajo</v>
      </c>
      <c r="GPB39" s="117">
        <v>0</v>
      </c>
      <c r="GPF39" s="117">
        <v>0</v>
      </c>
      <c r="GPH39" s="117">
        <v>23.08</v>
      </c>
      <c r="GPN39" s="117">
        <f>AVERAGE(GPB39:GPM39)</f>
        <v>7.6933333333333325</v>
      </c>
      <c r="GPO39" s="117" t="str">
        <f>IF(GPN39&lt;5,"SI","NO")</f>
        <v>NO</v>
      </c>
      <c r="GPP39" s="117" t="str">
        <f>IF(GPN39&lt;5,"Sin Riesgo",IF(GPN39 &lt;=14,"Bajo",IF(GPN39&lt;=35,"Medio",IF(GPN39&lt;=80,"Alto","Inviable Sanitariamente"))))</f>
        <v>Bajo</v>
      </c>
      <c r="GPQ39" s="117">
        <v>0</v>
      </c>
      <c r="GPU39" s="117">
        <v>0</v>
      </c>
      <c r="GPW39" s="117">
        <v>23.08</v>
      </c>
      <c r="GQC39" s="117">
        <f>AVERAGE(GPQ39:GQB39)</f>
        <v>7.6933333333333325</v>
      </c>
      <c r="GQD39" s="117" t="str">
        <f>IF(GQC39&lt;5,"SI","NO")</f>
        <v>NO</v>
      </c>
      <c r="GQE39" s="117" t="str">
        <f>IF(GQC39&lt;5,"Sin Riesgo",IF(GQC39 &lt;=14,"Bajo",IF(GQC39&lt;=35,"Medio",IF(GQC39&lt;=80,"Alto","Inviable Sanitariamente"))))</f>
        <v>Bajo</v>
      </c>
      <c r="GQF39" s="117">
        <v>0</v>
      </c>
      <c r="GQJ39" s="117">
        <v>0</v>
      </c>
      <c r="GQL39" s="117">
        <v>23.08</v>
      </c>
      <c r="GQR39" s="117">
        <f>AVERAGE(GQF39:GQQ39)</f>
        <v>7.6933333333333325</v>
      </c>
      <c r="GQS39" s="117" t="str">
        <f>IF(GQR39&lt;5,"SI","NO")</f>
        <v>NO</v>
      </c>
      <c r="GQT39" s="117" t="str">
        <f>IF(GQR39&lt;5,"Sin Riesgo",IF(GQR39 &lt;=14,"Bajo",IF(GQR39&lt;=35,"Medio",IF(GQR39&lt;=80,"Alto","Inviable Sanitariamente"))))</f>
        <v>Bajo</v>
      </c>
      <c r="GQU39" s="117">
        <v>0</v>
      </c>
      <c r="GQY39" s="117">
        <v>0</v>
      </c>
      <c r="GRA39" s="117">
        <v>23.08</v>
      </c>
      <c r="GRG39" s="117">
        <f>AVERAGE(GQU39:GRF39)</f>
        <v>7.6933333333333325</v>
      </c>
      <c r="GRH39" s="117" t="str">
        <f>IF(GRG39&lt;5,"SI","NO")</f>
        <v>NO</v>
      </c>
      <c r="GRI39" s="117" t="str">
        <f>IF(GRG39&lt;5,"Sin Riesgo",IF(GRG39 &lt;=14,"Bajo",IF(GRG39&lt;=35,"Medio",IF(GRG39&lt;=80,"Alto","Inviable Sanitariamente"))))</f>
        <v>Bajo</v>
      </c>
      <c r="GRJ39" s="117">
        <v>0</v>
      </c>
      <c r="GRN39" s="117">
        <v>0</v>
      </c>
      <c r="GRP39" s="117">
        <v>23.08</v>
      </c>
      <c r="GRV39" s="117">
        <f>AVERAGE(GRJ39:GRU39)</f>
        <v>7.6933333333333325</v>
      </c>
      <c r="GRW39" s="117" t="str">
        <f>IF(GRV39&lt;5,"SI","NO")</f>
        <v>NO</v>
      </c>
      <c r="GRX39" s="117" t="str">
        <f>IF(GRV39&lt;5,"Sin Riesgo",IF(GRV39 &lt;=14,"Bajo",IF(GRV39&lt;=35,"Medio",IF(GRV39&lt;=80,"Alto","Inviable Sanitariamente"))))</f>
        <v>Bajo</v>
      </c>
      <c r="GRY39" s="117">
        <v>0</v>
      </c>
      <c r="GSC39" s="117">
        <v>0</v>
      </c>
      <c r="GSE39" s="117">
        <v>23.08</v>
      </c>
      <c r="GSK39" s="117">
        <f>AVERAGE(GRY39:GSJ39)</f>
        <v>7.6933333333333325</v>
      </c>
      <c r="GSL39" s="117" t="str">
        <f>IF(GSK39&lt;5,"SI","NO")</f>
        <v>NO</v>
      </c>
      <c r="GSM39" s="117" t="str">
        <f>IF(GSK39&lt;5,"Sin Riesgo",IF(GSK39 &lt;=14,"Bajo",IF(GSK39&lt;=35,"Medio",IF(GSK39&lt;=80,"Alto","Inviable Sanitariamente"))))</f>
        <v>Bajo</v>
      </c>
      <c r="GSN39" s="117">
        <v>0</v>
      </c>
      <c r="GSR39" s="117">
        <v>0</v>
      </c>
      <c r="GST39" s="117">
        <v>23.08</v>
      </c>
      <c r="GSZ39" s="117">
        <f>AVERAGE(GSN39:GSY39)</f>
        <v>7.6933333333333325</v>
      </c>
      <c r="GTA39" s="117" t="str">
        <f>IF(GSZ39&lt;5,"SI","NO")</f>
        <v>NO</v>
      </c>
      <c r="GTB39" s="117" t="str">
        <f>IF(GSZ39&lt;5,"Sin Riesgo",IF(GSZ39 &lt;=14,"Bajo",IF(GSZ39&lt;=35,"Medio",IF(GSZ39&lt;=80,"Alto","Inviable Sanitariamente"))))</f>
        <v>Bajo</v>
      </c>
      <c r="GTC39" s="117">
        <v>0</v>
      </c>
      <c r="GTG39" s="117">
        <v>0</v>
      </c>
      <c r="GTI39" s="117">
        <v>23.08</v>
      </c>
      <c r="GTO39" s="117">
        <f>AVERAGE(GTC39:GTN39)</f>
        <v>7.6933333333333325</v>
      </c>
      <c r="GTP39" s="117" t="str">
        <f>IF(GTO39&lt;5,"SI","NO")</f>
        <v>NO</v>
      </c>
      <c r="GTQ39" s="117" t="str">
        <f>IF(GTO39&lt;5,"Sin Riesgo",IF(GTO39 &lt;=14,"Bajo",IF(GTO39&lt;=35,"Medio",IF(GTO39&lt;=80,"Alto","Inviable Sanitariamente"))))</f>
        <v>Bajo</v>
      </c>
      <c r="GTR39" s="117">
        <v>0</v>
      </c>
      <c r="GTV39" s="117">
        <v>0</v>
      </c>
      <c r="GTX39" s="117">
        <v>23.08</v>
      </c>
      <c r="GUD39" s="117">
        <f>AVERAGE(GTR39:GUC39)</f>
        <v>7.6933333333333325</v>
      </c>
      <c r="GUE39" s="117" t="str">
        <f>IF(GUD39&lt;5,"SI","NO")</f>
        <v>NO</v>
      </c>
      <c r="GUF39" s="117" t="str">
        <f>IF(GUD39&lt;5,"Sin Riesgo",IF(GUD39 &lt;=14,"Bajo",IF(GUD39&lt;=35,"Medio",IF(GUD39&lt;=80,"Alto","Inviable Sanitariamente"))))</f>
        <v>Bajo</v>
      </c>
      <c r="GUG39" s="117">
        <v>0</v>
      </c>
      <c r="GUK39" s="117">
        <v>0</v>
      </c>
      <c r="GUM39" s="117">
        <v>23.08</v>
      </c>
      <c r="GUS39" s="117">
        <f>AVERAGE(GUG39:GUR39)</f>
        <v>7.6933333333333325</v>
      </c>
      <c r="GUT39" s="117" t="str">
        <f>IF(GUS39&lt;5,"SI","NO")</f>
        <v>NO</v>
      </c>
      <c r="GUU39" s="117" t="str">
        <f>IF(GUS39&lt;5,"Sin Riesgo",IF(GUS39 &lt;=14,"Bajo",IF(GUS39&lt;=35,"Medio",IF(GUS39&lt;=80,"Alto","Inviable Sanitariamente"))))</f>
        <v>Bajo</v>
      </c>
      <c r="GUV39" s="117">
        <v>0</v>
      </c>
      <c r="GUZ39" s="117">
        <v>0</v>
      </c>
      <c r="GVB39" s="117">
        <v>23.08</v>
      </c>
      <c r="GVH39" s="117">
        <f>AVERAGE(GUV39:GVG39)</f>
        <v>7.6933333333333325</v>
      </c>
      <c r="GVI39" s="117" t="str">
        <f>IF(GVH39&lt;5,"SI","NO")</f>
        <v>NO</v>
      </c>
      <c r="GVJ39" s="117" t="str">
        <f>IF(GVH39&lt;5,"Sin Riesgo",IF(GVH39 &lt;=14,"Bajo",IF(GVH39&lt;=35,"Medio",IF(GVH39&lt;=80,"Alto","Inviable Sanitariamente"))))</f>
        <v>Bajo</v>
      </c>
      <c r="GVK39" s="117">
        <v>0</v>
      </c>
      <c r="GVO39" s="117">
        <v>0</v>
      </c>
      <c r="GVQ39" s="117">
        <v>23.08</v>
      </c>
      <c r="GVW39" s="117">
        <f>AVERAGE(GVK39:GVV39)</f>
        <v>7.6933333333333325</v>
      </c>
      <c r="GVX39" s="117" t="str">
        <f>IF(GVW39&lt;5,"SI","NO")</f>
        <v>NO</v>
      </c>
      <c r="GVY39" s="117" t="str">
        <f>IF(GVW39&lt;5,"Sin Riesgo",IF(GVW39 &lt;=14,"Bajo",IF(GVW39&lt;=35,"Medio",IF(GVW39&lt;=80,"Alto","Inviable Sanitariamente"))))</f>
        <v>Bajo</v>
      </c>
      <c r="GVZ39" s="117">
        <v>0</v>
      </c>
      <c r="GWD39" s="117">
        <v>0</v>
      </c>
      <c r="GWF39" s="117">
        <v>23.08</v>
      </c>
      <c r="GWL39" s="117">
        <f>AVERAGE(GVZ39:GWK39)</f>
        <v>7.6933333333333325</v>
      </c>
      <c r="GWM39" s="117" t="str">
        <f>IF(GWL39&lt;5,"SI","NO")</f>
        <v>NO</v>
      </c>
      <c r="GWN39" s="117" t="str">
        <f>IF(GWL39&lt;5,"Sin Riesgo",IF(GWL39 &lt;=14,"Bajo",IF(GWL39&lt;=35,"Medio",IF(GWL39&lt;=80,"Alto","Inviable Sanitariamente"))))</f>
        <v>Bajo</v>
      </c>
      <c r="GWO39" s="117">
        <v>0</v>
      </c>
      <c r="GWS39" s="117">
        <v>0</v>
      </c>
      <c r="GWU39" s="117">
        <v>23.08</v>
      </c>
      <c r="GXA39" s="117">
        <f>AVERAGE(GWO39:GWZ39)</f>
        <v>7.6933333333333325</v>
      </c>
      <c r="GXB39" s="117" t="str">
        <f>IF(GXA39&lt;5,"SI","NO")</f>
        <v>NO</v>
      </c>
      <c r="GXC39" s="117" t="str">
        <f>IF(GXA39&lt;5,"Sin Riesgo",IF(GXA39 &lt;=14,"Bajo",IF(GXA39&lt;=35,"Medio",IF(GXA39&lt;=80,"Alto","Inviable Sanitariamente"))))</f>
        <v>Bajo</v>
      </c>
      <c r="GXD39" s="117">
        <v>0</v>
      </c>
      <c r="GXH39" s="117">
        <v>0</v>
      </c>
      <c r="GXJ39" s="117">
        <v>23.08</v>
      </c>
      <c r="GXP39" s="117">
        <f>AVERAGE(GXD39:GXO39)</f>
        <v>7.6933333333333325</v>
      </c>
      <c r="GXQ39" s="117" t="str">
        <f>IF(GXP39&lt;5,"SI","NO")</f>
        <v>NO</v>
      </c>
      <c r="GXR39" s="117" t="str">
        <f>IF(GXP39&lt;5,"Sin Riesgo",IF(GXP39 &lt;=14,"Bajo",IF(GXP39&lt;=35,"Medio",IF(GXP39&lt;=80,"Alto","Inviable Sanitariamente"))))</f>
        <v>Bajo</v>
      </c>
      <c r="GXS39" s="117">
        <v>0</v>
      </c>
      <c r="GXW39" s="117">
        <v>0</v>
      </c>
      <c r="GXY39" s="117">
        <v>23.08</v>
      </c>
      <c r="GYE39" s="117">
        <f>AVERAGE(GXS39:GYD39)</f>
        <v>7.6933333333333325</v>
      </c>
      <c r="GYF39" s="117" t="str">
        <f>IF(GYE39&lt;5,"SI","NO")</f>
        <v>NO</v>
      </c>
      <c r="GYG39" s="117" t="str">
        <f>IF(GYE39&lt;5,"Sin Riesgo",IF(GYE39 &lt;=14,"Bajo",IF(GYE39&lt;=35,"Medio",IF(GYE39&lt;=80,"Alto","Inviable Sanitariamente"))))</f>
        <v>Bajo</v>
      </c>
      <c r="GYH39" s="117">
        <v>0</v>
      </c>
      <c r="GYL39" s="117">
        <v>0</v>
      </c>
      <c r="GYN39" s="117">
        <v>23.08</v>
      </c>
      <c r="GYT39" s="117">
        <f>AVERAGE(GYH39:GYS39)</f>
        <v>7.6933333333333325</v>
      </c>
      <c r="GYU39" s="117" t="str">
        <f>IF(GYT39&lt;5,"SI","NO")</f>
        <v>NO</v>
      </c>
      <c r="GYV39" s="117" t="str">
        <f>IF(GYT39&lt;5,"Sin Riesgo",IF(GYT39 &lt;=14,"Bajo",IF(GYT39&lt;=35,"Medio",IF(GYT39&lt;=80,"Alto","Inviable Sanitariamente"))))</f>
        <v>Bajo</v>
      </c>
      <c r="GYW39" s="117">
        <v>0</v>
      </c>
      <c r="GZA39" s="117">
        <v>0</v>
      </c>
      <c r="GZC39" s="117">
        <v>23.08</v>
      </c>
      <c r="GZI39" s="117">
        <f>AVERAGE(GYW39:GZH39)</f>
        <v>7.6933333333333325</v>
      </c>
      <c r="GZJ39" s="117" t="str">
        <f>IF(GZI39&lt;5,"SI","NO")</f>
        <v>NO</v>
      </c>
      <c r="GZK39" s="117" t="str">
        <f>IF(GZI39&lt;5,"Sin Riesgo",IF(GZI39 &lt;=14,"Bajo",IF(GZI39&lt;=35,"Medio",IF(GZI39&lt;=80,"Alto","Inviable Sanitariamente"))))</f>
        <v>Bajo</v>
      </c>
      <c r="GZL39" s="117">
        <v>0</v>
      </c>
      <c r="GZP39" s="117">
        <v>0</v>
      </c>
      <c r="GZR39" s="117">
        <v>23.08</v>
      </c>
      <c r="GZX39" s="117">
        <f>AVERAGE(GZL39:GZW39)</f>
        <v>7.6933333333333325</v>
      </c>
      <c r="GZY39" s="117" t="str">
        <f>IF(GZX39&lt;5,"SI","NO")</f>
        <v>NO</v>
      </c>
      <c r="GZZ39" s="117" t="str">
        <f>IF(GZX39&lt;5,"Sin Riesgo",IF(GZX39 &lt;=14,"Bajo",IF(GZX39&lt;=35,"Medio",IF(GZX39&lt;=80,"Alto","Inviable Sanitariamente"))))</f>
        <v>Bajo</v>
      </c>
      <c r="HAA39" s="117">
        <v>0</v>
      </c>
      <c r="HAE39" s="117">
        <v>0</v>
      </c>
      <c r="HAG39" s="117">
        <v>23.08</v>
      </c>
      <c r="HAM39" s="117">
        <f>AVERAGE(HAA39:HAL39)</f>
        <v>7.6933333333333325</v>
      </c>
      <c r="HAN39" s="117" t="str">
        <f>IF(HAM39&lt;5,"SI","NO")</f>
        <v>NO</v>
      </c>
      <c r="HAO39" s="117" t="str">
        <f>IF(HAM39&lt;5,"Sin Riesgo",IF(HAM39 &lt;=14,"Bajo",IF(HAM39&lt;=35,"Medio",IF(HAM39&lt;=80,"Alto","Inviable Sanitariamente"))))</f>
        <v>Bajo</v>
      </c>
      <c r="HAP39" s="117">
        <v>0</v>
      </c>
      <c r="HAT39" s="117">
        <v>0</v>
      </c>
      <c r="HAV39" s="117">
        <v>23.08</v>
      </c>
      <c r="HBB39" s="117">
        <f>AVERAGE(HAP39:HBA39)</f>
        <v>7.6933333333333325</v>
      </c>
      <c r="HBC39" s="117" t="str">
        <f>IF(HBB39&lt;5,"SI","NO")</f>
        <v>NO</v>
      </c>
      <c r="HBD39" s="117" t="str">
        <f>IF(HBB39&lt;5,"Sin Riesgo",IF(HBB39 &lt;=14,"Bajo",IF(HBB39&lt;=35,"Medio",IF(HBB39&lt;=80,"Alto","Inviable Sanitariamente"))))</f>
        <v>Bajo</v>
      </c>
      <c r="HBE39" s="117">
        <v>0</v>
      </c>
      <c r="HBI39" s="117">
        <v>0</v>
      </c>
      <c r="HBK39" s="117">
        <v>23.08</v>
      </c>
      <c r="HBQ39" s="117">
        <f>AVERAGE(HBE39:HBP39)</f>
        <v>7.6933333333333325</v>
      </c>
      <c r="HBR39" s="117" t="str">
        <f>IF(HBQ39&lt;5,"SI","NO")</f>
        <v>NO</v>
      </c>
      <c r="HBS39" s="117" t="str">
        <f>IF(HBQ39&lt;5,"Sin Riesgo",IF(HBQ39 &lt;=14,"Bajo",IF(HBQ39&lt;=35,"Medio",IF(HBQ39&lt;=80,"Alto","Inviable Sanitariamente"))))</f>
        <v>Bajo</v>
      </c>
      <c r="HBT39" s="117">
        <v>0</v>
      </c>
      <c r="HBX39" s="117">
        <v>0</v>
      </c>
      <c r="HBZ39" s="117">
        <v>23.08</v>
      </c>
      <c r="HCF39" s="117">
        <f>AVERAGE(HBT39:HCE39)</f>
        <v>7.6933333333333325</v>
      </c>
      <c r="HCG39" s="117" t="str">
        <f>IF(HCF39&lt;5,"SI","NO")</f>
        <v>NO</v>
      </c>
      <c r="HCH39" s="117" t="str">
        <f>IF(HCF39&lt;5,"Sin Riesgo",IF(HCF39 &lt;=14,"Bajo",IF(HCF39&lt;=35,"Medio",IF(HCF39&lt;=80,"Alto","Inviable Sanitariamente"))))</f>
        <v>Bajo</v>
      </c>
      <c r="HCI39" s="117">
        <v>0</v>
      </c>
      <c r="HCM39" s="117">
        <v>0</v>
      </c>
      <c r="HCO39" s="117">
        <v>23.08</v>
      </c>
      <c r="HCU39" s="117">
        <f>AVERAGE(HCI39:HCT39)</f>
        <v>7.6933333333333325</v>
      </c>
      <c r="HCV39" s="117" t="str">
        <f>IF(HCU39&lt;5,"SI","NO")</f>
        <v>NO</v>
      </c>
      <c r="HCW39" s="117" t="str">
        <f>IF(HCU39&lt;5,"Sin Riesgo",IF(HCU39 &lt;=14,"Bajo",IF(HCU39&lt;=35,"Medio",IF(HCU39&lt;=80,"Alto","Inviable Sanitariamente"))))</f>
        <v>Bajo</v>
      </c>
      <c r="HCX39" s="117">
        <v>0</v>
      </c>
      <c r="HDB39" s="117">
        <v>0</v>
      </c>
      <c r="HDD39" s="117">
        <v>23.08</v>
      </c>
      <c r="HDJ39" s="117">
        <f>AVERAGE(HCX39:HDI39)</f>
        <v>7.6933333333333325</v>
      </c>
      <c r="HDK39" s="117" t="str">
        <f>IF(HDJ39&lt;5,"SI","NO")</f>
        <v>NO</v>
      </c>
      <c r="HDL39" s="117" t="str">
        <f>IF(HDJ39&lt;5,"Sin Riesgo",IF(HDJ39 &lt;=14,"Bajo",IF(HDJ39&lt;=35,"Medio",IF(HDJ39&lt;=80,"Alto","Inviable Sanitariamente"))))</f>
        <v>Bajo</v>
      </c>
      <c r="HDM39" s="117">
        <v>0</v>
      </c>
      <c r="HDQ39" s="117">
        <v>0</v>
      </c>
      <c r="HDS39" s="117">
        <v>23.08</v>
      </c>
      <c r="HDY39" s="117">
        <f>AVERAGE(HDM39:HDX39)</f>
        <v>7.6933333333333325</v>
      </c>
      <c r="HDZ39" s="117" t="str">
        <f>IF(HDY39&lt;5,"SI","NO")</f>
        <v>NO</v>
      </c>
      <c r="HEA39" s="117" t="str">
        <f>IF(HDY39&lt;5,"Sin Riesgo",IF(HDY39 &lt;=14,"Bajo",IF(HDY39&lt;=35,"Medio",IF(HDY39&lt;=80,"Alto","Inviable Sanitariamente"))))</f>
        <v>Bajo</v>
      </c>
      <c r="HEB39" s="117">
        <v>0</v>
      </c>
      <c r="HEF39" s="117">
        <v>0</v>
      </c>
      <c r="HEH39" s="117">
        <v>23.08</v>
      </c>
      <c r="HEN39" s="117">
        <f>AVERAGE(HEB39:HEM39)</f>
        <v>7.6933333333333325</v>
      </c>
      <c r="HEO39" s="117" t="str">
        <f>IF(HEN39&lt;5,"SI","NO")</f>
        <v>NO</v>
      </c>
      <c r="HEP39" s="117" t="str">
        <f>IF(HEN39&lt;5,"Sin Riesgo",IF(HEN39 &lt;=14,"Bajo",IF(HEN39&lt;=35,"Medio",IF(HEN39&lt;=80,"Alto","Inviable Sanitariamente"))))</f>
        <v>Bajo</v>
      </c>
      <c r="HEQ39" s="117">
        <v>0</v>
      </c>
      <c r="HEU39" s="117">
        <v>0</v>
      </c>
      <c r="HEW39" s="117">
        <v>23.08</v>
      </c>
      <c r="HFC39" s="117">
        <f>AVERAGE(HEQ39:HFB39)</f>
        <v>7.6933333333333325</v>
      </c>
      <c r="HFD39" s="117" t="str">
        <f>IF(HFC39&lt;5,"SI","NO")</f>
        <v>NO</v>
      </c>
      <c r="HFE39" s="117" t="str">
        <f>IF(HFC39&lt;5,"Sin Riesgo",IF(HFC39 &lt;=14,"Bajo",IF(HFC39&lt;=35,"Medio",IF(HFC39&lt;=80,"Alto","Inviable Sanitariamente"))))</f>
        <v>Bajo</v>
      </c>
      <c r="HFF39" s="117">
        <v>0</v>
      </c>
      <c r="HFJ39" s="117">
        <v>0</v>
      </c>
      <c r="HFL39" s="117">
        <v>23.08</v>
      </c>
      <c r="HFR39" s="117">
        <f>AVERAGE(HFF39:HFQ39)</f>
        <v>7.6933333333333325</v>
      </c>
      <c r="HFS39" s="117" t="str">
        <f>IF(HFR39&lt;5,"SI","NO")</f>
        <v>NO</v>
      </c>
      <c r="HFT39" s="117" t="str">
        <f>IF(HFR39&lt;5,"Sin Riesgo",IF(HFR39 &lt;=14,"Bajo",IF(HFR39&lt;=35,"Medio",IF(HFR39&lt;=80,"Alto","Inviable Sanitariamente"))))</f>
        <v>Bajo</v>
      </c>
      <c r="HFU39" s="117">
        <v>0</v>
      </c>
      <c r="HFY39" s="117">
        <v>0</v>
      </c>
      <c r="HGA39" s="117">
        <v>23.08</v>
      </c>
      <c r="HGG39" s="117">
        <f>AVERAGE(HFU39:HGF39)</f>
        <v>7.6933333333333325</v>
      </c>
      <c r="HGH39" s="117" t="str">
        <f>IF(HGG39&lt;5,"SI","NO")</f>
        <v>NO</v>
      </c>
      <c r="HGI39" s="117" t="str">
        <f>IF(HGG39&lt;5,"Sin Riesgo",IF(HGG39 &lt;=14,"Bajo",IF(HGG39&lt;=35,"Medio",IF(HGG39&lt;=80,"Alto","Inviable Sanitariamente"))))</f>
        <v>Bajo</v>
      </c>
      <c r="HGJ39" s="117">
        <v>0</v>
      </c>
      <c r="HGN39" s="117">
        <v>0</v>
      </c>
      <c r="HGP39" s="117">
        <v>23.08</v>
      </c>
      <c r="HGV39" s="117">
        <f>AVERAGE(HGJ39:HGU39)</f>
        <v>7.6933333333333325</v>
      </c>
      <c r="HGW39" s="117" t="str">
        <f>IF(HGV39&lt;5,"SI","NO")</f>
        <v>NO</v>
      </c>
      <c r="HGX39" s="117" t="str">
        <f>IF(HGV39&lt;5,"Sin Riesgo",IF(HGV39 &lt;=14,"Bajo",IF(HGV39&lt;=35,"Medio",IF(HGV39&lt;=80,"Alto","Inviable Sanitariamente"))))</f>
        <v>Bajo</v>
      </c>
      <c r="HGY39" s="117">
        <v>0</v>
      </c>
      <c r="HHC39" s="117">
        <v>0</v>
      </c>
      <c r="HHE39" s="117">
        <v>23.08</v>
      </c>
      <c r="HHK39" s="117">
        <f>AVERAGE(HGY39:HHJ39)</f>
        <v>7.6933333333333325</v>
      </c>
      <c r="HHL39" s="117" t="str">
        <f>IF(HHK39&lt;5,"SI","NO")</f>
        <v>NO</v>
      </c>
      <c r="HHM39" s="117" t="str">
        <f>IF(HHK39&lt;5,"Sin Riesgo",IF(HHK39 &lt;=14,"Bajo",IF(HHK39&lt;=35,"Medio",IF(HHK39&lt;=80,"Alto","Inviable Sanitariamente"))))</f>
        <v>Bajo</v>
      </c>
      <c r="HHN39" s="117">
        <v>0</v>
      </c>
      <c r="HHR39" s="117">
        <v>0</v>
      </c>
      <c r="HHT39" s="117">
        <v>23.08</v>
      </c>
      <c r="HHZ39" s="117">
        <f>AVERAGE(HHN39:HHY39)</f>
        <v>7.6933333333333325</v>
      </c>
      <c r="HIA39" s="117" t="str">
        <f>IF(HHZ39&lt;5,"SI","NO")</f>
        <v>NO</v>
      </c>
      <c r="HIB39" s="117" t="str">
        <f>IF(HHZ39&lt;5,"Sin Riesgo",IF(HHZ39 &lt;=14,"Bajo",IF(HHZ39&lt;=35,"Medio",IF(HHZ39&lt;=80,"Alto","Inviable Sanitariamente"))))</f>
        <v>Bajo</v>
      </c>
      <c r="HIC39" s="117">
        <v>0</v>
      </c>
      <c r="HIG39" s="117">
        <v>0</v>
      </c>
      <c r="HII39" s="117">
        <v>23.08</v>
      </c>
      <c r="HIO39" s="117">
        <f>AVERAGE(HIC39:HIN39)</f>
        <v>7.6933333333333325</v>
      </c>
      <c r="HIP39" s="117" t="str">
        <f>IF(HIO39&lt;5,"SI","NO")</f>
        <v>NO</v>
      </c>
      <c r="HIQ39" s="117" t="str">
        <f>IF(HIO39&lt;5,"Sin Riesgo",IF(HIO39 &lt;=14,"Bajo",IF(HIO39&lt;=35,"Medio",IF(HIO39&lt;=80,"Alto","Inviable Sanitariamente"))))</f>
        <v>Bajo</v>
      </c>
      <c r="HIR39" s="117">
        <v>0</v>
      </c>
      <c r="HIV39" s="117">
        <v>0</v>
      </c>
      <c r="HIX39" s="117">
        <v>23.08</v>
      </c>
      <c r="HJD39" s="117">
        <f>AVERAGE(HIR39:HJC39)</f>
        <v>7.6933333333333325</v>
      </c>
      <c r="HJE39" s="117" t="str">
        <f>IF(HJD39&lt;5,"SI","NO")</f>
        <v>NO</v>
      </c>
      <c r="HJF39" s="117" t="str">
        <f>IF(HJD39&lt;5,"Sin Riesgo",IF(HJD39 &lt;=14,"Bajo",IF(HJD39&lt;=35,"Medio",IF(HJD39&lt;=80,"Alto","Inviable Sanitariamente"))))</f>
        <v>Bajo</v>
      </c>
      <c r="HJG39" s="117">
        <v>0</v>
      </c>
      <c r="HJK39" s="117">
        <v>0</v>
      </c>
      <c r="HJM39" s="117">
        <v>23.08</v>
      </c>
      <c r="HJS39" s="117">
        <f>AVERAGE(HJG39:HJR39)</f>
        <v>7.6933333333333325</v>
      </c>
      <c r="HJT39" s="117" t="str">
        <f>IF(HJS39&lt;5,"SI","NO")</f>
        <v>NO</v>
      </c>
      <c r="HJU39" s="117" t="str">
        <f>IF(HJS39&lt;5,"Sin Riesgo",IF(HJS39 &lt;=14,"Bajo",IF(HJS39&lt;=35,"Medio",IF(HJS39&lt;=80,"Alto","Inviable Sanitariamente"))))</f>
        <v>Bajo</v>
      </c>
      <c r="HJV39" s="117">
        <v>0</v>
      </c>
      <c r="HJZ39" s="117">
        <v>0</v>
      </c>
      <c r="HKB39" s="117">
        <v>23.08</v>
      </c>
      <c r="HKH39" s="117">
        <f>AVERAGE(HJV39:HKG39)</f>
        <v>7.6933333333333325</v>
      </c>
      <c r="HKI39" s="117" t="str">
        <f>IF(HKH39&lt;5,"SI","NO")</f>
        <v>NO</v>
      </c>
      <c r="HKJ39" s="117" t="str">
        <f>IF(HKH39&lt;5,"Sin Riesgo",IF(HKH39 &lt;=14,"Bajo",IF(HKH39&lt;=35,"Medio",IF(HKH39&lt;=80,"Alto","Inviable Sanitariamente"))))</f>
        <v>Bajo</v>
      </c>
      <c r="HKK39" s="117">
        <v>0</v>
      </c>
      <c r="HKO39" s="117">
        <v>0</v>
      </c>
      <c r="HKQ39" s="117">
        <v>23.08</v>
      </c>
      <c r="HKW39" s="117">
        <f>AVERAGE(HKK39:HKV39)</f>
        <v>7.6933333333333325</v>
      </c>
      <c r="HKX39" s="117" t="str">
        <f>IF(HKW39&lt;5,"SI","NO")</f>
        <v>NO</v>
      </c>
      <c r="HKY39" s="117" t="str">
        <f>IF(HKW39&lt;5,"Sin Riesgo",IF(HKW39 &lt;=14,"Bajo",IF(HKW39&lt;=35,"Medio",IF(HKW39&lt;=80,"Alto","Inviable Sanitariamente"))))</f>
        <v>Bajo</v>
      </c>
      <c r="HKZ39" s="117">
        <v>0</v>
      </c>
      <c r="HLD39" s="117">
        <v>0</v>
      </c>
      <c r="HLF39" s="117">
        <v>23.08</v>
      </c>
      <c r="HLL39" s="117">
        <f>AVERAGE(HKZ39:HLK39)</f>
        <v>7.6933333333333325</v>
      </c>
      <c r="HLM39" s="117" t="str">
        <f>IF(HLL39&lt;5,"SI","NO")</f>
        <v>NO</v>
      </c>
      <c r="HLN39" s="117" t="str">
        <f>IF(HLL39&lt;5,"Sin Riesgo",IF(HLL39 &lt;=14,"Bajo",IF(HLL39&lt;=35,"Medio",IF(HLL39&lt;=80,"Alto","Inviable Sanitariamente"))))</f>
        <v>Bajo</v>
      </c>
      <c r="HLO39" s="117">
        <v>0</v>
      </c>
      <c r="HLS39" s="117">
        <v>0</v>
      </c>
      <c r="HLU39" s="117">
        <v>23.08</v>
      </c>
      <c r="HMA39" s="117">
        <f>AVERAGE(HLO39:HLZ39)</f>
        <v>7.6933333333333325</v>
      </c>
      <c r="HMB39" s="117" t="str">
        <f>IF(HMA39&lt;5,"SI","NO")</f>
        <v>NO</v>
      </c>
      <c r="HMC39" s="117" t="str">
        <f>IF(HMA39&lt;5,"Sin Riesgo",IF(HMA39 &lt;=14,"Bajo",IF(HMA39&lt;=35,"Medio",IF(HMA39&lt;=80,"Alto","Inviable Sanitariamente"))))</f>
        <v>Bajo</v>
      </c>
      <c r="HMD39" s="117">
        <v>0</v>
      </c>
      <c r="HMH39" s="117">
        <v>0</v>
      </c>
      <c r="HMJ39" s="117">
        <v>23.08</v>
      </c>
      <c r="HMP39" s="117">
        <f>AVERAGE(HMD39:HMO39)</f>
        <v>7.6933333333333325</v>
      </c>
      <c r="HMQ39" s="117" t="str">
        <f>IF(HMP39&lt;5,"SI","NO")</f>
        <v>NO</v>
      </c>
      <c r="HMR39" s="117" t="str">
        <f>IF(HMP39&lt;5,"Sin Riesgo",IF(HMP39 &lt;=14,"Bajo",IF(HMP39&lt;=35,"Medio",IF(HMP39&lt;=80,"Alto","Inviable Sanitariamente"))))</f>
        <v>Bajo</v>
      </c>
      <c r="HMS39" s="117">
        <v>0</v>
      </c>
      <c r="HMW39" s="117">
        <v>0</v>
      </c>
      <c r="HMY39" s="117">
        <v>23.08</v>
      </c>
      <c r="HNE39" s="117">
        <f>AVERAGE(HMS39:HND39)</f>
        <v>7.6933333333333325</v>
      </c>
      <c r="HNF39" s="117" t="str">
        <f>IF(HNE39&lt;5,"SI","NO")</f>
        <v>NO</v>
      </c>
      <c r="HNG39" s="117" t="str">
        <f>IF(HNE39&lt;5,"Sin Riesgo",IF(HNE39 &lt;=14,"Bajo",IF(HNE39&lt;=35,"Medio",IF(HNE39&lt;=80,"Alto","Inviable Sanitariamente"))))</f>
        <v>Bajo</v>
      </c>
      <c r="HNH39" s="117">
        <v>0</v>
      </c>
      <c r="HNL39" s="117">
        <v>0</v>
      </c>
      <c r="HNN39" s="117">
        <v>23.08</v>
      </c>
      <c r="HNT39" s="117">
        <f>AVERAGE(HNH39:HNS39)</f>
        <v>7.6933333333333325</v>
      </c>
      <c r="HNU39" s="117" t="str">
        <f>IF(HNT39&lt;5,"SI","NO")</f>
        <v>NO</v>
      </c>
      <c r="HNV39" s="117" t="str">
        <f>IF(HNT39&lt;5,"Sin Riesgo",IF(HNT39 &lt;=14,"Bajo",IF(HNT39&lt;=35,"Medio",IF(HNT39&lt;=80,"Alto","Inviable Sanitariamente"))))</f>
        <v>Bajo</v>
      </c>
      <c r="HNW39" s="117">
        <v>0</v>
      </c>
      <c r="HOA39" s="117">
        <v>0</v>
      </c>
      <c r="HOC39" s="117">
        <v>23.08</v>
      </c>
      <c r="HOI39" s="117">
        <f>AVERAGE(HNW39:HOH39)</f>
        <v>7.6933333333333325</v>
      </c>
      <c r="HOJ39" s="117" t="str">
        <f>IF(HOI39&lt;5,"SI","NO")</f>
        <v>NO</v>
      </c>
      <c r="HOK39" s="117" t="str">
        <f>IF(HOI39&lt;5,"Sin Riesgo",IF(HOI39 &lt;=14,"Bajo",IF(HOI39&lt;=35,"Medio",IF(HOI39&lt;=80,"Alto","Inviable Sanitariamente"))))</f>
        <v>Bajo</v>
      </c>
      <c r="HOL39" s="117">
        <v>0</v>
      </c>
      <c r="HOP39" s="117">
        <v>0</v>
      </c>
      <c r="HOR39" s="117">
        <v>23.08</v>
      </c>
      <c r="HOX39" s="117">
        <f>AVERAGE(HOL39:HOW39)</f>
        <v>7.6933333333333325</v>
      </c>
      <c r="HOY39" s="117" t="str">
        <f>IF(HOX39&lt;5,"SI","NO")</f>
        <v>NO</v>
      </c>
      <c r="HOZ39" s="117" t="str">
        <f>IF(HOX39&lt;5,"Sin Riesgo",IF(HOX39 &lt;=14,"Bajo",IF(HOX39&lt;=35,"Medio",IF(HOX39&lt;=80,"Alto","Inviable Sanitariamente"))))</f>
        <v>Bajo</v>
      </c>
      <c r="HPA39" s="117">
        <v>0</v>
      </c>
      <c r="HPE39" s="117">
        <v>0</v>
      </c>
      <c r="HPG39" s="117">
        <v>23.08</v>
      </c>
      <c r="HPM39" s="117">
        <f>AVERAGE(HPA39:HPL39)</f>
        <v>7.6933333333333325</v>
      </c>
      <c r="HPN39" s="117" t="str">
        <f>IF(HPM39&lt;5,"SI","NO")</f>
        <v>NO</v>
      </c>
      <c r="HPO39" s="117" t="str">
        <f>IF(HPM39&lt;5,"Sin Riesgo",IF(HPM39 &lt;=14,"Bajo",IF(HPM39&lt;=35,"Medio",IF(HPM39&lt;=80,"Alto","Inviable Sanitariamente"))))</f>
        <v>Bajo</v>
      </c>
      <c r="HPP39" s="117">
        <v>0</v>
      </c>
      <c r="HPT39" s="117">
        <v>0</v>
      </c>
      <c r="HPV39" s="117">
        <v>23.08</v>
      </c>
      <c r="HQB39" s="117">
        <f>AVERAGE(HPP39:HQA39)</f>
        <v>7.6933333333333325</v>
      </c>
      <c r="HQC39" s="117" t="str">
        <f>IF(HQB39&lt;5,"SI","NO")</f>
        <v>NO</v>
      </c>
      <c r="HQD39" s="117" t="str">
        <f>IF(HQB39&lt;5,"Sin Riesgo",IF(HQB39 &lt;=14,"Bajo",IF(HQB39&lt;=35,"Medio",IF(HQB39&lt;=80,"Alto","Inviable Sanitariamente"))))</f>
        <v>Bajo</v>
      </c>
      <c r="HQE39" s="117">
        <v>0</v>
      </c>
      <c r="HQI39" s="117">
        <v>0</v>
      </c>
      <c r="HQK39" s="117">
        <v>23.08</v>
      </c>
      <c r="HQQ39" s="117">
        <f>AVERAGE(HQE39:HQP39)</f>
        <v>7.6933333333333325</v>
      </c>
      <c r="HQR39" s="117" t="str">
        <f>IF(HQQ39&lt;5,"SI","NO")</f>
        <v>NO</v>
      </c>
      <c r="HQS39" s="117" t="str">
        <f>IF(HQQ39&lt;5,"Sin Riesgo",IF(HQQ39 &lt;=14,"Bajo",IF(HQQ39&lt;=35,"Medio",IF(HQQ39&lt;=80,"Alto","Inviable Sanitariamente"))))</f>
        <v>Bajo</v>
      </c>
      <c r="HQT39" s="117">
        <v>0</v>
      </c>
      <c r="HQX39" s="117">
        <v>0</v>
      </c>
      <c r="HQZ39" s="117">
        <v>23.08</v>
      </c>
      <c r="HRF39" s="117">
        <f>AVERAGE(HQT39:HRE39)</f>
        <v>7.6933333333333325</v>
      </c>
      <c r="HRG39" s="117" t="str">
        <f>IF(HRF39&lt;5,"SI","NO")</f>
        <v>NO</v>
      </c>
      <c r="HRH39" s="117" t="str">
        <f>IF(HRF39&lt;5,"Sin Riesgo",IF(HRF39 &lt;=14,"Bajo",IF(HRF39&lt;=35,"Medio",IF(HRF39&lt;=80,"Alto","Inviable Sanitariamente"))))</f>
        <v>Bajo</v>
      </c>
      <c r="HRI39" s="117">
        <v>0</v>
      </c>
      <c r="HRM39" s="117">
        <v>0</v>
      </c>
      <c r="HRO39" s="117">
        <v>23.08</v>
      </c>
      <c r="HRU39" s="117">
        <f>AVERAGE(HRI39:HRT39)</f>
        <v>7.6933333333333325</v>
      </c>
      <c r="HRV39" s="117" t="str">
        <f>IF(HRU39&lt;5,"SI","NO")</f>
        <v>NO</v>
      </c>
      <c r="HRW39" s="117" t="str">
        <f>IF(HRU39&lt;5,"Sin Riesgo",IF(HRU39 &lt;=14,"Bajo",IF(HRU39&lt;=35,"Medio",IF(HRU39&lt;=80,"Alto","Inviable Sanitariamente"))))</f>
        <v>Bajo</v>
      </c>
      <c r="HRX39" s="117">
        <v>0</v>
      </c>
      <c r="HSB39" s="117">
        <v>0</v>
      </c>
      <c r="HSD39" s="117">
        <v>23.08</v>
      </c>
      <c r="HSJ39" s="117">
        <f>AVERAGE(HRX39:HSI39)</f>
        <v>7.6933333333333325</v>
      </c>
      <c r="HSK39" s="117" t="str">
        <f>IF(HSJ39&lt;5,"SI","NO")</f>
        <v>NO</v>
      </c>
      <c r="HSL39" s="117" t="str">
        <f>IF(HSJ39&lt;5,"Sin Riesgo",IF(HSJ39 &lt;=14,"Bajo",IF(HSJ39&lt;=35,"Medio",IF(HSJ39&lt;=80,"Alto","Inviable Sanitariamente"))))</f>
        <v>Bajo</v>
      </c>
      <c r="HSM39" s="117">
        <v>0</v>
      </c>
      <c r="HSQ39" s="117">
        <v>0</v>
      </c>
      <c r="HSS39" s="117">
        <v>23.08</v>
      </c>
      <c r="HSY39" s="117">
        <f>AVERAGE(HSM39:HSX39)</f>
        <v>7.6933333333333325</v>
      </c>
      <c r="HSZ39" s="117" t="str">
        <f>IF(HSY39&lt;5,"SI","NO")</f>
        <v>NO</v>
      </c>
      <c r="HTA39" s="117" t="str">
        <f>IF(HSY39&lt;5,"Sin Riesgo",IF(HSY39 &lt;=14,"Bajo",IF(HSY39&lt;=35,"Medio",IF(HSY39&lt;=80,"Alto","Inviable Sanitariamente"))))</f>
        <v>Bajo</v>
      </c>
      <c r="HTB39" s="117">
        <v>0</v>
      </c>
      <c r="HTF39" s="117">
        <v>0</v>
      </c>
      <c r="HTH39" s="117">
        <v>23.08</v>
      </c>
      <c r="HTN39" s="117">
        <f>AVERAGE(HTB39:HTM39)</f>
        <v>7.6933333333333325</v>
      </c>
      <c r="HTO39" s="117" t="str">
        <f>IF(HTN39&lt;5,"SI","NO")</f>
        <v>NO</v>
      </c>
      <c r="HTP39" s="117" t="str">
        <f>IF(HTN39&lt;5,"Sin Riesgo",IF(HTN39 &lt;=14,"Bajo",IF(HTN39&lt;=35,"Medio",IF(HTN39&lt;=80,"Alto","Inviable Sanitariamente"))))</f>
        <v>Bajo</v>
      </c>
      <c r="HTQ39" s="117">
        <v>0</v>
      </c>
      <c r="HTU39" s="117">
        <v>0</v>
      </c>
      <c r="HTW39" s="117">
        <v>23.08</v>
      </c>
      <c r="HUC39" s="117">
        <f>AVERAGE(HTQ39:HUB39)</f>
        <v>7.6933333333333325</v>
      </c>
      <c r="HUD39" s="117" t="str">
        <f>IF(HUC39&lt;5,"SI","NO")</f>
        <v>NO</v>
      </c>
      <c r="HUE39" s="117" t="str">
        <f>IF(HUC39&lt;5,"Sin Riesgo",IF(HUC39 &lt;=14,"Bajo",IF(HUC39&lt;=35,"Medio",IF(HUC39&lt;=80,"Alto","Inviable Sanitariamente"))))</f>
        <v>Bajo</v>
      </c>
      <c r="HUF39" s="117">
        <v>0</v>
      </c>
      <c r="HUJ39" s="117">
        <v>0</v>
      </c>
      <c r="HUL39" s="117">
        <v>23.08</v>
      </c>
      <c r="HUR39" s="117">
        <f>AVERAGE(HUF39:HUQ39)</f>
        <v>7.6933333333333325</v>
      </c>
      <c r="HUS39" s="117" t="str">
        <f>IF(HUR39&lt;5,"SI","NO")</f>
        <v>NO</v>
      </c>
      <c r="HUT39" s="117" t="str">
        <f>IF(HUR39&lt;5,"Sin Riesgo",IF(HUR39 &lt;=14,"Bajo",IF(HUR39&lt;=35,"Medio",IF(HUR39&lt;=80,"Alto","Inviable Sanitariamente"))))</f>
        <v>Bajo</v>
      </c>
      <c r="HUU39" s="117">
        <v>0</v>
      </c>
      <c r="HUY39" s="117">
        <v>0</v>
      </c>
      <c r="HVA39" s="117">
        <v>23.08</v>
      </c>
      <c r="HVG39" s="117">
        <f>AVERAGE(HUU39:HVF39)</f>
        <v>7.6933333333333325</v>
      </c>
      <c r="HVH39" s="117" t="str">
        <f>IF(HVG39&lt;5,"SI","NO")</f>
        <v>NO</v>
      </c>
      <c r="HVI39" s="117" t="str">
        <f>IF(HVG39&lt;5,"Sin Riesgo",IF(HVG39 &lt;=14,"Bajo",IF(HVG39&lt;=35,"Medio",IF(HVG39&lt;=80,"Alto","Inviable Sanitariamente"))))</f>
        <v>Bajo</v>
      </c>
      <c r="HVJ39" s="117">
        <v>0</v>
      </c>
      <c r="HVN39" s="117">
        <v>0</v>
      </c>
      <c r="HVP39" s="117">
        <v>23.08</v>
      </c>
      <c r="HVV39" s="117">
        <f>AVERAGE(HVJ39:HVU39)</f>
        <v>7.6933333333333325</v>
      </c>
      <c r="HVW39" s="117" t="str">
        <f>IF(HVV39&lt;5,"SI","NO")</f>
        <v>NO</v>
      </c>
      <c r="HVX39" s="117" t="str">
        <f>IF(HVV39&lt;5,"Sin Riesgo",IF(HVV39 &lt;=14,"Bajo",IF(HVV39&lt;=35,"Medio",IF(HVV39&lt;=80,"Alto","Inviable Sanitariamente"))))</f>
        <v>Bajo</v>
      </c>
      <c r="HVY39" s="117">
        <v>0</v>
      </c>
      <c r="HWC39" s="117">
        <v>0</v>
      </c>
      <c r="HWE39" s="117">
        <v>23.08</v>
      </c>
      <c r="HWK39" s="117">
        <f>AVERAGE(HVY39:HWJ39)</f>
        <v>7.6933333333333325</v>
      </c>
      <c r="HWL39" s="117" t="str">
        <f>IF(HWK39&lt;5,"SI","NO")</f>
        <v>NO</v>
      </c>
      <c r="HWM39" s="117" t="str">
        <f>IF(HWK39&lt;5,"Sin Riesgo",IF(HWK39 &lt;=14,"Bajo",IF(HWK39&lt;=35,"Medio",IF(HWK39&lt;=80,"Alto","Inviable Sanitariamente"))))</f>
        <v>Bajo</v>
      </c>
      <c r="HWN39" s="117">
        <v>0</v>
      </c>
      <c r="HWR39" s="117">
        <v>0</v>
      </c>
      <c r="HWT39" s="117">
        <v>23.08</v>
      </c>
      <c r="HWZ39" s="117">
        <f>AVERAGE(HWN39:HWY39)</f>
        <v>7.6933333333333325</v>
      </c>
      <c r="HXA39" s="117" t="str">
        <f>IF(HWZ39&lt;5,"SI","NO")</f>
        <v>NO</v>
      </c>
      <c r="HXB39" s="117" t="str">
        <f>IF(HWZ39&lt;5,"Sin Riesgo",IF(HWZ39 &lt;=14,"Bajo",IF(HWZ39&lt;=35,"Medio",IF(HWZ39&lt;=80,"Alto","Inviable Sanitariamente"))))</f>
        <v>Bajo</v>
      </c>
      <c r="HXC39" s="117">
        <v>0</v>
      </c>
      <c r="HXG39" s="117">
        <v>0</v>
      </c>
      <c r="HXI39" s="117">
        <v>23.08</v>
      </c>
      <c r="HXO39" s="117">
        <f>AVERAGE(HXC39:HXN39)</f>
        <v>7.6933333333333325</v>
      </c>
      <c r="HXP39" s="117" t="str">
        <f>IF(HXO39&lt;5,"SI","NO")</f>
        <v>NO</v>
      </c>
      <c r="HXQ39" s="117" t="str">
        <f>IF(HXO39&lt;5,"Sin Riesgo",IF(HXO39 &lt;=14,"Bajo",IF(HXO39&lt;=35,"Medio",IF(HXO39&lt;=80,"Alto","Inviable Sanitariamente"))))</f>
        <v>Bajo</v>
      </c>
      <c r="HXR39" s="117">
        <v>0</v>
      </c>
      <c r="HXV39" s="117">
        <v>0</v>
      </c>
      <c r="HXX39" s="117">
        <v>23.08</v>
      </c>
      <c r="HYD39" s="117">
        <f>AVERAGE(HXR39:HYC39)</f>
        <v>7.6933333333333325</v>
      </c>
      <c r="HYE39" s="117" t="str">
        <f>IF(HYD39&lt;5,"SI","NO")</f>
        <v>NO</v>
      </c>
      <c r="HYF39" s="117" t="str">
        <f>IF(HYD39&lt;5,"Sin Riesgo",IF(HYD39 &lt;=14,"Bajo",IF(HYD39&lt;=35,"Medio",IF(HYD39&lt;=80,"Alto","Inviable Sanitariamente"))))</f>
        <v>Bajo</v>
      </c>
      <c r="HYG39" s="117">
        <v>0</v>
      </c>
      <c r="HYK39" s="117">
        <v>0</v>
      </c>
      <c r="HYM39" s="117">
        <v>23.08</v>
      </c>
      <c r="HYS39" s="117">
        <f>AVERAGE(HYG39:HYR39)</f>
        <v>7.6933333333333325</v>
      </c>
      <c r="HYT39" s="117" t="str">
        <f>IF(HYS39&lt;5,"SI","NO")</f>
        <v>NO</v>
      </c>
      <c r="HYU39" s="117" t="str">
        <f>IF(HYS39&lt;5,"Sin Riesgo",IF(HYS39 &lt;=14,"Bajo",IF(HYS39&lt;=35,"Medio",IF(HYS39&lt;=80,"Alto","Inviable Sanitariamente"))))</f>
        <v>Bajo</v>
      </c>
      <c r="HYV39" s="117">
        <v>0</v>
      </c>
      <c r="HYZ39" s="117">
        <v>0</v>
      </c>
      <c r="HZB39" s="117">
        <v>23.08</v>
      </c>
      <c r="HZH39" s="117">
        <f>AVERAGE(HYV39:HZG39)</f>
        <v>7.6933333333333325</v>
      </c>
      <c r="HZI39" s="117" t="str">
        <f>IF(HZH39&lt;5,"SI","NO")</f>
        <v>NO</v>
      </c>
      <c r="HZJ39" s="117" t="str">
        <f>IF(HZH39&lt;5,"Sin Riesgo",IF(HZH39 &lt;=14,"Bajo",IF(HZH39&lt;=35,"Medio",IF(HZH39&lt;=80,"Alto","Inviable Sanitariamente"))))</f>
        <v>Bajo</v>
      </c>
      <c r="HZK39" s="117">
        <v>0</v>
      </c>
      <c r="HZO39" s="117">
        <v>0</v>
      </c>
      <c r="HZQ39" s="117">
        <v>23.08</v>
      </c>
      <c r="HZW39" s="117">
        <f>AVERAGE(HZK39:HZV39)</f>
        <v>7.6933333333333325</v>
      </c>
      <c r="HZX39" s="117" t="str">
        <f>IF(HZW39&lt;5,"SI","NO")</f>
        <v>NO</v>
      </c>
      <c r="HZY39" s="117" t="str">
        <f>IF(HZW39&lt;5,"Sin Riesgo",IF(HZW39 &lt;=14,"Bajo",IF(HZW39&lt;=35,"Medio",IF(HZW39&lt;=80,"Alto","Inviable Sanitariamente"))))</f>
        <v>Bajo</v>
      </c>
      <c r="HZZ39" s="117">
        <v>0</v>
      </c>
      <c r="IAD39" s="117">
        <v>0</v>
      </c>
      <c r="IAF39" s="117">
        <v>23.08</v>
      </c>
      <c r="IAL39" s="117">
        <f>AVERAGE(HZZ39:IAK39)</f>
        <v>7.6933333333333325</v>
      </c>
      <c r="IAM39" s="117" t="str">
        <f>IF(IAL39&lt;5,"SI","NO")</f>
        <v>NO</v>
      </c>
      <c r="IAN39" s="117" t="str">
        <f>IF(IAL39&lt;5,"Sin Riesgo",IF(IAL39 &lt;=14,"Bajo",IF(IAL39&lt;=35,"Medio",IF(IAL39&lt;=80,"Alto","Inviable Sanitariamente"))))</f>
        <v>Bajo</v>
      </c>
      <c r="IAO39" s="117">
        <v>0</v>
      </c>
      <c r="IAS39" s="117">
        <v>0</v>
      </c>
      <c r="IAU39" s="117">
        <v>23.08</v>
      </c>
      <c r="IBA39" s="117">
        <f>AVERAGE(IAO39:IAZ39)</f>
        <v>7.6933333333333325</v>
      </c>
      <c r="IBB39" s="117" t="str">
        <f>IF(IBA39&lt;5,"SI","NO")</f>
        <v>NO</v>
      </c>
      <c r="IBC39" s="117" t="str">
        <f>IF(IBA39&lt;5,"Sin Riesgo",IF(IBA39 &lt;=14,"Bajo",IF(IBA39&lt;=35,"Medio",IF(IBA39&lt;=80,"Alto","Inviable Sanitariamente"))))</f>
        <v>Bajo</v>
      </c>
      <c r="IBD39" s="117">
        <v>0</v>
      </c>
      <c r="IBH39" s="117">
        <v>0</v>
      </c>
      <c r="IBJ39" s="117">
        <v>23.08</v>
      </c>
      <c r="IBP39" s="117">
        <f>AVERAGE(IBD39:IBO39)</f>
        <v>7.6933333333333325</v>
      </c>
      <c r="IBQ39" s="117" t="str">
        <f>IF(IBP39&lt;5,"SI","NO")</f>
        <v>NO</v>
      </c>
      <c r="IBR39" s="117" t="str">
        <f>IF(IBP39&lt;5,"Sin Riesgo",IF(IBP39 &lt;=14,"Bajo",IF(IBP39&lt;=35,"Medio",IF(IBP39&lt;=80,"Alto","Inviable Sanitariamente"))))</f>
        <v>Bajo</v>
      </c>
      <c r="IBS39" s="117">
        <v>0</v>
      </c>
      <c r="IBW39" s="117">
        <v>0</v>
      </c>
      <c r="IBY39" s="117">
        <v>23.08</v>
      </c>
      <c r="ICE39" s="117">
        <f>AVERAGE(IBS39:ICD39)</f>
        <v>7.6933333333333325</v>
      </c>
      <c r="ICF39" s="117" t="str">
        <f>IF(ICE39&lt;5,"SI","NO")</f>
        <v>NO</v>
      </c>
      <c r="ICG39" s="117" t="str">
        <f>IF(ICE39&lt;5,"Sin Riesgo",IF(ICE39 &lt;=14,"Bajo",IF(ICE39&lt;=35,"Medio",IF(ICE39&lt;=80,"Alto","Inviable Sanitariamente"))))</f>
        <v>Bajo</v>
      </c>
      <c r="ICH39" s="117">
        <v>0</v>
      </c>
      <c r="ICL39" s="117">
        <v>0</v>
      </c>
      <c r="ICN39" s="117">
        <v>23.08</v>
      </c>
      <c r="ICT39" s="117">
        <f>AVERAGE(ICH39:ICS39)</f>
        <v>7.6933333333333325</v>
      </c>
      <c r="ICU39" s="117" t="str">
        <f>IF(ICT39&lt;5,"SI","NO")</f>
        <v>NO</v>
      </c>
      <c r="ICV39" s="117" t="str">
        <f>IF(ICT39&lt;5,"Sin Riesgo",IF(ICT39 &lt;=14,"Bajo",IF(ICT39&lt;=35,"Medio",IF(ICT39&lt;=80,"Alto","Inviable Sanitariamente"))))</f>
        <v>Bajo</v>
      </c>
      <c r="ICW39" s="117">
        <v>0</v>
      </c>
      <c r="IDA39" s="117">
        <v>0</v>
      </c>
      <c r="IDC39" s="117">
        <v>23.08</v>
      </c>
      <c r="IDI39" s="117">
        <f>AVERAGE(ICW39:IDH39)</f>
        <v>7.6933333333333325</v>
      </c>
      <c r="IDJ39" s="117" t="str">
        <f>IF(IDI39&lt;5,"SI","NO")</f>
        <v>NO</v>
      </c>
      <c r="IDK39" s="117" t="str">
        <f>IF(IDI39&lt;5,"Sin Riesgo",IF(IDI39 &lt;=14,"Bajo",IF(IDI39&lt;=35,"Medio",IF(IDI39&lt;=80,"Alto","Inviable Sanitariamente"))))</f>
        <v>Bajo</v>
      </c>
      <c r="IDL39" s="117">
        <v>0</v>
      </c>
      <c r="IDP39" s="117">
        <v>0</v>
      </c>
      <c r="IDR39" s="117">
        <v>23.08</v>
      </c>
      <c r="IDX39" s="117">
        <f>AVERAGE(IDL39:IDW39)</f>
        <v>7.6933333333333325</v>
      </c>
      <c r="IDY39" s="117" t="str">
        <f>IF(IDX39&lt;5,"SI","NO")</f>
        <v>NO</v>
      </c>
      <c r="IDZ39" s="117" t="str">
        <f>IF(IDX39&lt;5,"Sin Riesgo",IF(IDX39 &lt;=14,"Bajo",IF(IDX39&lt;=35,"Medio",IF(IDX39&lt;=80,"Alto","Inviable Sanitariamente"))))</f>
        <v>Bajo</v>
      </c>
      <c r="IEA39" s="117">
        <v>0</v>
      </c>
      <c r="IEE39" s="117">
        <v>0</v>
      </c>
      <c r="IEG39" s="117">
        <v>23.08</v>
      </c>
      <c r="IEM39" s="117">
        <f>AVERAGE(IEA39:IEL39)</f>
        <v>7.6933333333333325</v>
      </c>
      <c r="IEN39" s="117" t="str">
        <f>IF(IEM39&lt;5,"SI","NO")</f>
        <v>NO</v>
      </c>
      <c r="IEO39" s="117" t="str">
        <f>IF(IEM39&lt;5,"Sin Riesgo",IF(IEM39 &lt;=14,"Bajo",IF(IEM39&lt;=35,"Medio",IF(IEM39&lt;=80,"Alto","Inviable Sanitariamente"))))</f>
        <v>Bajo</v>
      </c>
      <c r="IEP39" s="117">
        <v>0</v>
      </c>
      <c r="IET39" s="117">
        <v>0</v>
      </c>
      <c r="IEV39" s="117">
        <v>23.08</v>
      </c>
      <c r="IFB39" s="117">
        <f>AVERAGE(IEP39:IFA39)</f>
        <v>7.6933333333333325</v>
      </c>
      <c r="IFC39" s="117" t="str">
        <f>IF(IFB39&lt;5,"SI","NO")</f>
        <v>NO</v>
      </c>
      <c r="IFD39" s="117" t="str">
        <f>IF(IFB39&lt;5,"Sin Riesgo",IF(IFB39 &lt;=14,"Bajo",IF(IFB39&lt;=35,"Medio",IF(IFB39&lt;=80,"Alto","Inviable Sanitariamente"))))</f>
        <v>Bajo</v>
      </c>
      <c r="IFE39" s="117">
        <v>0</v>
      </c>
      <c r="IFI39" s="117">
        <v>0</v>
      </c>
      <c r="IFK39" s="117">
        <v>23.08</v>
      </c>
      <c r="IFQ39" s="117">
        <f>AVERAGE(IFE39:IFP39)</f>
        <v>7.6933333333333325</v>
      </c>
      <c r="IFR39" s="117" t="str">
        <f>IF(IFQ39&lt;5,"SI","NO")</f>
        <v>NO</v>
      </c>
      <c r="IFS39" s="117" t="str">
        <f>IF(IFQ39&lt;5,"Sin Riesgo",IF(IFQ39 &lt;=14,"Bajo",IF(IFQ39&lt;=35,"Medio",IF(IFQ39&lt;=80,"Alto","Inviable Sanitariamente"))))</f>
        <v>Bajo</v>
      </c>
      <c r="IFT39" s="117">
        <v>0</v>
      </c>
      <c r="IFX39" s="117">
        <v>0</v>
      </c>
      <c r="IFZ39" s="117">
        <v>23.08</v>
      </c>
      <c r="IGF39" s="117">
        <f>AVERAGE(IFT39:IGE39)</f>
        <v>7.6933333333333325</v>
      </c>
      <c r="IGG39" s="117" t="str">
        <f>IF(IGF39&lt;5,"SI","NO")</f>
        <v>NO</v>
      </c>
      <c r="IGH39" s="117" t="str">
        <f>IF(IGF39&lt;5,"Sin Riesgo",IF(IGF39 &lt;=14,"Bajo",IF(IGF39&lt;=35,"Medio",IF(IGF39&lt;=80,"Alto","Inviable Sanitariamente"))))</f>
        <v>Bajo</v>
      </c>
      <c r="IGI39" s="117">
        <v>0</v>
      </c>
      <c r="IGM39" s="117">
        <v>0</v>
      </c>
      <c r="IGO39" s="117">
        <v>23.08</v>
      </c>
      <c r="IGU39" s="117">
        <f>AVERAGE(IGI39:IGT39)</f>
        <v>7.6933333333333325</v>
      </c>
      <c r="IGV39" s="117" t="str">
        <f>IF(IGU39&lt;5,"SI","NO")</f>
        <v>NO</v>
      </c>
      <c r="IGW39" s="117" t="str">
        <f>IF(IGU39&lt;5,"Sin Riesgo",IF(IGU39 &lt;=14,"Bajo",IF(IGU39&lt;=35,"Medio",IF(IGU39&lt;=80,"Alto","Inviable Sanitariamente"))))</f>
        <v>Bajo</v>
      </c>
      <c r="IGX39" s="117">
        <v>0</v>
      </c>
      <c r="IHB39" s="117">
        <v>0</v>
      </c>
      <c r="IHD39" s="117">
        <v>23.08</v>
      </c>
      <c r="IHJ39" s="117">
        <f>AVERAGE(IGX39:IHI39)</f>
        <v>7.6933333333333325</v>
      </c>
      <c r="IHK39" s="117" t="str">
        <f>IF(IHJ39&lt;5,"SI","NO")</f>
        <v>NO</v>
      </c>
      <c r="IHL39" s="117" t="str">
        <f>IF(IHJ39&lt;5,"Sin Riesgo",IF(IHJ39 &lt;=14,"Bajo",IF(IHJ39&lt;=35,"Medio",IF(IHJ39&lt;=80,"Alto","Inviable Sanitariamente"))))</f>
        <v>Bajo</v>
      </c>
      <c r="IHM39" s="117">
        <v>0</v>
      </c>
      <c r="IHQ39" s="117">
        <v>0</v>
      </c>
      <c r="IHS39" s="117">
        <v>23.08</v>
      </c>
      <c r="IHY39" s="117">
        <f>AVERAGE(IHM39:IHX39)</f>
        <v>7.6933333333333325</v>
      </c>
      <c r="IHZ39" s="117" t="str">
        <f>IF(IHY39&lt;5,"SI","NO")</f>
        <v>NO</v>
      </c>
      <c r="IIA39" s="117" t="str">
        <f>IF(IHY39&lt;5,"Sin Riesgo",IF(IHY39 &lt;=14,"Bajo",IF(IHY39&lt;=35,"Medio",IF(IHY39&lt;=80,"Alto","Inviable Sanitariamente"))))</f>
        <v>Bajo</v>
      </c>
      <c r="IIB39" s="117">
        <v>0</v>
      </c>
      <c r="IIF39" s="117">
        <v>0</v>
      </c>
      <c r="IIH39" s="117">
        <v>23.08</v>
      </c>
      <c r="IIN39" s="117">
        <f>AVERAGE(IIB39:IIM39)</f>
        <v>7.6933333333333325</v>
      </c>
      <c r="IIO39" s="117" t="str">
        <f>IF(IIN39&lt;5,"SI","NO")</f>
        <v>NO</v>
      </c>
      <c r="IIP39" s="117" t="str">
        <f>IF(IIN39&lt;5,"Sin Riesgo",IF(IIN39 &lt;=14,"Bajo",IF(IIN39&lt;=35,"Medio",IF(IIN39&lt;=80,"Alto","Inviable Sanitariamente"))))</f>
        <v>Bajo</v>
      </c>
      <c r="IIQ39" s="117">
        <v>0</v>
      </c>
      <c r="IIU39" s="117">
        <v>0</v>
      </c>
      <c r="IIW39" s="117">
        <v>23.08</v>
      </c>
      <c r="IJC39" s="117">
        <f>AVERAGE(IIQ39:IJB39)</f>
        <v>7.6933333333333325</v>
      </c>
      <c r="IJD39" s="117" t="str">
        <f>IF(IJC39&lt;5,"SI","NO")</f>
        <v>NO</v>
      </c>
      <c r="IJE39" s="117" t="str">
        <f>IF(IJC39&lt;5,"Sin Riesgo",IF(IJC39 &lt;=14,"Bajo",IF(IJC39&lt;=35,"Medio",IF(IJC39&lt;=80,"Alto","Inviable Sanitariamente"))))</f>
        <v>Bajo</v>
      </c>
      <c r="IJF39" s="117">
        <v>0</v>
      </c>
      <c r="IJJ39" s="117">
        <v>0</v>
      </c>
      <c r="IJL39" s="117">
        <v>23.08</v>
      </c>
      <c r="IJR39" s="117">
        <f>AVERAGE(IJF39:IJQ39)</f>
        <v>7.6933333333333325</v>
      </c>
      <c r="IJS39" s="117" t="str">
        <f>IF(IJR39&lt;5,"SI","NO")</f>
        <v>NO</v>
      </c>
      <c r="IJT39" s="117" t="str">
        <f>IF(IJR39&lt;5,"Sin Riesgo",IF(IJR39 &lt;=14,"Bajo",IF(IJR39&lt;=35,"Medio",IF(IJR39&lt;=80,"Alto","Inviable Sanitariamente"))))</f>
        <v>Bajo</v>
      </c>
      <c r="IJU39" s="117">
        <v>0</v>
      </c>
      <c r="IJY39" s="117">
        <v>0</v>
      </c>
      <c r="IKA39" s="117">
        <v>23.08</v>
      </c>
      <c r="IKG39" s="117">
        <f>AVERAGE(IJU39:IKF39)</f>
        <v>7.6933333333333325</v>
      </c>
      <c r="IKH39" s="117" t="str">
        <f>IF(IKG39&lt;5,"SI","NO")</f>
        <v>NO</v>
      </c>
      <c r="IKI39" s="117" t="str">
        <f>IF(IKG39&lt;5,"Sin Riesgo",IF(IKG39 &lt;=14,"Bajo",IF(IKG39&lt;=35,"Medio",IF(IKG39&lt;=80,"Alto","Inviable Sanitariamente"))))</f>
        <v>Bajo</v>
      </c>
      <c r="IKJ39" s="117">
        <v>0</v>
      </c>
      <c r="IKN39" s="117">
        <v>0</v>
      </c>
      <c r="IKP39" s="117">
        <v>23.08</v>
      </c>
      <c r="IKV39" s="117">
        <f>AVERAGE(IKJ39:IKU39)</f>
        <v>7.6933333333333325</v>
      </c>
      <c r="IKW39" s="117" t="str">
        <f>IF(IKV39&lt;5,"SI","NO")</f>
        <v>NO</v>
      </c>
      <c r="IKX39" s="117" t="str">
        <f>IF(IKV39&lt;5,"Sin Riesgo",IF(IKV39 &lt;=14,"Bajo",IF(IKV39&lt;=35,"Medio",IF(IKV39&lt;=80,"Alto","Inviable Sanitariamente"))))</f>
        <v>Bajo</v>
      </c>
      <c r="IKY39" s="117">
        <v>0</v>
      </c>
      <c r="ILC39" s="117">
        <v>0</v>
      </c>
      <c r="ILE39" s="117">
        <v>23.08</v>
      </c>
      <c r="ILK39" s="117">
        <f>AVERAGE(IKY39:ILJ39)</f>
        <v>7.6933333333333325</v>
      </c>
      <c r="ILL39" s="117" t="str">
        <f>IF(ILK39&lt;5,"SI","NO")</f>
        <v>NO</v>
      </c>
      <c r="ILM39" s="117" t="str">
        <f>IF(ILK39&lt;5,"Sin Riesgo",IF(ILK39 &lt;=14,"Bajo",IF(ILK39&lt;=35,"Medio",IF(ILK39&lt;=80,"Alto","Inviable Sanitariamente"))))</f>
        <v>Bajo</v>
      </c>
      <c r="ILN39" s="117">
        <v>0</v>
      </c>
      <c r="ILR39" s="117">
        <v>0</v>
      </c>
      <c r="ILT39" s="117">
        <v>23.08</v>
      </c>
      <c r="ILZ39" s="117">
        <f>AVERAGE(ILN39:ILY39)</f>
        <v>7.6933333333333325</v>
      </c>
      <c r="IMA39" s="117" t="str">
        <f>IF(ILZ39&lt;5,"SI","NO")</f>
        <v>NO</v>
      </c>
      <c r="IMB39" s="117" t="str">
        <f>IF(ILZ39&lt;5,"Sin Riesgo",IF(ILZ39 &lt;=14,"Bajo",IF(ILZ39&lt;=35,"Medio",IF(ILZ39&lt;=80,"Alto","Inviable Sanitariamente"))))</f>
        <v>Bajo</v>
      </c>
      <c r="IMC39" s="117">
        <v>0</v>
      </c>
      <c r="IMG39" s="117">
        <v>0</v>
      </c>
      <c r="IMI39" s="117">
        <v>23.08</v>
      </c>
      <c r="IMO39" s="117">
        <f>AVERAGE(IMC39:IMN39)</f>
        <v>7.6933333333333325</v>
      </c>
      <c r="IMP39" s="117" t="str">
        <f>IF(IMO39&lt;5,"SI","NO")</f>
        <v>NO</v>
      </c>
      <c r="IMQ39" s="117" t="str">
        <f>IF(IMO39&lt;5,"Sin Riesgo",IF(IMO39 &lt;=14,"Bajo",IF(IMO39&lt;=35,"Medio",IF(IMO39&lt;=80,"Alto","Inviable Sanitariamente"))))</f>
        <v>Bajo</v>
      </c>
      <c r="IMR39" s="117">
        <v>0</v>
      </c>
      <c r="IMV39" s="117">
        <v>0</v>
      </c>
      <c r="IMX39" s="117">
        <v>23.08</v>
      </c>
      <c r="IND39" s="117">
        <f>AVERAGE(IMR39:INC39)</f>
        <v>7.6933333333333325</v>
      </c>
      <c r="INE39" s="117" t="str">
        <f>IF(IND39&lt;5,"SI","NO")</f>
        <v>NO</v>
      </c>
      <c r="INF39" s="117" t="str">
        <f>IF(IND39&lt;5,"Sin Riesgo",IF(IND39 &lt;=14,"Bajo",IF(IND39&lt;=35,"Medio",IF(IND39&lt;=80,"Alto","Inviable Sanitariamente"))))</f>
        <v>Bajo</v>
      </c>
      <c r="ING39" s="117">
        <v>0</v>
      </c>
      <c r="INK39" s="117">
        <v>0</v>
      </c>
      <c r="INM39" s="117">
        <v>23.08</v>
      </c>
      <c r="INS39" s="117">
        <f>AVERAGE(ING39:INR39)</f>
        <v>7.6933333333333325</v>
      </c>
      <c r="INT39" s="117" t="str">
        <f>IF(INS39&lt;5,"SI","NO")</f>
        <v>NO</v>
      </c>
      <c r="INU39" s="117" t="str">
        <f>IF(INS39&lt;5,"Sin Riesgo",IF(INS39 &lt;=14,"Bajo",IF(INS39&lt;=35,"Medio",IF(INS39&lt;=80,"Alto","Inviable Sanitariamente"))))</f>
        <v>Bajo</v>
      </c>
      <c r="INV39" s="117">
        <v>0</v>
      </c>
      <c r="INZ39" s="117">
        <v>0</v>
      </c>
      <c r="IOB39" s="117">
        <v>23.08</v>
      </c>
      <c r="IOH39" s="117">
        <f>AVERAGE(INV39:IOG39)</f>
        <v>7.6933333333333325</v>
      </c>
      <c r="IOI39" s="117" t="str">
        <f>IF(IOH39&lt;5,"SI","NO")</f>
        <v>NO</v>
      </c>
      <c r="IOJ39" s="117" t="str">
        <f>IF(IOH39&lt;5,"Sin Riesgo",IF(IOH39 &lt;=14,"Bajo",IF(IOH39&lt;=35,"Medio",IF(IOH39&lt;=80,"Alto","Inviable Sanitariamente"))))</f>
        <v>Bajo</v>
      </c>
      <c r="IOK39" s="117">
        <v>0</v>
      </c>
      <c r="IOO39" s="117">
        <v>0</v>
      </c>
      <c r="IOQ39" s="117">
        <v>23.08</v>
      </c>
      <c r="IOW39" s="117">
        <f>AVERAGE(IOK39:IOV39)</f>
        <v>7.6933333333333325</v>
      </c>
      <c r="IOX39" s="117" t="str">
        <f>IF(IOW39&lt;5,"SI","NO")</f>
        <v>NO</v>
      </c>
      <c r="IOY39" s="117" t="str">
        <f>IF(IOW39&lt;5,"Sin Riesgo",IF(IOW39 &lt;=14,"Bajo",IF(IOW39&lt;=35,"Medio",IF(IOW39&lt;=80,"Alto","Inviable Sanitariamente"))))</f>
        <v>Bajo</v>
      </c>
      <c r="IOZ39" s="117">
        <v>0</v>
      </c>
      <c r="IPD39" s="117">
        <v>0</v>
      </c>
      <c r="IPF39" s="117">
        <v>23.08</v>
      </c>
      <c r="IPL39" s="117">
        <f>AVERAGE(IOZ39:IPK39)</f>
        <v>7.6933333333333325</v>
      </c>
      <c r="IPM39" s="117" t="str">
        <f>IF(IPL39&lt;5,"SI","NO")</f>
        <v>NO</v>
      </c>
      <c r="IPN39" s="117" t="str">
        <f>IF(IPL39&lt;5,"Sin Riesgo",IF(IPL39 &lt;=14,"Bajo",IF(IPL39&lt;=35,"Medio",IF(IPL39&lt;=80,"Alto","Inviable Sanitariamente"))))</f>
        <v>Bajo</v>
      </c>
      <c r="IPO39" s="117">
        <v>0</v>
      </c>
      <c r="IPS39" s="117">
        <v>0</v>
      </c>
      <c r="IPU39" s="117">
        <v>23.08</v>
      </c>
      <c r="IQA39" s="117">
        <f>AVERAGE(IPO39:IPZ39)</f>
        <v>7.6933333333333325</v>
      </c>
      <c r="IQB39" s="117" t="str">
        <f>IF(IQA39&lt;5,"SI","NO")</f>
        <v>NO</v>
      </c>
      <c r="IQC39" s="117" t="str">
        <f>IF(IQA39&lt;5,"Sin Riesgo",IF(IQA39 &lt;=14,"Bajo",IF(IQA39&lt;=35,"Medio",IF(IQA39&lt;=80,"Alto","Inviable Sanitariamente"))))</f>
        <v>Bajo</v>
      </c>
      <c r="IQD39" s="117">
        <v>0</v>
      </c>
      <c r="IQH39" s="117">
        <v>0</v>
      </c>
      <c r="IQJ39" s="117">
        <v>23.08</v>
      </c>
      <c r="IQP39" s="117">
        <f>AVERAGE(IQD39:IQO39)</f>
        <v>7.6933333333333325</v>
      </c>
      <c r="IQQ39" s="117" t="str">
        <f>IF(IQP39&lt;5,"SI","NO")</f>
        <v>NO</v>
      </c>
      <c r="IQR39" s="117" t="str">
        <f>IF(IQP39&lt;5,"Sin Riesgo",IF(IQP39 &lt;=14,"Bajo",IF(IQP39&lt;=35,"Medio",IF(IQP39&lt;=80,"Alto","Inviable Sanitariamente"))))</f>
        <v>Bajo</v>
      </c>
      <c r="IQS39" s="117">
        <v>0</v>
      </c>
      <c r="IQW39" s="117">
        <v>0</v>
      </c>
      <c r="IQY39" s="117">
        <v>23.08</v>
      </c>
      <c r="IRE39" s="117">
        <f>AVERAGE(IQS39:IRD39)</f>
        <v>7.6933333333333325</v>
      </c>
      <c r="IRF39" s="117" t="str">
        <f>IF(IRE39&lt;5,"SI","NO")</f>
        <v>NO</v>
      </c>
      <c r="IRG39" s="117" t="str">
        <f>IF(IRE39&lt;5,"Sin Riesgo",IF(IRE39 &lt;=14,"Bajo",IF(IRE39&lt;=35,"Medio",IF(IRE39&lt;=80,"Alto","Inviable Sanitariamente"))))</f>
        <v>Bajo</v>
      </c>
      <c r="IRH39" s="117">
        <v>0</v>
      </c>
      <c r="IRL39" s="117">
        <v>0</v>
      </c>
      <c r="IRN39" s="117">
        <v>23.08</v>
      </c>
      <c r="IRT39" s="117">
        <f>AVERAGE(IRH39:IRS39)</f>
        <v>7.6933333333333325</v>
      </c>
      <c r="IRU39" s="117" t="str">
        <f>IF(IRT39&lt;5,"SI","NO")</f>
        <v>NO</v>
      </c>
      <c r="IRV39" s="117" t="str">
        <f>IF(IRT39&lt;5,"Sin Riesgo",IF(IRT39 &lt;=14,"Bajo",IF(IRT39&lt;=35,"Medio",IF(IRT39&lt;=80,"Alto","Inviable Sanitariamente"))))</f>
        <v>Bajo</v>
      </c>
      <c r="IRW39" s="117">
        <v>0</v>
      </c>
      <c r="ISA39" s="117">
        <v>0</v>
      </c>
      <c r="ISC39" s="117">
        <v>23.08</v>
      </c>
      <c r="ISI39" s="117">
        <f>AVERAGE(IRW39:ISH39)</f>
        <v>7.6933333333333325</v>
      </c>
      <c r="ISJ39" s="117" t="str">
        <f>IF(ISI39&lt;5,"SI","NO")</f>
        <v>NO</v>
      </c>
      <c r="ISK39" s="117" t="str">
        <f>IF(ISI39&lt;5,"Sin Riesgo",IF(ISI39 &lt;=14,"Bajo",IF(ISI39&lt;=35,"Medio",IF(ISI39&lt;=80,"Alto","Inviable Sanitariamente"))))</f>
        <v>Bajo</v>
      </c>
      <c r="ISL39" s="117">
        <v>0</v>
      </c>
      <c r="ISP39" s="117">
        <v>0</v>
      </c>
      <c r="ISR39" s="117">
        <v>23.08</v>
      </c>
      <c r="ISX39" s="117">
        <f>AVERAGE(ISL39:ISW39)</f>
        <v>7.6933333333333325</v>
      </c>
      <c r="ISY39" s="117" t="str">
        <f>IF(ISX39&lt;5,"SI","NO")</f>
        <v>NO</v>
      </c>
      <c r="ISZ39" s="117" t="str">
        <f>IF(ISX39&lt;5,"Sin Riesgo",IF(ISX39 &lt;=14,"Bajo",IF(ISX39&lt;=35,"Medio",IF(ISX39&lt;=80,"Alto","Inviable Sanitariamente"))))</f>
        <v>Bajo</v>
      </c>
      <c r="ITA39" s="117">
        <v>0</v>
      </c>
      <c r="ITE39" s="117">
        <v>0</v>
      </c>
      <c r="ITG39" s="117">
        <v>23.08</v>
      </c>
      <c r="ITM39" s="117">
        <f>AVERAGE(ITA39:ITL39)</f>
        <v>7.6933333333333325</v>
      </c>
      <c r="ITN39" s="117" t="str">
        <f>IF(ITM39&lt;5,"SI","NO")</f>
        <v>NO</v>
      </c>
      <c r="ITO39" s="117" t="str">
        <f>IF(ITM39&lt;5,"Sin Riesgo",IF(ITM39 &lt;=14,"Bajo",IF(ITM39&lt;=35,"Medio",IF(ITM39&lt;=80,"Alto","Inviable Sanitariamente"))))</f>
        <v>Bajo</v>
      </c>
      <c r="ITP39" s="117">
        <v>0</v>
      </c>
      <c r="ITT39" s="117">
        <v>0</v>
      </c>
      <c r="ITV39" s="117">
        <v>23.08</v>
      </c>
      <c r="IUB39" s="117">
        <f>AVERAGE(ITP39:IUA39)</f>
        <v>7.6933333333333325</v>
      </c>
      <c r="IUC39" s="117" t="str">
        <f>IF(IUB39&lt;5,"SI","NO")</f>
        <v>NO</v>
      </c>
      <c r="IUD39" s="117" t="str">
        <f>IF(IUB39&lt;5,"Sin Riesgo",IF(IUB39 &lt;=14,"Bajo",IF(IUB39&lt;=35,"Medio",IF(IUB39&lt;=80,"Alto","Inviable Sanitariamente"))))</f>
        <v>Bajo</v>
      </c>
      <c r="IUE39" s="117">
        <v>0</v>
      </c>
      <c r="IUI39" s="117">
        <v>0</v>
      </c>
      <c r="IUK39" s="117">
        <v>23.08</v>
      </c>
      <c r="IUQ39" s="117">
        <f>AVERAGE(IUE39:IUP39)</f>
        <v>7.6933333333333325</v>
      </c>
      <c r="IUR39" s="117" t="str">
        <f>IF(IUQ39&lt;5,"SI","NO")</f>
        <v>NO</v>
      </c>
      <c r="IUS39" s="117" t="str">
        <f>IF(IUQ39&lt;5,"Sin Riesgo",IF(IUQ39 &lt;=14,"Bajo",IF(IUQ39&lt;=35,"Medio",IF(IUQ39&lt;=80,"Alto","Inviable Sanitariamente"))))</f>
        <v>Bajo</v>
      </c>
      <c r="IUT39" s="117">
        <v>0</v>
      </c>
      <c r="IUX39" s="117">
        <v>0</v>
      </c>
      <c r="IUZ39" s="117">
        <v>23.08</v>
      </c>
      <c r="IVF39" s="117">
        <f>AVERAGE(IUT39:IVE39)</f>
        <v>7.6933333333333325</v>
      </c>
      <c r="IVG39" s="117" t="str">
        <f>IF(IVF39&lt;5,"SI","NO")</f>
        <v>NO</v>
      </c>
      <c r="IVH39" s="117" t="str">
        <f>IF(IVF39&lt;5,"Sin Riesgo",IF(IVF39 &lt;=14,"Bajo",IF(IVF39&lt;=35,"Medio",IF(IVF39&lt;=80,"Alto","Inviable Sanitariamente"))))</f>
        <v>Bajo</v>
      </c>
      <c r="IVI39" s="117">
        <v>0</v>
      </c>
      <c r="IVM39" s="117">
        <v>0</v>
      </c>
      <c r="IVO39" s="117">
        <v>23.08</v>
      </c>
      <c r="IVU39" s="117">
        <f>AVERAGE(IVI39:IVT39)</f>
        <v>7.6933333333333325</v>
      </c>
      <c r="IVV39" s="117" t="str">
        <f>IF(IVU39&lt;5,"SI","NO")</f>
        <v>NO</v>
      </c>
      <c r="IVW39" s="117" t="str">
        <f>IF(IVU39&lt;5,"Sin Riesgo",IF(IVU39 &lt;=14,"Bajo",IF(IVU39&lt;=35,"Medio",IF(IVU39&lt;=80,"Alto","Inviable Sanitariamente"))))</f>
        <v>Bajo</v>
      </c>
      <c r="IVX39" s="117">
        <v>0</v>
      </c>
      <c r="IWB39" s="117">
        <v>0</v>
      </c>
      <c r="IWD39" s="117">
        <v>23.08</v>
      </c>
      <c r="IWJ39" s="117">
        <f>AVERAGE(IVX39:IWI39)</f>
        <v>7.6933333333333325</v>
      </c>
      <c r="IWK39" s="117" t="str">
        <f>IF(IWJ39&lt;5,"SI","NO")</f>
        <v>NO</v>
      </c>
      <c r="IWL39" s="117" t="str">
        <f>IF(IWJ39&lt;5,"Sin Riesgo",IF(IWJ39 &lt;=14,"Bajo",IF(IWJ39&lt;=35,"Medio",IF(IWJ39&lt;=80,"Alto","Inviable Sanitariamente"))))</f>
        <v>Bajo</v>
      </c>
      <c r="IWM39" s="117">
        <v>0</v>
      </c>
      <c r="IWQ39" s="117">
        <v>0</v>
      </c>
      <c r="IWS39" s="117">
        <v>23.08</v>
      </c>
      <c r="IWY39" s="117">
        <f>AVERAGE(IWM39:IWX39)</f>
        <v>7.6933333333333325</v>
      </c>
      <c r="IWZ39" s="117" t="str">
        <f>IF(IWY39&lt;5,"SI","NO")</f>
        <v>NO</v>
      </c>
      <c r="IXA39" s="117" t="str">
        <f>IF(IWY39&lt;5,"Sin Riesgo",IF(IWY39 &lt;=14,"Bajo",IF(IWY39&lt;=35,"Medio",IF(IWY39&lt;=80,"Alto","Inviable Sanitariamente"))))</f>
        <v>Bajo</v>
      </c>
      <c r="IXB39" s="117">
        <v>0</v>
      </c>
      <c r="IXF39" s="117">
        <v>0</v>
      </c>
      <c r="IXH39" s="117">
        <v>23.08</v>
      </c>
      <c r="IXN39" s="117">
        <f>AVERAGE(IXB39:IXM39)</f>
        <v>7.6933333333333325</v>
      </c>
      <c r="IXO39" s="117" t="str">
        <f>IF(IXN39&lt;5,"SI","NO")</f>
        <v>NO</v>
      </c>
      <c r="IXP39" s="117" t="str">
        <f>IF(IXN39&lt;5,"Sin Riesgo",IF(IXN39 &lt;=14,"Bajo",IF(IXN39&lt;=35,"Medio",IF(IXN39&lt;=80,"Alto","Inviable Sanitariamente"))))</f>
        <v>Bajo</v>
      </c>
      <c r="IXQ39" s="117">
        <v>0</v>
      </c>
      <c r="IXU39" s="117">
        <v>0</v>
      </c>
      <c r="IXW39" s="117">
        <v>23.08</v>
      </c>
      <c r="IYC39" s="117">
        <f>AVERAGE(IXQ39:IYB39)</f>
        <v>7.6933333333333325</v>
      </c>
      <c r="IYD39" s="117" t="str">
        <f>IF(IYC39&lt;5,"SI","NO")</f>
        <v>NO</v>
      </c>
      <c r="IYE39" s="117" t="str">
        <f>IF(IYC39&lt;5,"Sin Riesgo",IF(IYC39 &lt;=14,"Bajo",IF(IYC39&lt;=35,"Medio",IF(IYC39&lt;=80,"Alto","Inviable Sanitariamente"))))</f>
        <v>Bajo</v>
      </c>
      <c r="IYF39" s="117">
        <v>0</v>
      </c>
      <c r="IYJ39" s="117">
        <v>0</v>
      </c>
      <c r="IYL39" s="117">
        <v>23.08</v>
      </c>
      <c r="IYR39" s="117">
        <f>AVERAGE(IYF39:IYQ39)</f>
        <v>7.6933333333333325</v>
      </c>
      <c r="IYS39" s="117" t="str">
        <f>IF(IYR39&lt;5,"SI","NO")</f>
        <v>NO</v>
      </c>
      <c r="IYT39" s="117" t="str">
        <f>IF(IYR39&lt;5,"Sin Riesgo",IF(IYR39 &lt;=14,"Bajo",IF(IYR39&lt;=35,"Medio",IF(IYR39&lt;=80,"Alto","Inviable Sanitariamente"))))</f>
        <v>Bajo</v>
      </c>
      <c r="IYU39" s="117">
        <v>0</v>
      </c>
      <c r="IYY39" s="117">
        <v>0</v>
      </c>
      <c r="IZA39" s="117">
        <v>23.08</v>
      </c>
      <c r="IZG39" s="117">
        <f>AVERAGE(IYU39:IZF39)</f>
        <v>7.6933333333333325</v>
      </c>
      <c r="IZH39" s="117" t="str">
        <f>IF(IZG39&lt;5,"SI","NO")</f>
        <v>NO</v>
      </c>
      <c r="IZI39" s="117" t="str">
        <f>IF(IZG39&lt;5,"Sin Riesgo",IF(IZG39 &lt;=14,"Bajo",IF(IZG39&lt;=35,"Medio",IF(IZG39&lt;=80,"Alto","Inviable Sanitariamente"))))</f>
        <v>Bajo</v>
      </c>
      <c r="IZJ39" s="117">
        <v>0</v>
      </c>
      <c r="IZN39" s="117">
        <v>0</v>
      </c>
      <c r="IZP39" s="117">
        <v>23.08</v>
      </c>
      <c r="IZV39" s="117">
        <f>AVERAGE(IZJ39:IZU39)</f>
        <v>7.6933333333333325</v>
      </c>
      <c r="IZW39" s="117" t="str">
        <f>IF(IZV39&lt;5,"SI","NO")</f>
        <v>NO</v>
      </c>
      <c r="IZX39" s="117" t="str">
        <f>IF(IZV39&lt;5,"Sin Riesgo",IF(IZV39 &lt;=14,"Bajo",IF(IZV39&lt;=35,"Medio",IF(IZV39&lt;=80,"Alto","Inviable Sanitariamente"))))</f>
        <v>Bajo</v>
      </c>
      <c r="IZY39" s="117">
        <v>0</v>
      </c>
      <c r="JAC39" s="117">
        <v>0</v>
      </c>
      <c r="JAE39" s="117">
        <v>23.08</v>
      </c>
      <c r="JAK39" s="117">
        <f>AVERAGE(IZY39:JAJ39)</f>
        <v>7.6933333333333325</v>
      </c>
      <c r="JAL39" s="117" t="str">
        <f>IF(JAK39&lt;5,"SI","NO")</f>
        <v>NO</v>
      </c>
      <c r="JAM39" s="117" t="str">
        <f>IF(JAK39&lt;5,"Sin Riesgo",IF(JAK39 &lt;=14,"Bajo",IF(JAK39&lt;=35,"Medio",IF(JAK39&lt;=80,"Alto","Inviable Sanitariamente"))))</f>
        <v>Bajo</v>
      </c>
      <c r="JAN39" s="117">
        <v>0</v>
      </c>
      <c r="JAR39" s="117">
        <v>0</v>
      </c>
      <c r="JAT39" s="117">
        <v>23.08</v>
      </c>
      <c r="JAZ39" s="117">
        <f>AVERAGE(JAN39:JAY39)</f>
        <v>7.6933333333333325</v>
      </c>
      <c r="JBA39" s="117" t="str">
        <f>IF(JAZ39&lt;5,"SI","NO")</f>
        <v>NO</v>
      </c>
      <c r="JBB39" s="117" t="str">
        <f>IF(JAZ39&lt;5,"Sin Riesgo",IF(JAZ39 &lt;=14,"Bajo",IF(JAZ39&lt;=35,"Medio",IF(JAZ39&lt;=80,"Alto","Inviable Sanitariamente"))))</f>
        <v>Bajo</v>
      </c>
      <c r="JBC39" s="117">
        <v>0</v>
      </c>
      <c r="JBG39" s="117">
        <v>0</v>
      </c>
      <c r="JBI39" s="117">
        <v>23.08</v>
      </c>
      <c r="JBO39" s="117">
        <f>AVERAGE(JBC39:JBN39)</f>
        <v>7.6933333333333325</v>
      </c>
      <c r="JBP39" s="117" t="str">
        <f>IF(JBO39&lt;5,"SI","NO")</f>
        <v>NO</v>
      </c>
      <c r="JBQ39" s="117" t="str">
        <f>IF(JBO39&lt;5,"Sin Riesgo",IF(JBO39 &lt;=14,"Bajo",IF(JBO39&lt;=35,"Medio",IF(JBO39&lt;=80,"Alto","Inviable Sanitariamente"))))</f>
        <v>Bajo</v>
      </c>
      <c r="JBR39" s="117">
        <v>0</v>
      </c>
      <c r="JBV39" s="117">
        <v>0</v>
      </c>
      <c r="JBX39" s="117">
        <v>23.08</v>
      </c>
      <c r="JCD39" s="117">
        <f>AVERAGE(JBR39:JCC39)</f>
        <v>7.6933333333333325</v>
      </c>
      <c r="JCE39" s="117" t="str">
        <f>IF(JCD39&lt;5,"SI","NO")</f>
        <v>NO</v>
      </c>
      <c r="JCF39" s="117" t="str">
        <f>IF(JCD39&lt;5,"Sin Riesgo",IF(JCD39 &lt;=14,"Bajo",IF(JCD39&lt;=35,"Medio",IF(JCD39&lt;=80,"Alto","Inviable Sanitariamente"))))</f>
        <v>Bajo</v>
      </c>
      <c r="JCG39" s="117">
        <v>0</v>
      </c>
      <c r="JCK39" s="117">
        <v>0</v>
      </c>
      <c r="JCM39" s="117">
        <v>23.08</v>
      </c>
      <c r="JCS39" s="117">
        <f>AVERAGE(JCG39:JCR39)</f>
        <v>7.6933333333333325</v>
      </c>
      <c r="JCT39" s="117" t="str">
        <f>IF(JCS39&lt;5,"SI","NO")</f>
        <v>NO</v>
      </c>
      <c r="JCU39" s="117" t="str">
        <f>IF(JCS39&lt;5,"Sin Riesgo",IF(JCS39 &lt;=14,"Bajo",IF(JCS39&lt;=35,"Medio",IF(JCS39&lt;=80,"Alto","Inviable Sanitariamente"))))</f>
        <v>Bajo</v>
      </c>
      <c r="JCV39" s="117">
        <v>0</v>
      </c>
      <c r="JCZ39" s="117">
        <v>0</v>
      </c>
      <c r="JDB39" s="117">
        <v>23.08</v>
      </c>
      <c r="JDH39" s="117">
        <f>AVERAGE(JCV39:JDG39)</f>
        <v>7.6933333333333325</v>
      </c>
      <c r="JDI39" s="117" t="str">
        <f>IF(JDH39&lt;5,"SI","NO")</f>
        <v>NO</v>
      </c>
      <c r="JDJ39" s="117" t="str">
        <f>IF(JDH39&lt;5,"Sin Riesgo",IF(JDH39 &lt;=14,"Bajo",IF(JDH39&lt;=35,"Medio",IF(JDH39&lt;=80,"Alto","Inviable Sanitariamente"))))</f>
        <v>Bajo</v>
      </c>
      <c r="JDK39" s="117">
        <v>0</v>
      </c>
      <c r="JDO39" s="117">
        <v>0</v>
      </c>
      <c r="JDQ39" s="117">
        <v>23.08</v>
      </c>
      <c r="JDW39" s="117">
        <f>AVERAGE(JDK39:JDV39)</f>
        <v>7.6933333333333325</v>
      </c>
      <c r="JDX39" s="117" t="str">
        <f>IF(JDW39&lt;5,"SI","NO")</f>
        <v>NO</v>
      </c>
      <c r="JDY39" s="117" t="str">
        <f>IF(JDW39&lt;5,"Sin Riesgo",IF(JDW39 &lt;=14,"Bajo",IF(JDW39&lt;=35,"Medio",IF(JDW39&lt;=80,"Alto","Inviable Sanitariamente"))))</f>
        <v>Bajo</v>
      </c>
      <c r="JDZ39" s="117">
        <v>0</v>
      </c>
      <c r="JED39" s="117">
        <v>0</v>
      </c>
      <c r="JEF39" s="117">
        <v>23.08</v>
      </c>
      <c r="JEL39" s="117">
        <f>AVERAGE(JDZ39:JEK39)</f>
        <v>7.6933333333333325</v>
      </c>
      <c r="JEM39" s="117" t="str">
        <f>IF(JEL39&lt;5,"SI","NO")</f>
        <v>NO</v>
      </c>
      <c r="JEN39" s="117" t="str">
        <f>IF(JEL39&lt;5,"Sin Riesgo",IF(JEL39 &lt;=14,"Bajo",IF(JEL39&lt;=35,"Medio",IF(JEL39&lt;=80,"Alto","Inviable Sanitariamente"))))</f>
        <v>Bajo</v>
      </c>
      <c r="JEO39" s="117">
        <v>0</v>
      </c>
      <c r="JES39" s="117">
        <v>0</v>
      </c>
      <c r="JEU39" s="117">
        <v>23.08</v>
      </c>
      <c r="JFA39" s="117">
        <f>AVERAGE(JEO39:JEZ39)</f>
        <v>7.6933333333333325</v>
      </c>
      <c r="JFB39" s="117" t="str">
        <f>IF(JFA39&lt;5,"SI","NO")</f>
        <v>NO</v>
      </c>
      <c r="JFC39" s="117" t="str">
        <f>IF(JFA39&lt;5,"Sin Riesgo",IF(JFA39 &lt;=14,"Bajo",IF(JFA39&lt;=35,"Medio",IF(JFA39&lt;=80,"Alto","Inviable Sanitariamente"))))</f>
        <v>Bajo</v>
      </c>
      <c r="JFD39" s="117">
        <v>0</v>
      </c>
      <c r="JFH39" s="117">
        <v>0</v>
      </c>
      <c r="JFJ39" s="117">
        <v>23.08</v>
      </c>
      <c r="JFP39" s="117">
        <f>AVERAGE(JFD39:JFO39)</f>
        <v>7.6933333333333325</v>
      </c>
      <c r="JFQ39" s="117" t="str">
        <f>IF(JFP39&lt;5,"SI","NO")</f>
        <v>NO</v>
      </c>
      <c r="JFR39" s="117" t="str">
        <f>IF(JFP39&lt;5,"Sin Riesgo",IF(JFP39 &lt;=14,"Bajo",IF(JFP39&lt;=35,"Medio",IF(JFP39&lt;=80,"Alto","Inviable Sanitariamente"))))</f>
        <v>Bajo</v>
      </c>
      <c r="JFS39" s="117">
        <v>0</v>
      </c>
      <c r="JFW39" s="117">
        <v>0</v>
      </c>
      <c r="JFY39" s="117">
        <v>23.08</v>
      </c>
      <c r="JGE39" s="117">
        <f>AVERAGE(JFS39:JGD39)</f>
        <v>7.6933333333333325</v>
      </c>
      <c r="JGF39" s="117" t="str">
        <f>IF(JGE39&lt;5,"SI","NO")</f>
        <v>NO</v>
      </c>
      <c r="JGG39" s="117" t="str">
        <f>IF(JGE39&lt;5,"Sin Riesgo",IF(JGE39 &lt;=14,"Bajo",IF(JGE39&lt;=35,"Medio",IF(JGE39&lt;=80,"Alto","Inviable Sanitariamente"))))</f>
        <v>Bajo</v>
      </c>
      <c r="JGH39" s="117">
        <v>0</v>
      </c>
      <c r="JGL39" s="117">
        <v>0</v>
      </c>
      <c r="JGN39" s="117">
        <v>23.08</v>
      </c>
      <c r="JGT39" s="117">
        <f>AVERAGE(JGH39:JGS39)</f>
        <v>7.6933333333333325</v>
      </c>
      <c r="JGU39" s="117" t="str">
        <f>IF(JGT39&lt;5,"SI","NO")</f>
        <v>NO</v>
      </c>
      <c r="JGV39" s="117" t="str">
        <f>IF(JGT39&lt;5,"Sin Riesgo",IF(JGT39 &lt;=14,"Bajo",IF(JGT39&lt;=35,"Medio",IF(JGT39&lt;=80,"Alto","Inviable Sanitariamente"))))</f>
        <v>Bajo</v>
      </c>
      <c r="JGW39" s="117">
        <v>0</v>
      </c>
      <c r="JHA39" s="117">
        <v>0</v>
      </c>
      <c r="JHC39" s="117">
        <v>23.08</v>
      </c>
      <c r="JHI39" s="117">
        <f>AVERAGE(JGW39:JHH39)</f>
        <v>7.6933333333333325</v>
      </c>
      <c r="JHJ39" s="117" t="str">
        <f>IF(JHI39&lt;5,"SI","NO")</f>
        <v>NO</v>
      </c>
      <c r="JHK39" s="117" t="str">
        <f>IF(JHI39&lt;5,"Sin Riesgo",IF(JHI39 &lt;=14,"Bajo",IF(JHI39&lt;=35,"Medio",IF(JHI39&lt;=80,"Alto","Inviable Sanitariamente"))))</f>
        <v>Bajo</v>
      </c>
      <c r="JHL39" s="117">
        <v>0</v>
      </c>
      <c r="JHP39" s="117">
        <v>0</v>
      </c>
      <c r="JHR39" s="117">
        <v>23.08</v>
      </c>
      <c r="JHX39" s="117">
        <f>AVERAGE(JHL39:JHW39)</f>
        <v>7.6933333333333325</v>
      </c>
      <c r="JHY39" s="117" t="str">
        <f>IF(JHX39&lt;5,"SI","NO")</f>
        <v>NO</v>
      </c>
      <c r="JHZ39" s="117" t="str">
        <f>IF(JHX39&lt;5,"Sin Riesgo",IF(JHX39 &lt;=14,"Bajo",IF(JHX39&lt;=35,"Medio",IF(JHX39&lt;=80,"Alto","Inviable Sanitariamente"))))</f>
        <v>Bajo</v>
      </c>
      <c r="JIA39" s="117">
        <v>0</v>
      </c>
      <c r="JIE39" s="117">
        <v>0</v>
      </c>
      <c r="JIG39" s="117">
        <v>23.08</v>
      </c>
      <c r="JIM39" s="117">
        <f>AVERAGE(JIA39:JIL39)</f>
        <v>7.6933333333333325</v>
      </c>
      <c r="JIN39" s="117" t="str">
        <f>IF(JIM39&lt;5,"SI","NO")</f>
        <v>NO</v>
      </c>
      <c r="JIO39" s="117" t="str">
        <f>IF(JIM39&lt;5,"Sin Riesgo",IF(JIM39 &lt;=14,"Bajo",IF(JIM39&lt;=35,"Medio",IF(JIM39&lt;=80,"Alto","Inviable Sanitariamente"))))</f>
        <v>Bajo</v>
      </c>
      <c r="JIP39" s="117">
        <v>0</v>
      </c>
      <c r="JIT39" s="117">
        <v>0</v>
      </c>
      <c r="JIV39" s="117">
        <v>23.08</v>
      </c>
      <c r="JJB39" s="117">
        <f>AVERAGE(JIP39:JJA39)</f>
        <v>7.6933333333333325</v>
      </c>
      <c r="JJC39" s="117" t="str">
        <f>IF(JJB39&lt;5,"SI","NO")</f>
        <v>NO</v>
      </c>
      <c r="JJD39" s="117" t="str">
        <f>IF(JJB39&lt;5,"Sin Riesgo",IF(JJB39 &lt;=14,"Bajo",IF(JJB39&lt;=35,"Medio",IF(JJB39&lt;=80,"Alto","Inviable Sanitariamente"))))</f>
        <v>Bajo</v>
      </c>
      <c r="JJE39" s="117">
        <v>0</v>
      </c>
      <c r="JJI39" s="117">
        <v>0</v>
      </c>
      <c r="JJK39" s="117">
        <v>23.08</v>
      </c>
      <c r="JJQ39" s="117">
        <f>AVERAGE(JJE39:JJP39)</f>
        <v>7.6933333333333325</v>
      </c>
      <c r="JJR39" s="117" t="str">
        <f>IF(JJQ39&lt;5,"SI","NO")</f>
        <v>NO</v>
      </c>
      <c r="JJS39" s="117" t="str">
        <f>IF(JJQ39&lt;5,"Sin Riesgo",IF(JJQ39 &lt;=14,"Bajo",IF(JJQ39&lt;=35,"Medio",IF(JJQ39&lt;=80,"Alto","Inviable Sanitariamente"))))</f>
        <v>Bajo</v>
      </c>
      <c r="JJT39" s="117">
        <v>0</v>
      </c>
      <c r="JJX39" s="117">
        <v>0</v>
      </c>
      <c r="JJZ39" s="117">
        <v>23.08</v>
      </c>
      <c r="JKF39" s="117">
        <f>AVERAGE(JJT39:JKE39)</f>
        <v>7.6933333333333325</v>
      </c>
      <c r="JKG39" s="117" t="str">
        <f>IF(JKF39&lt;5,"SI","NO")</f>
        <v>NO</v>
      </c>
      <c r="JKH39" s="117" t="str">
        <f>IF(JKF39&lt;5,"Sin Riesgo",IF(JKF39 &lt;=14,"Bajo",IF(JKF39&lt;=35,"Medio",IF(JKF39&lt;=80,"Alto","Inviable Sanitariamente"))))</f>
        <v>Bajo</v>
      </c>
      <c r="JKI39" s="117">
        <v>0</v>
      </c>
      <c r="JKM39" s="117">
        <v>0</v>
      </c>
      <c r="JKO39" s="117">
        <v>23.08</v>
      </c>
      <c r="JKU39" s="117">
        <f>AVERAGE(JKI39:JKT39)</f>
        <v>7.6933333333333325</v>
      </c>
      <c r="JKV39" s="117" t="str">
        <f>IF(JKU39&lt;5,"SI","NO")</f>
        <v>NO</v>
      </c>
      <c r="JKW39" s="117" t="str">
        <f>IF(JKU39&lt;5,"Sin Riesgo",IF(JKU39 &lt;=14,"Bajo",IF(JKU39&lt;=35,"Medio",IF(JKU39&lt;=80,"Alto","Inviable Sanitariamente"))))</f>
        <v>Bajo</v>
      </c>
      <c r="JKX39" s="117">
        <v>0</v>
      </c>
      <c r="JLB39" s="117">
        <v>0</v>
      </c>
      <c r="JLD39" s="117">
        <v>23.08</v>
      </c>
      <c r="JLJ39" s="117">
        <f>AVERAGE(JKX39:JLI39)</f>
        <v>7.6933333333333325</v>
      </c>
      <c r="JLK39" s="117" t="str">
        <f>IF(JLJ39&lt;5,"SI","NO")</f>
        <v>NO</v>
      </c>
      <c r="JLL39" s="117" t="str">
        <f>IF(JLJ39&lt;5,"Sin Riesgo",IF(JLJ39 &lt;=14,"Bajo",IF(JLJ39&lt;=35,"Medio",IF(JLJ39&lt;=80,"Alto","Inviable Sanitariamente"))))</f>
        <v>Bajo</v>
      </c>
      <c r="JLM39" s="117">
        <v>0</v>
      </c>
      <c r="JLQ39" s="117">
        <v>0</v>
      </c>
      <c r="JLS39" s="117">
        <v>23.08</v>
      </c>
      <c r="JLY39" s="117">
        <f>AVERAGE(JLM39:JLX39)</f>
        <v>7.6933333333333325</v>
      </c>
      <c r="JLZ39" s="117" t="str">
        <f>IF(JLY39&lt;5,"SI","NO")</f>
        <v>NO</v>
      </c>
      <c r="JMA39" s="117" t="str">
        <f>IF(JLY39&lt;5,"Sin Riesgo",IF(JLY39 &lt;=14,"Bajo",IF(JLY39&lt;=35,"Medio",IF(JLY39&lt;=80,"Alto","Inviable Sanitariamente"))))</f>
        <v>Bajo</v>
      </c>
      <c r="JMB39" s="117">
        <v>0</v>
      </c>
      <c r="JMF39" s="117">
        <v>0</v>
      </c>
      <c r="JMH39" s="117">
        <v>23.08</v>
      </c>
      <c r="JMN39" s="117">
        <f>AVERAGE(JMB39:JMM39)</f>
        <v>7.6933333333333325</v>
      </c>
      <c r="JMO39" s="117" t="str">
        <f>IF(JMN39&lt;5,"SI","NO")</f>
        <v>NO</v>
      </c>
      <c r="JMP39" s="117" t="str">
        <f>IF(JMN39&lt;5,"Sin Riesgo",IF(JMN39 &lt;=14,"Bajo",IF(JMN39&lt;=35,"Medio",IF(JMN39&lt;=80,"Alto","Inviable Sanitariamente"))))</f>
        <v>Bajo</v>
      </c>
      <c r="JMQ39" s="117">
        <v>0</v>
      </c>
      <c r="JMU39" s="117">
        <v>0</v>
      </c>
      <c r="JMW39" s="117">
        <v>23.08</v>
      </c>
      <c r="JNC39" s="117">
        <f>AVERAGE(JMQ39:JNB39)</f>
        <v>7.6933333333333325</v>
      </c>
      <c r="JND39" s="117" t="str">
        <f>IF(JNC39&lt;5,"SI","NO")</f>
        <v>NO</v>
      </c>
      <c r="JNE39" s="117" t="str">
        <f>IF(JNC39&lt;5,"Sin Riesgo",IF(JNC39 &lt;=14,"Bajo",IF(JNC39&lt;=35,"Medio",IF(JNC39&lt;=80,"Alto","Inviable Sanitariamente"))))</f>
        <v>Bajo</v>
      </c>
      <c r="JNF39" s="117">
        <v>0</v>
      </c>
      <c r="JNJ39" s="117">
        <v>0</v>
      </c>
      <c r="JNL39" s="117">
        <v>23.08</v>
      </c>
      <c r="JNR39" s="117">
        <f>AVERAGE(JNF39:JNQ39)</f>
        <v>7.6933333333333325</v>
      </c>
      <c r="JNS39" s="117" t="str">
        <f>IF(JNR39&lt;5,"SI","NO")</f>
        <v>NO</v>
      </c>
      <c r="JNT39" s="117" t="str">
        <f>IF(JNR39&lt;5,"Sin Riesgo",IF(JNR39 &lt;=14,"Bajo",IF(JNR39&lt;=35,"Medio",IF(JNR39&lt;=80,"Alto","Inviable Sanitariamente"))))</f>
        <v>Bajo</v>
      </c>
      <c r="JNU39" s="117">
        <v>0</v>
      </c>
      <c r="JNY39" s="117">
        <v>0</v>
      </c>
      <c r="JOA39" s="117">
        <v>23.08</v>
      </c>
      <c r="JOG39" s="117">
        <f>AVERAGE(JNU39:JOF39)</f>
        <v>7.6933333333333325</v>
      </c>
      <c r="JOH39" s="117" t="str">
        <f>IF(JOG39&lt;5,"SI","NO")</f>
        <v>NO</v>
      </c>
      <c r="JOI39" s="117" t="str">
        <f>IF(JOG39&lt;5,"Sin Riesgo",IF(JOG39 &lt;=14,"Bajo",IF(JOG39&lt;=35,"Medio",IF(JOG39&lt;=80,"Alto","Inviable Sanitariamente"))))</f>
        <v>Bajo</v>
      </c>
      <c r="JOJ39" s="117">
        <v>0</v>
      </c>
      <c r="JON39" s="117">
        <v>0</v>
      </c>
      <c r="JOP39" s="117">
        <v>23.08</v>
      </c>
      <c r="JOV39" s="117">
        <f>AVERAGE(JOJ39:JOU39)</f>
        <v>7.6933333333333325</v>
      </c>
      <c r="JOW39" s="117" t="str">
        <f>IF(JOV39&lt;5,"SI","NO")</f>
        <v>NO</v>
      </c>
      <c r="JOX39" s="117" t="str">
        <f>IF(JOV39&lt;5,"Sin Riesgo",IF(JOV39 &lt;=14,"Bajo",IF(JOV39&lt;=35,"Medio",IF(JOV39&lt;=80,"Alto","Inviable Sanitariamente"))))</f>
        <v>Bajo</v>
      </c>
      <c r="JOY39" s="117">
        <v>0</v>
      </c>
      <c r="JPC39" s="117">
        <v>0</v>
      </c>
      <c r="JPE39" s="117">
        <v>23.08</v>
      </c>
      <c r="JPK39" s="117">
        <f>AVERAGE(JOY39:JPJ39)</f>
        <v>7.6933333333333325</v>
      </c>
      <c r="JPL39" s="117" t="str">
        <f>IF(JPK39&lt;5,"SI","NO")</f>
        <v>NO</v>
      </c>
      <c r="JPM39" s="117" t="str">
        <f>IF(JPK39&lt;5,"Sin Riesgo",IF(JPK39 &lt;=14,"Bajo",IF(JPK39&lt;=35,"Medio",IF(JPK39&lt;=80,"Alto","Inviable Sanitariamente"))))</f>
        <v>Bajo</v>
      </c>
      <c r="JPN39" s="117">
        <v>0</v>
      </c>
      <c r="JPR39" s="117">
        <v>0</v>
      </c>
      <c r="JPT39" s="117">
        <v>23.08</v>
      </c>
      <c r="JPZ39" s="117">
        <f>AVERAGE(JPN39:JPY39)</f>
        <v>7.6933333333333325</v>
      </c>
      <c r="JQA39" s="117" t="str">
        <f>IF(JPZ39&lt;5,"SI","NO")</f>
        <v>NO</v>
      </c>
      <c r="JQB39" s="117" t="str">
        <f>IF(JPZ39&lt;5,"Sin Riesgo",IF(JPZ39 &lt;=14,"Bajo",IF(JPZ39&lt;=35,"Medio",IF(JPZ39&lt;=80,"Alto","Inviable Sanitariamente"))))</f>
        <v>Bajo</v>
      </c>
      <c r="JQC39" s="117">
        <v>0</v>
      </c>
      <c r="JQG39" s="117">
        <v>0</v>
      </c>
      <c r="JQI39" s="117">
        <v>23.08</v>
      </c>
      <c r="JQO39" s="117">
        <f>AVERAGE(JQC39:JQN39)</f>
        <v>7.6933333333333325</v>
      </c>
      <c r="JQP39" s="117" t="str">
        <f>IF(JQO39&lt;5,"SI","NO")</f>
        <v>NO</v>
      </c>
      <c r="JQQ39" s="117" t="str">
        <f>IF(JQO39&lt;5,"Sin Riesgo",IF(JQO39 &lt;=14,"Bajo",IF(JQO39&lt;=35,"Medio",IF(JQO39&lt;=80,"Alto","Inviable Sanitariamente"))))</f>
        <v>Bajo</v>
      </c>
      <c r="JQR39" s="117">
        <v>0</v>
      </c>
      <c r="JQV39" s="117">
        <v>0</v>
      </c>
      <c r="JQX39" s="117">
        <v>23.08</v>
      </c>
      <c r="JRD39" s="117">
        <f>AVERAGE(JQR39:JRC39)</f>
        <v>7.6933333333333325</v>
      </c>
      <c r="JRE39" s="117" t="str">
        <f>IF(JRD39&lt;5,"SI","NO")</f>
        <v>NO</v>
      </c>
      <c r="JRF39" s="117" t="str">
        <f>IF(JRD39&lt;5,"Sin Riesgo",IF(JRD39 &lt;=14,"Bajo",IF(JRD39&lt;=35,"Medio",IF(JRD39&lt;=80,"Alto","Inviable Sanitariamente"))))</f>
        <v>Bajo</v>
      </c>
      <c r="JRG39" s="117">
        <v>0</v>
      </c>
      <c r="JRK39" s="117">
        <v>0</v>
      </c>
      <c r="JRM39" s="117">
        <v>23.08</v>
      </c>
      <c r="JRS39" s="117">
        <f>AVERAGE(JRG39:JRR39)</f>
        <v>7.6933333333333325</v>
      </c>
      <c r="JRT39" s="117" t="str">
        <f>IF(JRS39&lt;5,"SI","NO")</f>
        <v>NO</v>
      </c>
      <c r="JRU39" s="117" t="str">
        <f>IF(JRS39&lt;5,"Sin Riesgo",IF(JRS39 &lt;=14,"Bajo",IF(JRS39&lt;=35,"Medio",IF(JRS39&lt;=80,"Alto","Inviable Sanitariamente"))))</f>
        <v>Bajo</v>
      </c>
      <c r="JRV39" s="117">
        <v>0</v>
      </c>
      <c r="JRZ39" s="117">
        <v>0</v>
      </c>
      <c r="JSB39" s="117">
        <v>23.08</v>
      </c>
      <c r="JSH39" s="117">
        <f>AVERAGE(JRV39:JSG39)</f>
        <v>7.6933333333333325</v>
      </c>
      <c r="JSI39" s="117" t="str">
        <f>IF(JSH39&lt;5,"SI","NO")</f>
        <v>NO</v>
      </c>
      <c r="JSJ39" s="117" t="str">
        <f>IF(JSH39&lt;5,"Sin Riesgo",IF(JSH39 &lt;=14,"Bajo",IF(JSH39&lt;=35,"Medio",IF(JSH39&lt;=80,"Alto","Inviable Sanitariamente"))))</f>
        <v>Bajo</v>
      </c>
      <c r="JSK39" s="117">
        <v>0</v>
      </c>
      <c r="JSO39" s="117">
        <v>0</v>
      </c>
      <c r="JSQ39" s="117">
        <v>23.08</v>
      </c>
      <c r="JSW39" s="117">
        <f>AVERAGE(JSK39:JSV39)</f>
        <v>7.6933333333333325</v>
      </c>
      <c r="JSX39" s="117" t="str">
        <f>IF(JSW39&lt;5,"SI","NO")</f>
        <v>NO</v>
      </c>
      <c r="JSY39" s="117" t="str">
        <f>IF(JSW39&lt;5,"Sin Riesgo",IF(JSW39 &lt;=14,"Bajo",IF(JSW39&lt;=35,"Medio",IF(JSW39&lt;=80,"Alto","Inviable Sanitariamente"))))</f>
        <v>Bajo</v>
      </c>
      <c r="JSZ39" s="117">
        <v>0</v>
      </c>
      <c r="JTD39" s="117">
        <v>0</v>
      </c>
      <c r="JTF39" s="117">
        <v>23.08</v>
      </c>
      <c r="JTL39" s="117">
        <f>AVERAGE(JSZ39:JTK39)</f>
        <v>7.6933333333333325</v>
      </c>
      <c r="JTM39" s="117" t="str">
        <f>IF(JTL39&lt;5,"SI","NO")</f>
        <v>NO</v>
      </c>
      <c r="JTN39" s="117" t="str">
        <f>IF(JTL39&lt;5,"Sin Riesgo",IF(JTL39 &lt;=14,"Bajo",IF(JTL39&lt;=35,"Medio",IF(JTL39&lt;=80,"Alto","Inviable Sanitariamente"))))</f>
        <v>Bajo</v>
      </c>
      <c r="JTO39" s="117">
        <v>0</v>
      </c>
      <c r="JTS39" s="117">
        <v>0</v>
      </c>
      <c r="JTU39" s="117">
        <v>23.08</v>
      </c>
      <c r="JUA39" s="117">
        <f>AVERAGE(JTO39:JTZ39)</f>
        <v>7.6933333333333325</v>
      </c>
      <c r="JUB39" s="117" t="str">
        <f>IF(JUA39&lt;5,"SI","NO")</f>
        <v>NO</v>
      </c>
      <c r="JUC39" s="117" t="str">
        <f>IF(JUA39&lt;5,"Sin Riesgo",IF(JUA39 &lt;=14,"Bajo",IF(JUA39&lt;=35,"Medio",IF(JUA39&lt;=80,"Alto","Inviable Sanitariamente"))))</f>
        <v>Bajo</v>
      </c>
      <c r="JUD39" s="117">
        <v>0</v>
      </c>
      <c r="JUH39" s="117">
        <v>0</v>
      </c>
      <c r="JUJ39" s="117">
        <v>23.08</v>
      </c>
      <c r="JUP39" s="117">
        <f>AVERAGE(JUD39:JUO39)</f>
        <v>7.6933333333333325</v>
      </c>
      <c r="JUQ39" s="117" t="str">
        <f>IF(JUP39&lt;5,"SI","NO")</f>
        <v>NO</v>
      </c>
      <c r="JUR39" s="117" t="str">
        <f>IF(JUP39&lt;5,"Sin Riesgo",IF(JUP39 &lt;=14,"Bajo",IF(JUP39&lt;=35,"Medio",IF(JUP39&lt;=80,"Alto","Inviable Sanitariamente"))))</f>
        <v>Bajo</v>
      </c>
      <c r="JUS39" s="117">
        <v>0</v>
      </c>
      <c r="JUW39" s="117">
        <v>0</v>
      </c>
      <c r="JUY39" s="117">
        <v>23.08</v>
      </c>
      <c r="JVE39" s="117">
        <f>AVERAGE(JUS39:JVD39)</f>
        <v>7.6933333333333325</v>
      </c>
      <c r="JVF39" s="117" t="str">
        <f>IF(JVE39&lt;5,"SI","NO")</f>
        <v>NO</v>
      </c>
      <c r="JVG39" s="117" t="str">
        <f>IF(JVE39&lt;5,"Sin Riesgo",IF(JVE39 &lt;=14,"Bajo",IF(JVE39&lt;=35,"Medio",IF(JVE39&lt;=80,"Alto","Inviable Sanitariamente"))))</f>
        <v>Bajo</v>
      </c>
      <c r="JVH39" s="117">
        <v>0</v>
      </c>
      <c r="JVL39" s="117">
        <v>0</v>
      </c>
      <c r="JVN39" s="117">
        <v>23.08</v>
      </c>
      <c r="JVT39" s="117">
        <f>AVERAGE(JVH39:JVS39)</f>
        <v>7.6933333333333325</v>
      </c>
      <c r="JVU39" s="117" t="str">
        <f>IF(JVT39&lt;5,"SI","NO")</f>
        <v>NO</v>
      </c>
      <c r="JVV39" s="117" t="str">
        <f>IF(JVT39&lt;5,"Sin Riesgo",IF(JVT39 &lt;=14,"Bajo",IF(JVT39&lt;=35,"Medio",IF(JVT39&lt;=80,"Alto","Inviable Sanitariamente"))))</f>
        <v>Bajo</v>
      </c>
      <c r="JVW39" s="117">
        <v>0</v>
      </c>
      <c r="JWA39" s="117">
        <v>0</v>
      </c>
      <c r="JWC39" s="117">
        <v>23.08</v>
      </c>
      <c r="JWI39" s="117">
        <f>AVERAGE(JVW39:JWH39)</f>
        <v>7.6933333333333325</v>
      </c>
      <c r="JWJ39" s="117" t="str">
        <f>IF(JWI39&lt;5,"SI","NO")</f>
        <v>NO</v>
      </c>
      <c r="JWK39" s="117" t="str">
        <f>IF(JWI39&lt;5,"Sin Riesgo",IF(JWI39 &lt;=14,"Bajo",IF(JWI39&lt;=35,"Medio",IF(JWI39&lt;=80,"Alto","Inviable Sanitariamente"))))</f>
        <v>Bajo</v>
      </c>
      <c r="JWL39" s="117">
        <v>0</v>
      </c>
      <c r="JWP39" s="117">
        <v>0</v>
      </c>
      <c r="JWR39" s="117">
        <v>23.08</v>
      </c>
      <c r="JWX39" s="117">
        <f>AVERAGE(JWL39:JWW39)</f>
        <v>7.6933333333333325</v>
      </c>
      <c r="JWY39" s="117" t="str">
        <f>IF(JWX39&lt;5,"SI","NO")</f>
        <v>NO</v>
      </c>
      <c r="JWZ39" s="117" t="str">
        <f>IF(JWX39&lt;5,"Sin Riesgo",IF(JWX39 &lt;=14,"Bajo",IF(JWX39&lt;=35,"Medio",IF(JWX39&lt;=80,"Alto","Inviable Sanitariamente"))))</f>
        <v>Bajo</v>
      </c>
      <c r="JXA39" s="117">
        <v>0</v>
      </c>
      <c r="JXE39" s="117">
        <v>0</v>
      </c>
      <c r="JXG39" s="117">
        <v>23.08</v>
      </c>
      <c r="JXM39" s="117">
        <f>AVERAGE(JXA39:JXL39)</f>
        <v>7.6933333333333325</v>
      </c>
      <c r="JXN39" s="117" t="str">
        <f>IF(JXM39&lt;5,"SI","NO")</f>
        <v>NO</v>
      </c>
      <c r="JXO39" s="117" t="str">
        <f>IF(JXM39&lt;5,"Sin Riesgo",IF(JXM39 &lt;=14,"Bajo",IF(JXM39&lt;=35,"Medio",IF(JXM39&lt;=80,"Alto","Inviable Sanitariamente"))))</f>
        <v>Bajo</v>
      </c>
      <c r="JXP39" s="117">
        <v>0</v>
      </c>
      <c r="JXT39" s="117">
        <v>0</v>
      </c>
      <c r="JXV39" s="117">
        <v>23.08</v>
      </c>
      <c r="JYB39" s="117">
        <f>AVERAGE(JXP39:JYA39)</f>
        <v>7.6933333333333325</v>
      </c>
      <c r="JYC39" s="117" t="str">
        <f>IF(JYB39&lt;5,"SI","NO")</f>
        <v>NO</v>
      </c>
      <c r="JYD39" s="117" t="str">
        <f>IF(JYB39&lt;5,"Sin Riesgo",IF(JYB39 &lt;=14,"Bajo",IF(JYB39&lt;=35,"Medio",IF(JYB39&lt;=80,"Alto","Inviable Sanitariamente"))))</f>
        <v>Bajo</v>
      </c>
      <c r="JYE39" s="117">
        <v>0</v>
      </c>
      <c r="JYI39" s="117">
        <v>0</v>
      </c>
      <c r="JYK39" s="117">
        <v>23.08</v>
      </c>
      <c r="JYQ39" s="117">
        <f>AVERAGE(JYE39:JYP39)</f>
        <v>7.6933333333333325</v>
      </c>
      <c r="JYR39" s="117" t="str">
        <f>IF(JYQ39&lt;5,"SI","NO")</f>
        <v>NO</v>
      </c>
      <c r="JYS39" s="117" t="str">
        <f>IF(JYQ39&lt;5,"Sin Riesgo",IF(JYQ39 &lt;=14,"Bajo",IF(JYQ39&lt;=35,"Medio",IF(JYQ39&lt;=80,"Alto","Inviable Sanitariamente"))))</f>
        <v>Bajo</v>
      </c>
      <c r="JYT39" s="117">
        <v>0</v>
      </c>
      <c r="JYX39" s="117">
        <v>0</v>
      </c>
      <c r="JYZ39" s="117">
        <v>23.08</v>
      </c>
      <c r="JZF39" s="117">
        <f>AVERAGE(JYT39:JZE39)</f>
        <v>7.6933333333333325</v>
      </c>
      <c r="JZG39" s="117" t="str">
        <f>IF(JZF39&lt;5,"SI","NO")</f>
        <v>NO</v>
      </c>
      <c r="JZH39" s="117" t="str">
        <f>IF(JZF39&lt;5,"Sin Riesgo",IF(JZF39 &lt;=14,"Bajo",IF(JZF39&lt;=35,"Medio",IF(JZF39&lt;=80,"Alto","Inviable Sanitariamente"))))</f>
        <v>Bajo</v>
      </c>
      <c r="JZI39" s="117">
        <v>0</v>
      </c>
      <c r="JZM39" s="117">
        <v>0</v>
      </c>
      <c r="JZO39" s="117">
        <v>23.08</v>
      </c>
      <c r="JZU39" s="117">
        <f>AVERAGE(JZI39:JZT39)</f>
        <v>7.6933333333333325</v>
      </c>
      <c r="JZV39" s="117" t="str">
        <f>IF(JZU39&lt;5,"SI","NO")</f>
        <v>NO</v>
      </c>
      <c r="JZW39" s="117" t="str">
        <f>IF(JZU39&lt;5,"Sin Riesgo",IF(JZU39 &lt;=14,"Bajo",IF(JZU39&lt;=35,"Medio",IF(JZU39&lt;=80,"Alto","Inviable Sanitariamente"))))</f>
        <v>Bajo</v>
      </c>
      <c r="JZX39" s="117">
        <v>0</v>
      </c>
      <c r="KAB39" s="117">
        <v>0</v>
      </c>
      <c r="KAD39" s="117">
        <v>23.08</v>
      </c>
      <c r="KAJ39" s="117">
        <f>AVERAGE(JZX39:KAI39)</f>
        <v>7.6933333333333325</v>
      </c>
      <c r="KAK39" s="117" t="str">
        <f>IF(KAJ39&lt;5,"SI","NO")</f>
        <v>NO</v>
      </c>
      <c r="KAL39" s="117" t="str">
        <f>IF(KAJ39&lt;5,"Sin Riesgo",IF(KAJ39 &lt;=14,"Bajo",IF(KAJ39&lt;=35,"Medio",IF(KAJ39&lt;=80,"Alto","Inviable Sanitariamente"))))</f>
        <v>Bajo</v>
      </c>
      <c r="KAM39" s="117">
        <v>0</v>
      </c>
      <c r="KAQ39" s="117">
        <v>0</v>
      </c>
      <c r="KAS39" s="117">
        <v>23.08</v>
      </c>
      <c r="KAY39" s="117">
        <f>AVERAGE(KAM39:KAX39)</f>
        <v>7.6933333333333325</v>
      </c>
      <c r="KAZ39" s="117" t="str">
        <f>IF(KAY39&lt;5,"SI","NO")</f>
        <v>NO</v>
      </c>
      <c r="KBA39" s="117" t="str">
        <f>IF(KAY39&lt;5,"Sin Riesgo",IF(KAY39 &lt;=14,"Bajo",IF(KAY39&lt;=35,"Medio",IF(KAY39&lt;=80,"Alto","Inviable Sanitariamente"))))</f>
        <v>Bajo</v>
      </c>
      <c r="KBB39" s="117">
        <v>0</v>
      </c>
      <c r="KBF39" s="117">
        <v>0</v>
      </c>
      <c r="KBH39" s="117">
        <v>23.08</v>
      </c>
      <c r="KBN39" s="117">
        <f>AVERAGE(KBB39:KBM39)</f>
        <v>7.6933333333333325</v>
      </c>
      <c r="KBO39" s="117" t="str">
        <f>IF(KBN39&lt;5,"SI","NO")</f>
        <v>NO</v>
      </c>
      <c r="KBP39" s="117" t="str">
        <f>IF(KBN39&lt;5,"Sin Riesgo",IF(KBN39 &lt;=14,"Bajo",IF(KBN39&lt;=35,"Medio",IF(KBN39&lt;=80,"Alto","Inviable Sanitariamente"))))</f>
        <v>Bajo</v>
      </c>
      <c r="KBQ39" s="117">
        <v>0</v>
      </c>
      <c r="KBU39" s="117">
        <v>0</v>
      </c>
      <c r="KBW39" s="117">
        <v>23.08</v>
      </c>
      <c r="KCC39" s="117">
        <f>AVERAGE(KBQ39:KCB39)</f>
        <v>7.6933333333333325</v>
      </c>
      <c r="KCD39" s="117" t="str">
        <f>IF(KCC39&lt;5,"SI","NO")</f>
        <v>NO</v>
      </c>
      <c r="KCE39" s="117" t="str">
        <f>IF(KCC39&lt;5,"Sin Riesgo",IF(KCC39 &lt;=14,"Bajo",IF(KCC39&lt;=35,"Medio",IF(KCC39&lt;=80,"Alto","Inviable Sanitariamente"))))</f>
        <v>Bajo</v>
      </c>
      <c r="KCF39" s="117">
        <v>0</v>
      </c>
      <c r="KCJ39" s="117">
        <v>0</v>
      </c>
      <c r="KCL39" s="117">
        <v>23.08</v>
      </c>
      <c r="KCR39" s="117">
        <f>AVERAGE(KCF39:KCQ39)</f>
        <v>7.6933333333333325</v>
      </c>
      <c r="KCS39" s="117" t="str">
        <f>IF(KCR39&lt;5,"SI","NO")</f>
        <v>NO</v>
      </c>
      <c r="KCT39" s="117" t="str">
        <f>IF(KCR39&lt;5,"Sin Riesgo",IF(KCR39 &lt;=14,"Bajo",IF(KCR39&lt;=35,"Medio",IF(KCR39&lt;=80,"Alto","Inviable Sanitariamente"))))</f>
        <v>Bajo</v>
      </c>
      <c r="KCU39" s="117">
        <v>0</v>
      </c>
      <c r="KCY39" s="117">
        <v>0</v>
      </c>
      <c r="KDA39" s="117">
        <v>23.08</v>
      </c>
      <c r="KDG39" s="117">
        <f>AVERAGE(KCU39:KDF39)</f>
        <v>7.6933333333333325</v>
      </c>
      <c r="KDH39" s="117" t="str">
        <f>IF(KDG39&lt;5,"SI","NO")</f>
        <v>NO</v>
      </c>
      <c r="KDI39" s="117" t="str">
        <f>IF(KDG39&lt;5,"Sin Riesgo",IF(KDG39 &lt;=14,"Bajo",IF(KDG39&lt;=35,"Medio",IF(KDG39&lt;=80,"Alto","Inviable Sanitariamente"))))</f>
        <v>Bajo</v>
      </c>
      <c r="KDJ39" s="117">
        <v>0</v>
      </c>
      <c r="KDN39" s="117">
        <v>0</v>
      </c>
      <c r="KDP39" s="117">
        <v>23.08</v>
      </c>
      <c r="KDV39" s="117">
        <f>AVERAGE(KDJ39:KDU39)</f>
        <v>7.6933333333333325</v>
      </c>
      <c r="KDW39" s="117" t="str">
        <f>IF(KDV39&lt;5,"SI","NO")</f>
        <v>NO</v>
      </c>
      <c r="KDX39" s="117" t="str">
        <f>IF(KDV39&lt;5,"Sin Riesgo",IF(KDV39 &lt;=14,"Bajo",IF(KDV39&lt;=35,"Medio",IF(KDV39&lt;=80,"Alto","Inviable Sanitariamente"))))</f>
        <v>Bajo</v>
      </c>
      <c r="KDY39" s="117">
        <v>0</v>
      </c>
      <c r="KEC39" s="117">
        <v>0</v>
      </c>
      <c r="KEE39" s="117">
        <v>23.08</v>
      </c>
      <c r="KEK39" s="117">
        <f>AVERAGE(KDY39:KEJ39)</f>
        <v>7.6933333333333325</v>
      </c>
      <c r="KEL39" s="117" t="str">
        <f>IF(KEK39&lt;5,"SI","NO")</f>
        <v>NO</v>
      </c>
      <c r="KEM39" s="117" t="str">
        <f>IF(KEK39&lt;5,"Sin Riesgo",IF(KEK39 &lt;=14,"Bajo",IF(KEK39&lt;=35,"Medio",IF(KEK39&lt;=80,"Alto","Inviable Sanitariamente"))))</f>
        <v>Bajo</v>
      </c>
      <c r="KEN39" s="117">
        <v>0</v>
      </c>
      <c r="KER39" s="117">
        <v>0</v>
      </c>
      <c r="KET39" s="117">
        <v>23.08</v>
      </c>
      <c r="KEZ39" s="117">
        <f>AVERAGE(KEN39:KEY39)</f>
        <v>7.6933333333333325</v>
      </c>
      <c r="KFA39" s="117" t="str">
        <f>IF(KEZ39&lt;5,"SI","NO")</f>
        <v>NO</v>
      </c>
      <c r="KFB39" s="117" t="str">
        <f>IF(KEZ39&lt;5,"Sin Riesgo",IF(KEZ39 &lt;=14,"Bajo",IF(KEZ39&lt;=35,"Medio",IF(KEZ39&lt;=80,"Alto","Inviable Sanitariamente"))))</f>
        <v>Bajo</v>
      </c>
      <c r="KFC39" s="117">
        <v>0</v>
      </c>
      <c r="KFG39" s="117">
        <v>0</v>
      </c>
      <c r="KFI39" s="117">
        <v>23.08</v>
      </c>
      <c r="KFO39" s="117">
        <f>AVERAGE(KFC39:KFN39)</f>
        <v>7.6933333333333325</v>
      </c>
      <c r="KFP39" s="117" t="str">
        <f>IF(KFO39&lt;5,"SI","NO")</f>
        <v>NO</v>
      </c>
      <c r="KFQ39" s="117" t="str">
        <f>IF(KFO39&lt;5,"Sin Riesgo",IF(KFO39 &lt;=14,"Bajo",IF(KFO39&lt;=35,"Medio",IF(KFO39&lt;=80,"Alto","Inviable Sanitariamente"))))</f>
        <v>Bajo</v>
      </c>
      <c r="KFR39" s="117">
        <v>0</v>
      </c>
      <c r="KFV39" s="117">
        <v>0</v>
      </c>
      <c r="KFX39" s="117">
        <v>23.08</v>
      </c>
      <c r="KGD39" s="117">
        <f>AVERAGE(KFR39:KGC39)</f>
        <v>7.6933333333333325</v>
      </c>
      <c r="KGE39" s="117" t="str">
        <f>IF(KGD39&lt;5,"SI","NO")</f>
        <v>NO</v>
      </c>
      <c r="KGF39" s="117" t="str">
        <f>IF(KGD39&lt;5,"Sin Riesgo",IF(KGD39 &lt;=14,"Bajo",IF(KGD39&lt;=35,"Medio",IF(KGD39&lt;=80,"Alto","Inviable Sanitariamente"))))</f>
        <v>Bajo</v>
      </c>
      <c r="KGG39" s="117">
        <v>0</v>
      </c>
      <c r="KGK39" s="117">
        <v>0</v>
      </c>
      <c r="KGM39" s="117">
        <v>23.08</v>
      </c>
      <c r="KGS39" s="117">
        <f>AVERAGE(KGG39:KGR39)</f>
        <v>7.6933333333333325</v>
      </c>
      <c r="KGT39" s="117" t="str">
        <f>IF(KGS39&lt;5,"SI","NO")</f>
        <v>NO</v>
      </c>
      <c r="KGU39" s="117" t="str">
        <f>IF(KGS39&lt;5,"Sin Riesgo",IF(KGS39 &lt;=14,"Bajo",IF(KGS39&lt;=35,"Medio",IF(KGS39&lt;=80,"Alto","Inviable Sanitariamente"))))</f>
        <v>Bajo</v>
      </c>
      <c r="KGV39" s="117">
        <v>0</v>
      </c>
      <c r="KGZ39" s="117">
        <v>0</v>
      </c>
      <c r="KHB39" s="117">
        <v>23.08</v>
      </c>
      <c r="KHH39" s="117">
        <f>AVERAGE(KGV39:KHG39)</f>
        <v>7.6933333333333325</v>
      </c>
      <c r="KHI39" s="117" t="str">
        <f>IF(KHH39&lt;5,"SI","NO")</f>
        <v>NO</v>
      </c>
      <c r="KHJ39" s="117" t="str">
        <f>IF(KHH39&lt;5,"Sin Riesgo",IF(KHH39 &lt;=14,"Bajo",IF(KHH39&lt;=35,"Medio",IF(KHH39&lt;=80,"Alto","Inviable Sanitariamente"))))</f>
        <v>Bajo</v>
      </c>
      <c r="KHK39" s="117">
        <v>0</v>
      </c>
      <c r="KHO39" s="117">
        <v>0</v>
      </c>
      <c r="KHQ39" s="117">
        <v>23.08</v>
      </c>
      <c r="KHW39" s="117">
        <f>AVERAGE(KHK39:KHV39)</f>
        <v>7.6933333333333325</v>
      </c>
      <c r="KHX39" s="117" t="str">
        <f>IF(KHW39&lt;5,"SI","NO")</f>
        <v>NO</v>
      </c>
      <c r="KHY39" s="117" t="str">
        <f>IF(KHW39&lt;5,"Sin Riesgo",IF(KHW39 &lt;=14,"Bajo",IF(KHW39&lt;=35,"Medio",IF(KHW39&lt;=80,"Alto","Inviable Sanitariamente"))))</f>
        <v>Bajo</v>
      </c>
      <c r="KHZ39" s="117">
        <v>0</v>
      </c>
      <c r="KID39" s="117">
        <v>0</v>
      </c>
      <c r="KIF39" s="117">
        <v>23.08</v>
      </c>
      <c r="KIL39" s="117">
        <f>AVERAGE(KHZ39:KIK39)</f>
        <v>7.6933333333333325</v>
      </c>
      <c r="KIM39" s="117" t="str">
        <f>IF(KIL39&lt;5,"SI","NO")</f>
        <v>NO</v>
      </c>
      <c r="KIN39" s="117" t="str">
        <f>IF(KIL39&lt;5,"Sin Riesgo",IF(KIL39 &lt;=14,"Bajo",IF(KIL39&lt;=35,"Medio",IF(KIL39&lt;=80,"Alto","Inviable Sanitariamente"))))</f>
        <v>Bajo</v>
      </c>
      <c r="KIO39" s="117">
        <v>0</v>
      </c>
      <c r="KIS39" s="117">
        <v>0</v>
      </c>
      <c r="KIU39" s="117">
        <v>23.08</v>
      </c>
      <c r="KJA39" s="117">
        <f>AVERAGE(KIO39:KIZ39)</f>
        <v>7.6933333333333325</v>
      </c>
      <c r="KJB39" s="117" t="str">
        <f>IF(KJA39&lt;5,"SI","NO")</f>
        <v>NO</v>
      </c>
      <c r="KJC39" s="117" t="str">
        <f>IF(KJA39&lt;5,"Sin Riesgo",IF(KJA39 &lt;=14,"Bajo",IF(KJA39&lt;=35,"Medio",IF(KJA39&lt;=80,"Alto","Inviable Sanitariamente"))))</f>
        <v>Bajo</v>
      </c>
      <c r="KJD39" s="117">
        <v>0</v>
      </c>
      <c r="KJH39" s="117">
        <v>0</v>
      </c>
      <c r="KJJ39" s="117">
        <v>23.08</v>
      </c>
      <c r="KJP39" s="117">
        <f>AVERAGE(KJD39:KJO39)</f>
        <v>7.6933333333333325</v>
      </c>
      <c r="KJQ39" s="117" t="str">
        <f>IF(KJP39&lt;5,"SI","NO")</f>
        <v>NO</v>
      </c>
      <c r="KJR39" s="117" t="str">
        <f>IF(KJP39&lt;5,"Sin Riesgo",IF(KJP39 &lt;=14,"Bajo",IF(KJP39&lt;=35,"Medio",IF(KJP39&lt;=80,"Alto","Inviable Sanitariamente"))))</f>
        <v>Bajo</v>
      </c>
      <c r="KJS39" s="117">
        <v>0</v>
      </c>
      <c r="KJW39" s="117">
        <v>0</v>
      </c>
      <c r="KJY39" s="117">
        <v>23.08</v>
      </c>
      <c r="KKE39" s="117">
        <f>AVERAGE(KJS39:KKD39)</f>
        <v>7.6933333333333325</v>
      </c>
      <c r="KKF39" s="117" t="str">
        <f>IF(KKE39&lt;5,"SI","NO")</f>
        <v>NO</v>
      </c>
      <c r="KKG39" s="117" t="str">
        <f>IF(KKE39&lt;5,"Sin Riesgo",IF(KKE39 &lt;=14,"Bajo",IF(KKE39&lt;=35,"Medio",IF(KKE39&lt;=80,"Alto","Inviable Sanitariamente"))))</f>
        <v>Bajo</v>
      </c>
      <c r="KKH39" s="117">
        <v>0</v>
      </c>
      <c r="KKL39" s="117">
        <v>0</v>
      </c>
      <c r="KKN39" s="117">
        <v>23.08</v>
      </c>
      <c r="KKT39" s="117">
        <f>AVERAGE(KKH39:KKS39)</f>
        <v>7.6933333333333325</v>
      </c>
      <c r="KKU39" s="117" t="str">
        <f>IF(KKT39&lt;5,"SI","NO")</f>
        <v>NO</v>
      </c>
      <c r="KKV39" s="117" t="str">
        <f>IF(KKT39&lt;5,"Sin Riesgo",IF(KKT39 &lt;=14,"Bajo",IF(KKT39&lt;=35,"Medio",IF(KKT39&lt;=80,"Alto","Inviable Sanitariamente"))))</f>
        <v>Bajo</v>
      </c>
      <c r="KKW39" s="117">
        <v>0</v>
      </c>
      <c r="KLA39" s="117">
        <v>0</v>
      </c>
      <c r="KLC39" s="117">
        <v>23.08</v>
      </c>
      <c r="KLI39" s="117">
        <f>AVERAGE(KKW39:KLH39)</f>
        <v>7.6933333333333325</v>
      </c>
      <c r="KLJ39" s="117" t="str">
        <f>IF(KLI39&lt;5,"SI","NO")</f>
        <v>NO</v>
      </c>
      <c r="KLK39" s="117" t="str">
        <f>IF(KLI39&lt;5,"Sin Riesgo",IF(KLI39 &lt;=14,"Bajo",IF(KLI39&lt;=35,"Medio",IF(KLI39&lt;=80,"Alto","Inviable Sanitariamente"))))</f>
        <v>Bajo</v>
      </c>
      <c r="KLL39" s="117">
        <v>0</v>
      </c>
      <c r="KLP39" s="117">
        <v>0</v>
      </c>
      <c r="KLR39" s="117">
        <v>23.08</v>
      </c>
      <c r="KLX39" s="117">
        <f>AVERAGE(KLL39:KLW39)</f>
        <v>7.6933333333333325</v>
      </c>
      <c r="KLY39" s="117" t="str">
        <f>IF(KLX39&lt;5,"SI","NO")</f>
        <v>NO</v>
      </c>
      <c r="KLZ39" s="117" t="str">
        <f>IF(KLX39&lt;5,"Sin Riesgo",IF(KLX39 &lt;=14,"Bajo",IF(KLX39&lt;=35,"Medio",IF(KLX39&lt;=80,"Alto","Inviable Sanitariamente"))))</f>
        <v>Bajo</v>
      </c>
      <c r="KMA39" s="117">
        <v>0</v>
      </c>
      <c r="KME39" s="117">
        <v>0</v>
      </c>
      <c r="KMG39" s="117">
        <v>23.08</v>
      </c>
      <c r="KMM39" s="117">
        <f>AVERAGE(KMA39:KML39)</f>
        <v>7.6933333333333325</v>
      </c>
      <c r="KMN39" s="117" t="str">
        <f>IF(KMM39&lt;5,"SI","NO")</f>
        <v>NO</v>
      </c>
      <c r="KMO39" s="117" t="str">
        <f>IF(KMM39&lt;5,"Sin Riesgo",IF(KMM39 &lt;=14,"Bajo",IF(KMM39&lt;=35,"Medio",IF(KMM39&lt;=80,"Alto","Inviable Sanitariamente"))))</f>
        <v>Bajo</v>
      </c>
      <c r="KMP39" s="117">
        <v>0</v>
      </c>
      <c r="KMT39" s="117">
        <v>0</v>
      </c>
      <c r="KMV39" s="117">
        <v>23.08</v>
      </c>
      <c r="KNB39" s="117">
        <f>AVERAGE(KMP39:KNA39)</f>
        <v>7.6933333333333325</v>
      </c>
      <c r="KNC39" s="117" t="str">
        <f>IF(KNB39&lt;5,"SI","NO")</f>
        <v>NO</v>
      </c>
      <c r="KND39" s="117" t="str">
        <f>IF(KNB39&lt;5,"Sin Riesgo",IF(KNB39 &lt;=14,"Bajo",IF(KNB39&lt;=35,"Medio",IF(KNB39&lt;=80,"Alto","Inviable Sanitariamente"))))</f>
        <v>Bajo</v>
      </c>
      <c r="KNE39" s="117">
        <v>0</v>
      </c>
      <c r="KNI39" s="117">
        <v>0</v>
      </c>
      <c r="KNK39" s="117">
        <v>23.08</v>
      </c>
      <c r="KNQ39" s="117">
        <f>AVERAGE(KNE39:KNP39)</f>
        <v>7.6933333333333325</v>
      </c>
      <c r="KNR39" s="117" t="str">
        <f>IF(KNQ39&lt;5,"SI","NO")</f>
        <v>NO</v>
      </c>
      <c r="KNS39" s="117" t="str">
        <f>IF(KNQ39&lt;5,"Sin Riesgo",IF(KNQ39 &lt;=14,"Bajo",IF(KNQ39&lt;=35,"Medio",IF(KNQ39&lt;=80,"Alto","Inviable Sanitariamente"))))</f>
        <v>Bajo</v>
      </c>
      <c r="KNT39" s="117">
        <v>0</v>
      </c>
      <c r="KNX39" s="117">
        <v>0</v>
      </c>
      <c r="KNZ39" s="117">
        <v>23.08</v>
      </c>
      <c r="KOF39" s="117">
        <f>AVERAGE(KNT39:KOE39)</f>
        <v>7.6933333333333325</v>
      </c>
      <c r="KOG39" s="117" t="str">
        <f>IF(KOF39&lt;5,"SI","NO")</f>
        <v>NO</v>
      </c>
      <c r="KOH39" s="117" t="str">
        <f>IF(KOF39&lt;5,"Sin Riesgo",IF(KOF39 &lt;=14,"Bajo",IF(KOF39&lt;=35,"Medio",IF(KOF39&lt;=80,"Alto","Inviable Sanitariamente"))))</f>
        <v>Bajo</v>
      </c>
      <c r="KOI39" s="117">
        <v>0</v>
      </c>
      <c r="KOM39" s="117">
        <v>0</v>
      </c>
      <c r="KOO39" s="117">
        <v>23.08</v>
      </c>
      <c r="KOU39" s="117">
        <f>AVERAGE(KOI39:KOT39)</f>
        <v>7.6933333333333325</v>
      </c>
      <c r="KOV39" s="117" t="str">
        <f>IF(KOU39&lt;5,"SI","NO")</f>
        <v>NO</v>
      </c>
      <c r="KOW39" s="117" t="str">
        <f>IF(KOU39&lt;5,"Sin Riesgo",IF(KOU39 &lt;=14,"Bajo",IF(KOU39&lt;=35,"Medio",IF(KOU39&lt;=80,"Alto","Inviable Sanitariamente"))))</f>
        <v>Bajo</v>
      </c>
      <c r="KOX39" s="117">
        <v>0</v>
      </c>
      <c r="KPB39" s="117">
        <v>0</v>
      </c>
      <c r="KPD39" s="117">
        <v>23.08</v>
      </c>
      <c r="KPJ39" s="117">
        <f>AVERAGE(KOX39:KPI39)</f>
        <v>7.6933333333333325</v>
      </c>
      <c r="KPK39" s="117" t="str">
        <f>IF(KPJ39&lt;5,"SI","NO")</f>
        <v>NO</v>
      </c>
      <c r="KPL39" s="117" t="str">
        <f>IF(KPJ39&lt;5,"Sin Riesgo",IF(KPJ39 &lt;=14,"Bajo",IF(KPJ39&lt;=35,"Medio",IF(KPJ39&lt;=80,"Alto","Inviable Sanitariamente"))))</f>
        <v>Bajo</v>
      </c>
      <c r="KPM39" s="117">
        <v>0</v>
      </c>
      <c r="KPQ39" s="117">
        <v>0</v>
      </c>
      <c r="KPS39" s="117">
        <v>23.08</v>
      </c>
      <c r="KPY39" s="117">
        <f>AVERAGE(KPM39:KPX39)</f>
        <v>7.6933333333333325</v>
      </c>
      <c r="KPZ39" s="117" t="str">
        <f>IF(KPY39&lt;5,"SI","NO")</f>
        <v>NO</v>
      </c>
      <c r="KQA39" s="117" t="str">
        <f>IF(KPY39&lt;5,"Sin Riesgo",IF(KPY39 &lt;=14,"Bajo",IF(KPY39&lt;=35,"Medio",IF(KPY39&lt;=80,"Alto","Inviable Sanitariamente"))))</f>
        <v>Bajo</v>
      </c>
      <c r="KQB39" s="117">
        <v>0</v>
      </c>
      <c r="KQF39" s="117">
        <v>0</v>
      </c>
      <c r="KQH39" s="117">
        <v>23.08</v>
      </c>
      <c r="KQN39" s="117">
        <f>AVERAGE(KQB39:KQM39)</f>
        <v>7.6933333333333325</v>
      </c>
      <c r="KQO39" s="117" t="str">
        <f>IF(KQN39&lt;5,"SI","NO")</f>
        <v>NO</v>
      </c>
      <c r="KQP39" s="117" t="str">
        <f>IF(KQN39&lt;5,"Sin Riesgo",IF(KQN39 &lt;=14,"Bajo",IF(KQN39&lt;=35,"Medio",IF(KQN39&lt;=80,"Alto","Inviable Sanitariamente"))))</f>
        <v>Bajo</v>
      </c>
      <c r="KQQ39" s="117">
        <v>0</v>
      </c>
      <c r="KQU39" s="117">
        <v>0</v>
      </c>
      <c r="KQW39" s="117">
        <v>23.08</v>
      </c>
      <c r="KRC39" s="117">
        <f>AVERAGE(KQQ39:KRB39)</f>
        <v>7.6933333333333325</v>
      </c>
      <c r="KRD39" s="117" t="str">
        <f>IF(KRC39&lt;5,"SI","NO")</f>
        <v>NO</v>
      </c>
      <c r="KRE39" s="117" t="str">
        <f>IF(KRC39&lt;5,"Sin Riesgo",IF(KRC39 &lt;=14,"Bajo",IF(KRC39&lt;=35,"Medio",IF(KRC39&lt;=80,"Alto","Inviable Sanitariamente"))))</f>
        <v>Bajo</v>
      </c>
      <c r="KRF39" s="117">
        <v>0</v>
      </c>
      <c r="KRJ39" s="117">
        <v>0</v>
      </c>
      <c r="KRL39" s="117">
        <v>23.08</v>
      </c>
      <c r="KRR39" s="117">
        <f>AVERAGE(KRF39:KRQ39)</f>
        <v>7.6933333333333325</v>
      </c>
      <c r="KRS39" s="117" t="str">
        <f>IF(KRR39&lt;5,"SI","NO")</f>
        <v>NO</v>
      </c>
      <c r="KRT39" s="117" t="str">
        <f>IF(KRR39&lt;5,"Sin Riesgo",IF(KRR39 &lt;=14,"Bajo",IF(KRR39&lt;=35,"Medio",IF(KRR39&lt;=80,"Alto","Inviable Sanitariamente"))))</f>
        <v>Bajo</v>
      </c>
      <c r="KRU39" s="117">
        <v>0</v>
      </c>
      <c r="KRY39" s="117">
        <v>0</v>
      </c>
      <c r="KSA39" s="117">
        <v>23.08</v>
      </c>
      <c r="KSG39" s="117">
        <f>AVERAGE(KRU39:KSF39)</f>
        <v>7.6933333333333325</v>
      </c>
      <c r="KSH39" s="117" t="str">
        <f>IF(KSG39&lt;5,"SI","NO")</f>
        <v>NO</v>
      </c>
      <c r="KSI39" s="117" t="str">
        <f>IF(KSG39&lt;5,"Sin Riesgo",IF(KSG39 &lt;=14,"Bajo",IF(KSG39&lt;=35,"Medio",IF(KSG39&lt;=80,"Alto","Inviable Sanitariamente"))))</f>
        <v>Bajo</v>
      </c>
      <c r="KSJ39" s="117">
        <v>0</v>
      </c>
      <c r="KSN39" s="117">
        <v>0</v>
      </c>
      <c r="KSP39" s="117">
        <v>23.08</v>
      </c>
      <c r="KSV39" s="117">
        <f>AVERAGE(KSJ39:KSU39)</f>
        <v>7.6933333333333325</v>
      </c>
      <c r="KSW39" s="117" t="str">
        <f>IF(KSV39&lt;5,"SI","NO")</f>
        <v>NO</v>
      </c>
      <c r="KSX39" s="117" t="str">
        <f>IF(KSV39&lt;5,"Sin Riesgo",IF(KSV39 &lt;=14,"Bajo",IF(KSV39&lt;=35,"Medio",IF(KSV39&lt;=80,"Alto","Inviable Sanitariamente"))))</f>
        <v>Bajo</v>
      </c>
      <c r="KSY39" s="117">
        <v>0</v>
      </c>
      <c r="KTC39" s="117">
        <v>0</v>
      </c>
      <c r="KTE39" s="117">
        <v>23.08</v>
      </c>
      <c r="KTK39" s="117">
        <f>AVERAGE(KSY39:KTJ39)</f>
        <v>7.6933333333333325</v>
      </c>
      <c r="KTL39" s="117" t="str">
        <f>IF(KTK39&lt;5,"SI","NO")</f>
        <v>NO</v>
      </c>
      <c r="KTM39" s="117" t="str">
        <f>IF(KTK39&lt;5,"Sin Riesgo",IF(KTK39 &lt;=14,"Bajo",IF(KTK39&lt;=35,"Medio",IF(KTK39&lt;=80,"Alto","Inviable Sanitariamente"))))</f>
        <v>Bajo</v>
      </c>
      <c r="KTN39" s="117">
        <v>0</v>
      </c>
      <c r="KTR39" s="117">
        <v>0</v>
      </c>
      <c r="KTT39" s="117">
        <v>23.08</v>
      </c>
      <c r="KTZ39" s="117">
        <f>AVERAGE(KTN39:KTY39)</f>
        <v>7.6933333333333325</v>
      </c>
      <c r="KUA39" s="117" t="str">
        <f>IF(KTZ39&lt;5,"SI","NO")</f>
        <v>NO</v>
      </c>
      <c r="KUB39" s="117" t="str">
        <f>IF(KTZ39&lt;5,"Sin Riesgo",IF(KTZ39 &lt;=14,"Bajo",IF(KTZ39&lt;=35,"Medio",IF(KTZ39&lt;=80,"Alto","Inviable Sanitariamente"))))</f>
        <v>Bajo</v>
      </c>
      <c r="KUC39" s="117">
        <v>0</v>
      </c>
      <c r="KUG39" s="117">
        <v>0</v>
      </c>
      <c r="KUI39" s="117">
        <v>23.08</v>
      </c>
      <c r="KUO39" s="117">
        <f>AVERAGE(KUC39:KUN39)</f>
        <v>7.6933333333333325</v>
      </c>
      <c r="KUP39" s="117" t="str">
        <f>IF(KUO39&lt;5,"SI","NO")</f>
        <v>NO</v>
      </c>
      <c r="KUQ39" s="117" t="str">
        <f>IF(KUO39&lt;5,"Sin Riesgo",IF(KUO39 &lt;=14,"Bajo",IF(KUO39&lt;=35,"Medio",IF(KUO39&lt;=80,"Alto","Inviable Sanitariamente"))))</f>
        <v>Bajo</v>
      </c>
      <c r="KUR39" s="117">
        <v>0</v>
      </c>
      <c r="KUV39" s="117">
        <v>0</v>
      </c>
      <c r="KUX39" s="117">
        <v>23.08</v>
      </c>
      <c r="KVD39" s="117">
        <f>AVERAGE(KUR39:KVC39)</f>
        <v>7.6933333333333325</v>
      </c>
      <c r="KVE39" s="117" t="str">
        <f>IF(KVD39&lt;5,"SI","NO")</f>
        <v>NO</v>
      </c>
      <c r="KVF39" s="117" t="str">
        <f>IF(KVD39&lt;5,"Sin Riesgo",IF(KVD39 &lt;=14,"Bajo",IF(KVD39&lt;=35,"Medio",IF(KVD39&lt;=80,"Alto","Inviable Sanitariamente"))))</f>
        <v>Bajo</v>
      </c>
      <c r="KVG39" s="117">
        <v>0</v>
      </c>
      <c r="KVK39" s="117">
        <v>0</v>
      </c>
      <c r="KVM39" s="117">
        <v>23.08</v>
      </c>
      <c r="KVS39" s="117">
        <f>AVERAGE(KVG39:KVR39)</f>
        <v>7.6933333333333325</v>
      </c>
      <c r="KVT39" s="117" t="str">
        <f>IF(KVS39&lt;5,"SI","NO")</f>
        <v>NO</v>
      </c>
      <c r="KVU39" s="117" t="str">
        <f>IF(KVS39&lt;5,"Sin Riesgo",IF(KVS39 &lt;=14,"Bajo",IF(KVS39&lt;=35,"Medio",IF(KVS39&lt;=80,"Alto","Inviable Sanitariamente"))))</f>
        <v>Bajo</v>
      </c>
      <c r="KVV39" s="117">
        <v>0</v>
      </c>
      <c r="KVZ39" s="117">
        <v>0</v>
      </c>
      <c r="KWB39" s="117">
        <v>23.08</v>
      </c>
      <c r="KWH39" s="117">
        <f>AVERAGE(KVV39:KWG39)</f>
        <v>7.6933333333333325</v>
      </c>
      <c r="KWI39" s="117" t="str">
        <f>IF(KWH39&lt;5,"SI","NO")</f>
        <v>NO</v>
      </c>
      <c r="KWJ39" s="117" t="str">
        <f>IF(KWH39&lt;5,"Sin Riesgo",IF(KWH39 &lt;=14,"Bajo",IF(KWH39&lt;=35,"Medio",IF(KWH39&lt;=80,"Alto","Inviable Sanitariamente"))))</f>
        <v>Bajo</v>
      </c>
      <c r="KWK39" s="117">
        <v>0</v>
      </c>
      <c r="KWO39" s="117">
        <v>0</v>
      </c>
      <c r="KWQ39" s="117">
        <v>23.08</v>
      </c>
      <c r="KWW39" s="117">
        <f>AVERAGE(KWK39:KWV39)</f>
        <v>7.6933333333333325</v>
      </c>
      <c r="KWX39" s="117" t="str">
        <f>IF(KWW39&lt;5,"SI","NO")</f>
        <v>NO</v>
      </c>
      <c r="KWY39" s="117" t="str">
        <f>IF(KWW39&lt;5,"Sin Riesgo",IF(KWW39 &lt;=14,"Bajo",IF(KWW39&lt;=35,"Medio",IF(KWW39&lt;=80,"Alto","Inviable Sanitariamente"))))</f>
        <v>Bajo</v>
      </c>
      <c r="KWZ39" s="117">
        <v>0</v>
      </c>
      <c r="KXD39" s="117">
        <v>0</v>
      </c>
      <c r="KXF39" s="117">
        <v>23.08</v>
      </c>
      <c r="KXL39" s="117">
        <f>AVERAGE(KWZ39:KXK39)</f>
        <v>7.6933333333333325</v>
      </c>
      <c r="KXM39" s="117" t="str">
        <f>IF(KXL39&lt;5,"SI","NO")</f>
        <v>NO</v>
      </c>
      <c r="KXN39" s="117" t="str">
        <f>IF(KXL39&lt;5,"Sin Riesgo",IF(KXL39 &lt;=14,"Bajo",IF(KXL39&lt;=35,"Medio",IF(KXL39&lt;=80,"Alto","Inviable Sanitariamente"))))</f>
        <v>Bajo</v>
      </c>
      <c r="KXO39" s="117">
        <v>0</v>
      </c>
      <c r="KXS39" s="117">
        <v>0</v>
      </c>
      <c r="KXU39" s="117">
        <v>23.08</v>
      </c>
      <c r="KYA39" s="117">
        <f>AVERAGE(KXO39:KXZ39)</f>
        <v>7.6933333333333325</v>
      </c>
      <c r="KYB39" s="117" t="str">
        <f>IF(KYA39&lt;5,"SI","NO")</f>
        <v>NO</v>
      </c>
      <c r="KYC39" s="117" t="str">
        <f>IF(KYA39&lt;5,"Sin Riesgo",IF(KYA39 &lt;=14,"Bajo",IF(KYA39&lt;=35,"Medio",IF(KYA39&lt;=80,"Alto","Inviable Sanitariamente"))))</f>
        <v>Bajo</v>
      </c>
      <c r="KYD39" s="117">
        <v>0</v>
      </c>
      <c r="KYH39" s="117">
        <v>0</v>
      </c>
      <c r="KYJ39" s="117">
        <v>23.08</v>
      </c>
      <c r="KYP39" s="117">
        <f>AVERAGE(KYD39:KYO39)</f>
        <v>7.6933333333333325</v>
      </c>
      <c r="KYQ39" s="117" t="str">
        <f>IF(KYP39&lt;5,"SI","NO")</f>
        <v>NO</v>
      </c>
      <c r="KYR39" s="117" t="str">
        <f>IF(KYP39&lt;5,"Sin Riesgo",IF(KYP39 &lt;=14,"Bajo",IF(KYP39&lt;=35,"Medio",IF(KYP39&lt;=80,"Alto","Inviable Sanitariamente"))))</f>
        <v>Bajo</v>
      </c>
      <c r="KYS39" s="117">
        <v>0</v>
      </c>
      <c r="KYW39" s="117">
        <v>0</v>
      </c>
      <c r="KYY39" s="117">
        <v>23.08</v>
      </c>
      <c r="KZE39" s="117">
        <f>AVERAGE(KYS39:KZD39)</f>
        <v>7.6933333333333325</v>
      </c>
      <c r="KZF39" s="117" t="str">
        <f>IF(KZE39&lt;5,"SI","NO")</f>
        <v>NO</v>
      </c>
      <c r="KZG39" s="117" t="str">
        <f>IF(KZE39&lt;5,"Sin Riesgo",IF(KZE39 &lt;=14,"Bajo",IF(KZE39&lt;=35,"Medio",IF(KZE39&lt;=80,"Alto","Inviable Sanitariamente"))))</f>
        <v>Bajo</v>
      </c>
      <c r="KZH39" s="117">
        <v>0</v>
      </c>
      <c r="KZL39" s="117">
        <v>0</v>
      </c>
      <c r="KZN39" s="117">
        <v>23.08</v>
      </c>
      <c r="KZT39" s="117">
        <f>AVERAGE(KZH39:KZS39)</f>
        <v>7.6933333333333325</v>
      </c>
      <c r="KZU39" s="117" t="str">
        <f>IF(KZT39&lt;5,"SI","NO")</f>
        <v>NO</v>
      </c>
      <c r="KZV39" s="117" t="str">
        <f>IF(KZT39&lt;5,"Sin Riesgo",IF(KZT39 &lt;=14,"Bajo",IF(KZT39&lt;=35,"Medio",IF(KZT39&lt;=80,"Alto","Inviable Sanitariamente"))))</f>
        <v>Bajo</v>
      </c>
      <c r="KZW39" s="117">
        <v>0</v>
      </c>
      <c r="LAA39" s="117">
        <v>0</v>
      </c>
      <c r="LAC39" s="117">
        <v>23.08</v>
      </c>
      <c r="LAI39" s="117">
        <f>AVERAGE(KZW39:LAH39)</f>
        <v>7.6933333333333325</v>
      </c>
      <c r="LAJ39" s="117" t="str">
        <f>IF(LAI39&lt;5,"SI","NO")</f>
        <v>NO</v>
      </c>
      <c r="LAK39" s="117" t="str">
        <f>IF(LAI39&lt;5,"Sin Riesgo",IF(LAI39 &lt;=14,"Bajo",IF(LAI39&lt;=35,"Medio",IF(LAI39&lt;=80,"Alto","Inviable Sanitariamente"))))</f>
        <v>Bajo</v>
      </c>
      <c r="LAL39" s="117">
        <v>0</v>
      </c>
      <c r="LAP39" s="117">
        <v>0</v>
      </c>
      <c r="LAR39" s="117">
        <v>23.08</v>
      </c>
      <c r="LAX39" s="117">
        <f>AVERAGE(LAL39:LAW39)</f>
        <v>7.6933333333333325</v>
      </c>
      <c r="LAY39" s="117" t="str">
        <f>IF(LAX39&lt;5,"SI","NO")</f>
        <v>NO</v>
      </c>
      <c r="LAZ39" s="117" t="str">
        <f>IF(LAX39&lt;5,"Sin Riesgo",IF(LAX39 &lt;=14,"Bajo",IF(LAX39&lt;=35,"Medio",IF(LAX39&lt;=80,"Alto","Inviable Sanitariamente"))))</f>
        <v>Bajo</v>
      </c>
      <c r="LBA39" s="117">
        <v>0</v>
      </c>
      <c r="LBE39" s="117">
        <v>0</v>
      </c>
      <c r="LBG39" s="117">
        <v>23.08</v>
      </c>
      <c r="LBM39" s="117">
        <f>AVERAGE(LBA39:LBL39)</f>
        <v>7.6933333333333325</v>
      </c>
      <c r="LBN39" s="117" t="str">
        <f>IF(LBM39&lt;5,"SI","NO")</f>
        <v>NO</v>
      </c>
      <c r="LBO39" s="117" t="str">
        <f>IF(LBM39&lt;5,"Sin Riesgo",IF(LBM39 &lt;=14,"Bajo",IF(LBM39&lt;=35,"Medio",IF(LBM39&lt;=80,"Alto","Inviable Sanitariamente"))))</f>
        <v>Bajo</v>
      </c>
      <c r="LBP39" s="117">
        <v>0</v>
      </c>
      <c r="LBT39" s="117">
        <v>0</v>
      </c>
      <c r="LBV39" s="117">
        <v>23.08</v>
      </c>
      <c r="LCB39" s="117">
        <f>AVERAGE(LBP39:LCA39)</f>
        <v>7.6933333333333325</v>
      </c>
      <c r="LCC39" s="117" t="str">
        <f>IF(LCB39&lt;5,"SI","NO")</f>
        <v>NO</v>
      </c>
      <c r="LCD39" s="117" t="str">
        <f>IF(LCB39&lt;5,"Sin Riesgo",IF(LCB39 &lt;=14,"Bajo",IF(LCB39&lt;=35,"Medio",IF(LCB39&lt;=80,"Alto","Inviable Sanitariamente"))))</f>
        <v>Bajo</v>
      </c>
      <c r="LCE39" s="117">
        <v>0</v>
      </c>
      <c r="LCI39" s="117">
        <v>0</v>
      </c>
      <c r="LCK39" s="117">
        <v>23.08</v>
      </c>
      <c r="LCQ39" s="117">
        <f>AVERAGE(LCE39:LCP39)</f>
        <v>7.6933333333333325</v>
      </c>
      <c r="LCR39" s="117" t="str">
        <f>IF(LCQ39&lt;5,"SI","NO")</f>
        <v>NO</v>
      </c>
      <c r="LCS39" s="117" t="str">
        <f>IF(LCQ39&lt;5,"Sin Riesgo",IF(LCQ39 &lt;=14,"Bajo",IF(LCQ39&lt;=35,"Medio",IF(LCQ39&lt;=80,"Alto","Inviable Sanitariamente"))))</f>
        <v>Bajo</v>
      </c>
      <c r="LCT39" s="117">
        <v>0</v>
      </c>
      <c r="LCX39" s="117">
        <v>0</v>
      </c>
      <c r="LCZ39" s="117">
        <v>23.08</v>
      </c>
      <c r="LDF39" s="117">
        <f>AVERAGE(LCT39:LDE39)</f>
        <v>7.6933333333333325</v>
      </c>
      <c r="LDG39" s="117" t="str">
        <f>IF(LDF39&lt;5,"SI","NO")</f>
        <v>NO</v>
      </c>
      <c r="LDH39" s="117" t="str">
        <f>IF(LDF39&lt;5,"Sin Riesgo",IF(LDF39 &lt;=14,"Bajo",IF(LDF39&lt;=35,"Medio",IF(LDF39&lt;=80,"Alto","Inviable Sanitariamente"))))</f>
        <v>Bajo</v>
      </c>
      <c r="LDI39" s="117">
        <v>0</v>
      </c>
      <c r="LDM39" s="117">
        <v>0</v>
      </c>
      <c r="LDO39" s="117">
        <v>23.08</v>
      </c>
      <c r="LDU39" s="117">
        <f>AVERAGE(LDI39:LDT39)</f>
        <v>7.6933333333333325</v>
      </c>
      <c r="LDV39" s="117" t="str">
        <f>IF(LDU39&lt;5,"SI","NO")</f>
        <v>NO</v>
      </c>
      <c r="LDW39" s="117" t="str">
        <f>IF(LDU39&lt;5,"Sin Riesgo",IF(LDU39 &lt;=14,"Bajo",IF(LDU39&lt;=35,"Medio",IF(LDU39&lt;=80,"Alto","Inviable Sanitariamente"))))</f>
        <v>Bajo</v>
      </c>
      <c r="LDX39" s="117">
        <v>0</v>
      </c>
      <c r="LEB39" s="117">
        <v>0</v>
      </c>
      <c r="LED39" s="117">
        <v>23.08</v>
      </c>
      <c r="LEJ39" s="117">
        <f>AVERAGE(LDX39:LEI39)</f>
        <v>7.6933333333333325</v>
      </c>
      <c r="LEK39" s="117" t="str">
        <f>IF(LEJ39&lt;5,"SI","NO")</f>
        <v>NO</v>
      </c>
      <c r="LEL39" s="117" t="str">
        <f>IF(LEJ39&lt;5,"Sin Riesgo",IF(LEJ39 &lt;=14,"Bajo",IF(LEJ39&lt;=35,"Medio",IF(LEJ39&lt;=80,"Alto","Inviable Sanitariamente"))))</f>
        <v>Bajo</v>
      </c>
      <c r="LEM39" s="117">
        <v>0</v>
      </c>
      <c r="LEQ39" s="117">
        <v>0</v>
      </c>
      <c r="LES39" s="117">
        <v>23.08</v>
      </c>
      <c r="LEY39" s="117">
        <f>AVERAGE(LEM39:LEX39)</f>
        <v>7.6933333333333325</v>
      </c>
      <c r="LEZ39" s="117" t="str">
        <f>IF(LEY39&lt;5,"SI","NO")</f>
        <v>NO</v>
      </c>
      <c r="LFA39" s="117" t="str">
        <f>IF(LEY39&lt;5,"Sin Riesgo",IF(LEY39 &lt;=14,"Bajo",IF(LEY39&lt;=35,"Medio",IF(LEY39&lt;=80,"Alto","Inviable Sanitariamente"))))</f>
        <v>Bajo</v>
      </c>
      <c r="LFB39" s="117">
        <v>0</v>
      </c>
      <c r="LFF39" s="117">
        <v>0</v>
      </c>
      <c r="LFH39" s="117">
        <v>23.08</v>
      </c>
      <c r="LFN39" s="117">
        <f>AVERAGE(LFB39:LFM39)</f>
        <v>7.6933333333333325</v>
      </c>
      <c r="LFO39" s="117" t="str">
        <f>IF(LFN39&lt;5,"SI","NO")</f>
        <v>NO</v>
      </c>
      <c r="LFP39" s="117" t="str">
        <f>IF(LFN39&lt;5,"Sin Riesgo",IF(LFN39 &lt;=14,"Bajo",IF(LFN39&lt;=35,"Medio",IF(LFN39&lt;=80,"Alto","Inviable Sanitariamente"))))</f>
        <v>Bajo</v>
      </c>
      <c r="LFQ39" s="117">
        <v>0</v>
      </c>
      <c r="LFU39" s="117">
        <v>0</v>
      </c>
      <c r="LFW39" s="117">
        <v>23.08</v>
      </c>
      <c r="LGC39" s="117">
        <f>AVERAGE(LFQ39:LGB39)</f>
        <v>7.6933333333333325</v>
      </c>
      <c r="LGD39" s="117" t="str">
        <f>IF(LGC39&lt;5,"SI","NO")</f>
        <v>NO</v>
      </c>
      <c r="LGE39" s="117" t="str">
        <f>IF(LGC39&lt;5,"Sin Riesgo",IF(LGC39 &lt;=14,"Bajo",IF(LGC39&lt;=35,"Medio",IF(LGC39&lt;=80,"Alto","Inviable Sanitariamente"))))</f>
        <v>Bajo</v>
      </c>
      <c r="LGF39" s="117">
        <v>0</v>
      </c>
      <c r="LGJ39" s="117">
        <v>0</v>
      </c>
      <c r="LGL39" s="117">
        <v>23.08</v>
      </c>
      <c r="LGR39" s="117">
        <f>AVERAGE(LGF39:LGQ39)</f>
        <v>7.6933333333333325</v>
      </c>
      <c r="LGS39" s="117" t="str">
        <f>IF(LGR39&lt;5,"SI","NO")</f>
        <v>NO</v>
      </c>
      <c r="LGT39" s="117" t="str">
        <f>IF(LGR39&lt;5,"Sin Riesgo",IF(LGR39 &lt;=14,"Bajo",IF(LGR39&lt;=35,"Medio",IF(LGR39&lt;=80,"Alto","Inviable Sanitariamente"))))</f>
        <v>Bajo</v>
      </c>
      <c r="LGU39" s="117">
        <v>0</v>
      </c>
      <c r="LGY39" s="117">
        <v>0</v>
      </c>
      <c r="LHA39" s="117">
        <v>23.08</v>
      </c>
      <c r="LHG39" s="117">
        <f>AVERAGE(LGU39:LHF39)</f>
        <v>7.6933333333333325</v>
      </c>
      <c r="LHH39" s="117" t="str">
        <f>IF(LHG39&lt;5,"SI","NO")</f>
        <v>NO</v>
      </c>
      <c r="LHI39" s="117" t="str">
        <f>IF(LHG39&lt;5,"Sin Riesgo",IF(LHG39 &lt;=14,"Bajo",IF(LHG39&lt;=35,"Medio",IF(LHG39&lt;=80,"Alto","Inviable Sanitariamente"))))</f>
        <v>Bajo</v>
      </c>
      <c r="LHJ39" s="117">
        <v>0</v>
      </c>
      <c r="LHN39" s="117">
        <v>0</v>
      </c>
      <c r="LHP39" s="117">
        <v>23.08</v>
      </c>
      <c r="LHV39" s="117">
        <f>AVERAGE(LHJ39:LHU39)</f>
        <v>7.6933333333333325</v>
      </c>
      <c r="LHW39" s="117" t="str">
        <f>IF(LHV39&lt;5,"SI","NO")</f>
        <v>NO</v>
      </c>
      <c r="LHX39" s="117" t="str">
        <f>IF(LHV39&lt;5,"Sin Riesgo",IF(LHV39 &lt;=14,"Bajo",IF(LHV39&lt;=35,"Medio",IF(LHV39&lt;=80,"Alto","Inviable Sanitariamente"))))</f>
        <v>Bajo</v>
      </c>
      <c r="LHY39" s="117">
        <v>0</v>
      </c>
      <c r="LIC39" s="117">
        <v>0</v>
      </c>
      <c r="LIE39" s="117">
        <v>23.08</v>
      </c>
      <c r="LIK39" s="117">
        <f>AVERAGE(LHY39:LIJ39)</f>
        <v>7.6933333333333325</v>
      </c>
      <c r="LIL39" s="117" t="str">
        <f>IF(LIK39&lt;5,"SI","NO")</f>
        <v>NO</v>
      </c>
      <c r="LIM39" s="117" t="str">
        <f>IF(LIK39&lt;5,"Sin Riesgo",IF(LIK39 &lt;=14,"Bajo",IF(LIK39&lt;=35,"Medio",IF(LIK39&lt;=80,"Alto","Inviable Sanitariamente"))))</f>
        <v>Bajo</v>
      </c>
      <c r="LIN39" s="117">
        <v>0</v>
      </c>
      <c r="LIR39" s="117">
        <v>0</v>
      </c>
      <c r="LIT39" s="117">
        <v>23.08</v>
      </c>
      <c r="LIZ39" s="117">
        <f>AVERAGE(LIN39:LIY39)</f>
        <v>7.6933333333333325</v>
      </c>
      <c r="LJA39" s="117" t="str">
        <f>IF(LIZ39&lt;5,"SI","NO")</f>
        <v>NO</v>
      </c>
      <c r="LJB39" s="117" t="str">
        <f>IF(LIZ39&lt;5,"Sin Riesgo",IF(LIZ39 &lt;=14,"Bajo",IF(LIZ39&lt;=35,"Medio",IF(LIZ39&lt;=80,"Alto","Inviable Sanitariamente"))))</f>
        <v>Bajo</v>
      </c>
      <c r="LJC39" s="117">
        <v>0</v>
      </c>
      <c r="LJG39" s="117">
        <v>0</v>
      </c>
      <c r="LJI39" s="117">
        <v>23.08</v>
      </c>
      <c r="LJO39" s="117">
        <f>AVERAGE(LJC39:LJN39)</f>
        <v>7.6933333333333325</v>
      </c>
      <c r="LJP39" s="117" t="str">
        <f>IF(LJO39&lt;5,"SI","NO")</f>
        <v>NO</v>
      </c>
      <c r="LJQ39" s="117" t="str">
        <f>IF(LJO39&lt;5,"Sin Riesgo",IF(LJO39 &lt;=14,"Bajo",IF(LJO39&lt;=35,"Medio",IF(LJO39&lt;=80,"Alto","Inviable Sanitariamente"))))</f>
        <v>Bajo</v>
      </c>
      <c r="LJR39" s="117">
        <v>0</v>
      </c>
      <c r="LJV39" s="117">
        <v>0</v>
      </c>
      <c r="LJX39" s="117">
        <v>23.08</v>
      </c>
      <c r="LKD39" s="117">
        <f>AVERAGE(LJR39:LKC39)</f>
        <v>7.6933333333333325</v>
      </c>
      <c r="LKE39" s="117" t="str">
        <f>IF(LKD39&lt;5,"SI","NO")</f>
        <v>NO</v>
      </c>
      <c r="LKF39" s="117" t="str">
        <f>IF(LKD39&lt;5,"Sin Riesgo",IF(LKD39 &lt;=14,"Bajo",IF(LKD39&lt;=35,"Medio",IF(LKD39&lt;=80,"Alto","Inviable Sanitariamente"))))</f>
        <v>Bajo</v>
      </c>
      <c r="LKG39" s="117">
        <v>0</v>
      </c>
      <c r="LKK39" s="117">
        <v>0</v>
      </c>
      <c r="LKM39" s="117">
        <v>23.08</v>
      </c>
      <c r="LKS39" s="117">
        <f>AVERAGE(LKG39:LKR39)</f>
        <v>7.6933333333333325</v>
      </c>
      <c r="LKT39" s="117" t="str">
        <f>IF(LKS39&lt;5,"SI","NO")</f>
        <v>NO</v>
      </c>
      <c r="LKU39" s="117" t="str">
        <f>IF(LKS39&lt;5,"Sin Riesgo",IF(LKS39 &lt;=14,"Bajo",IF(LKS39&lt;=35,"Medio",IF(LKS39&lt;=80,"Alto","Inviable Sanitariamente"))))</f>
        <v>Bajo</v>
      </c>
      <c r="LKV39" s="117">
        <v>0</v>
      </c>
      <c r="LKZ39" s="117">
        <v>0</v>
      </c>
      <c r="LLB39" s="117">
        <v>23.08</v>
      </c>
      <c r="LLH39" s="117">
        <f>AVERAGE(LKV39:LLG39)</f>
        <v>7.6933333333333325</v>
      </c>
      <c r="LLI39" s="117" t="str">
        <f>IF(LLH39&lt;5,"SI","NO")</f>
        <v>NO</v>
      </c>
      <c r="LLJ39" s="117" t="str">
        <f>IF(LLH39&lt;5,"Sin Riesgo",IF(LLH39 &lt;=14,"Bajo",IF(LLH39&lt;=35,"Medio",IF(LLH39&lt;=80,"Alto","Inviable Sanitariamente"))))</f>
        <v>Bajo</v>
      </c>
      <c r="LLK39" s="117">
        <v>0</v>
      </c>
      <c r="LLO39" s="117">
        <v>0</v>
      </c>
      <c r="LLQ39" s="117">
        <v>23.08</v>
      </c>
      <c r="LLW39" s="117">
        <f>AVERAGE(LLK39:LLV39)</f>
        <v>7.6933333333333325</v>
      </c>
      <c r="LLX39" s="117" t="str">
        <f>IF(LLW39&lt;5,"SI","NO")</f>
        <v>NO</v>
      </c>
      <c r="LLY39" s="117" t="str">
        <f>IF(LLW39&lt;5,"Sin Riesgo",IF(LLW39 &lt;=14,"Bajo",IF(LLW39&lt;=35,"Medio",IF(LLW39&lt;=80,"Alto","Inviable Sanitariamente"))))</f>
        <v>Bajo</v>
      </c>
      <c r="LLZ39" s="117">
        <v>0</v>
      </c>
      <c r="LMD39" s="117">
        <v>0</v>
      </c>
      <c r="LMF39" s="117">
        <v>23.08</v>
      </c>
      <c r="LML39" s="117">
        <f>AVERAGE(LLZ39:LMK39)</f>
        <v>7.6933333333333325</v>
      </c>
      <c r="LMM39" s="117" t="str">
        <f>IF(LML39&lt;5,"SI","NO")</f>
        <v>NO</v>
      </c>
      <c r="LMN39" s="117" t="str">
        <f>IF(LML39&lt;5,"Sin Riesgo",IF(LML39 &lt;=14,"Bajo",IF(LML39&lt;=35,"Medio",IF(LML39&lt;=80,"Alto","Inviable Sanitariamente"))))</f>
        <v>Bajo</v>
      </c>
      <c r="LMO39" s="117">
        <v>0</v>
      </c>
      <c r="LMS39" s="117">
        <v>0</v>
      </c>
      <c r="LMU39" s="117">
        <v>23.08</v>
      </c>
      <c r="LNA39" s="117">
        <f>AVERAGE(LMO39:LMZ39)</f>
        <v>7.6933333333333325</v>
      </c>
      <c r="LNB39" s="117" t="str">
        <f>IF(LNA39&lt;5,"SI","NO")</f>
        <v>NO</v>
      </c>
      <c r="LNC39" s="117" t="str">
        <f>IF(LNA39&lt;5,"Sin Riesgo",IF(LNA39 &lt;=14,"Bajo",IF(LNA39&lt;=35,"Medio",IF(LNA39&lt;=80,"Alto","Inviable Sanitariamente"))))</f>
        <v>Bajo</v>
      </c>
      <c r="LND39" s="117">
        <v>0</v>
      </c>
      <c r="LNH39" s="117">
        <v>0</v>
      </c>
      <c r="LNJ39" s="117">
        <v>23.08</v>
      </c>
      <c r="LNP39" s="117">
        <f>AVERAGE(LND39:LNO39)</f>
        <v>7.6933333333333325</v>
      </c>
      <c r="LNQ39" s="117" t="str">
        <f>IF(LNP39&lt;5,"SI","NO")</f>
        <v>NO</v>
      </c>
      <c r="LNR39" s="117" t="str">
        <f>IF(LNP39&lt;5,"Sin Riesgo",IF(LNP39 &lt;=14,"Bajo",IF(LNP39&lt;=35,"Medio",IF(LNP39&lt;=80,"Alto","Inviable Sanitariamente"))))</f>
        <v>Bajo</v>
      </c>
      <c r="LNS39" s="117">
        <v>0</v>
      </c>
      <c r="LNW39" s="117">
        <v>0</v>
      </c>
      <c r="LNY39" s="117">
        <v>23.08</v>
      </c>
      <c r="LOE39" s="117">
        <f>AVERAGE(LNS39:LOD39)</f>
        <v>7.6933333333333325</v>
      </c>
      <c r="LOF39" s="117" t="str">
        <f>IF(LOE39&lt;5,"SI","NO")</f>
        <v>NO</v>
      </c>
      <c r="LOG39" s="117" t="str">
        <f>IF(LOE39&lt;5,"Sin Riesgo",IF(LOE39 &lt;=14,"Bajo",IF(LOE39&lt;=35,"Medio",IF(LOE39&lt;=80,"Alto","Inviable Sanitariamente"))))</f>
        <v>Bajo</v>
      </c>
      <c r="LOH39" s="117">
        <v>0</v>
      </c>
      <c r="LOL39" s="117">
        <v>0</v>
      </c>
      <c r="LON39" s="117">
        <v>23.08</v>
      </c>
      <c r="LOT39" s="117">
        <f>AVERAGE(LOH39:LOS39)</f>
        <v>7.6933333333333325</v>
      </c>
      <c r="LOU39" s="117" t="str">
        <f>IF(LOT39&lt;5,"SI","NO")</f>
        <v>NO</v>
      </c>
      <c r="LOV39" s="117" t="str">
        <f>IF(LOT39&lt;5,"Sin Riesgo",IF(LOT39 &lt;=14,"Bajo",IF(LOT39&lt;=35,"Medio",IF(LOT39&lt;=80,"Alto","Inviable Sanitariamente"))))</f>
        <v>Bajo</v>
      </c>
      <c r="LOW39" s="117">
        <v>0</v>
      </c>
      <c r="LPA39" s="117">
        <v>0</v>
      </c>
      <c r="LPC39" s="117">
        <v>23.08</v>
      </c>
      <c r="LPI39" s="117">
        <f>AVERAGE(LOW39:LPH39)</f>
        <v>7.6933333333333325</v>
      </c>
      <c r="LPJ39" s="117" t="str">
        <f>IF(LPI39&lt;5,"SI","NO")</f>
        <v>NO</v>
      </c>
      <c r="LPK39" s="117" t="str">
        <f>IF(LPI39&lt;5,"Sin Riesgo",IF(LPI39 &lt;=14,"Bajo",IF(LPI39&lt;=35,"Medio",IF(LPI39&lt;=80,"Alto","Inviable Sanitariamente"))))</f>
        <v>Bajo</v>
      </c>
      <c r="LPL39" s="117">
        <v>0</v>
      </c>
      <c r="LPP39" s="117">
        <v>0</v>
      </c>
      <c r="LPR39" s="117">
        <v>23.08</v>
      </c>
      <c r="LPX39" s="117">
        <f>AVERAGE(LPL39:LPW39)</f>
        <v>7.6933333333333325</v>
      </c>
      <c r="LPY39" s="117" t="str">
        <f>IF(LPX39&lt;5,"SI","NO")</f>
        <v>NO</v>
      </c>
      <c r="LPZ39" s="117" t="str">
        <f>IF(LPX39&lt;5,"Sin Riesgo",IF(LPX39 &lt;=14,"Bajo",IF(LPX39&lt;=35,"Medio",IF(LPX39&lt;=80,"Alto","Inviable Sanitariamente"))))</f>
        <v>Bajo</v>
      </c>
      <c r="LQA39" s="117">
        <v>0</v>
      </c>
      <c r="LQE39" s="117">
        <v>0</v>
      </c>
      <c r="LQG39" s="117">
        <v>23.08</v>
      </c>
      <c r="LQM39" s="117">
        <f>AVERAGE(LQA39:LQL39)</f>
        <v>7.6933333333333325</v>
      </c>
      <c r="LQN39" s="117" t="str">
        <f>IF(LQM39&lt;5,"SI","NO")</f>
        <v>NO</v>
      </c>
      <c r="LQO39" s="117" t="str">
        <f>IF(LQM39&lt;5,"Sin Riesgo",IF(LQM39 &lt;=14,"Bajo",IF(LQM39&lt;=35,"Medio",IF(LQM39&lt;=80,"Alto","Inviable Sanitariamente"))))</f>
        <v>Bajo</v>
      </c>
      <c r="LQP39" s="117">
        <v>0</v>
      </c>
      <c r="LQT39" s="117">
        <v>0</v>
      </c>
      <c r="LQV39" s="117">
        <v>23.08</v>
      </c>
      <c r="LRB39" s="117">
        <f>AVERAGE(LQP39:LRA39)</f>
        <v>7.6933333333333325</v>
      </c>
      <c r="LRC39" s="117" t="str">
        <f>IF(LRB39&lt;5,"SI","NO")</f>
        <v>NO</v>
      </c>
      <c r="LRD39" s="117" t="str">
        <f>IF(LRB39&lt;5,"Sin Riesgo",IF(LRB39 &lt;=14,"Bajo",IF(LRB39&lt;=35,"Medio",IF(LRB39&lt;=80,"Alto","Inviable Sanitariamente"))))</f>
        <v>Bajo</v>
      </c>
      <c r="LRE39" s="117">
        <v>0</v>
      </c>
      <c r="LRI39" s="117">
        <v>0</v>
      </c>
      <c r="LRK39" s="117">
        <v>23.08</v>
      </c>
      <c r="LRQ39" s="117">
        <f>AVERAGE(LRE39:LRP39)</f>
        <v>7.6933333333333325</v>
      </c>
      <c r="LRR39" s="117" t="str">
        <f>IF(LRQ39&lt;5,"SI","NO")</f>
        <v>NO</v>
      </c>
      <c r="LRS39" s="117" t="str">
        <f>IF(LRQ39&lt;5,"Sin Riesgo",IF(LRQ39 &lt;=14,"Bajo",IF(LRQ39&lt;=35,"Medio",IF(LRQ39&lt;=80,"Alto","Inviable Sanitariamente"))))</f>
        <v>Bajo</v>
      </c>
      <c r="LRT39" s="117">
        <v>0</v>
      </c>
      <c r="LRX39" s="117">
        <v>0</v>
      </c>
      <c r="LRZ39" s="117">
        <v>23.08</v>
      </c>
      <c r="LSF39" s="117">
        <f>AVERAGE(LRT39:LSE39)</f>
        <v>7.6933333333333325</v>
      </c>
      <c r="LSG39" s="117" t="str">
        <f>IF(LSF39&lt;5,"SI","NO")</f>
        <v>NO</v>
      </c>
      <c r="LSH39" s="117" t="str">
        <f>IF(LSF39&lt;5,"Sin Riesgo",IF(LSF39 &lt;=14,"Bajo",IF(LSF39&lt;=35,"Medio",IF(LSF39&lt;=80,"Alto","Inviable Sanitariamente"))))</f>
        <v>Bajo</v>
      </c>
      <c r="LSI39" s="117">
        <v>0</v>
      </c>
      <c r="LSM39" s="117">
        <v>0</v>
      </c>
      <c r="LSO39" s="117">
        <v>23.08</v>
      </c>
      <c r="LSU39" s="117">
        <f>AVERAGE(LSI39:LST39)</f>
        <v>7.6933333333333325</v>
      </c>
      <c r="LSV39" s="117" t="str">
        <f>IF(LSU39&lt;5,"SI","NO")</f>
        <v>NO</v>
      </c>
      <c r="LSW39" s="117" t="str">
        <f>IF(LSU39&lt;5,"Sin Riesgo",IF(LSU39 &lt;=14,"Bajo",IF(LSU39&lt;=35,"Medio",IF(LSU39&lt;=80,"Alto","Inviable Sanitariamente"))))</f>
        <v>Bajo</v>
      </c>
      <c r="LSX39" s="117">
        <v>0</v>
      </c>
      <c r="LTB39" s="117">
        <v>0</v>
      </c>
      <c r="LTD39" s="117">
        <v>23.08</v>
      </c>
      <c r="LTJ39" s="117">
        <f>AVERAGE(LSX39:LTI39)</f>
        <v>7.6933333333333325</v>
      </c>
      <c r="LTK39" s="117" t="str">
        <f>IF(LTJ39&lt;5,"SI","NO")</f>
        <v>NO</v>
      </c>
      <c r="LTL39" s="117" t="str">
        <f>IF(LTJ39&lt;5,"Sin Riesgo",IF(LTJ39 &lt;=14,"Bajo",IF(LTJ39&lt;=35,"Medio",IF(LTJ39&lt;=80,"Alto","Inviable Sanitariamente"))))</f>
        <v>Bajo</v>
      </c>
      <c r="LTM39" s="117">
        <v>0</v>
      </c>
      <c r="LTQ39" s="117">
        <v>0</v>
      </c>
      <c r="LTS39" s="117">
        <v>23.08</v>
      </c>
      <c r="LTY39" s="117">
        <f>AVERAGE(LTM39:LTX39)</f>
        <v>7.6933333333333325</v>
      </c>
      <c r="LTZ39" s="117" t="str">
        <f>IF(LTY39&lt;5,"SI","NO")</f>
        <v>NO</v>
      </c>
      <c r="LUA39" s="117" t="str">
        <f>IF(LTY39&lt;5,"Sin Riesgo",IF(LTY39 &lt;=14,"Bajo",IF(LTY39&lt;=35,"Medio",IF(LTY39&lt;=80,"Alto","Inviable Sanitariamente"))))</f>
        <v>Bajo</v>
      </c>
      <c r="LUB39" s="117">
        <v>0</v>
      </c>
      <c r="LUF39" s="117">
        <v>0</v>
      </c>
      <c r="LUH39" s="117">
        <v>23.08</v>
      </c>
      <c r="LUN39" s="117">
        <f>AVERAGE(LUB39:LUM39)</f>
        <v>7.6933333333333325</v>
      </c>
      <c r="LUO39" s="117" t="str">
        <f>IF(LUN39&lt;5,"SI","NO")</f>
        <v>NO</v>
      </c>
      <c r="LUP39" s="117" t="str">
        <f>IF(LUN39&lt;5,"Sin Riesgo",IF(LUN39 &lt;=14,"Bajo",IF(LUN39&lt;=35,"Medio",IF(LUN39&lt;=80,"Alto","Inviable Sanitariamente"))))</f>
        <v>Bajo</v>
      </c>
      <c r="LUQ39" s="117">
        <v>0</v>
      </c>
      <c r="LUU39" s="117">
        <v>0</v>
      </c>
      <c r="LUW39" s="117">
        <v>23.08</v>
      </c>
      <c r="LVC39" s="117">
        <f>AVERAGE(LUQ39:LVB39)</f>
        <v>7.6933333333333325</v>
      </c>
      <c r="LVD39" s="117" t="str">
        <f>IF(LVC39&lt;5,"SI","NO")</f>
        <v>NO</v>
      </c>
      <c r="LVE39" s="117" t="str">
        <f>IF(LVC39&lt;5,"Sin Riesgo",IF(LVC39 &lt;=14,"Bajo",IF(LVC39&lt;=35,"Medio",IF(LVC39&lt;=80,"Alto","Inviable Sanitariamente"))))</f>
        <v>Bajo</v>
      </c>
      <c r="LVF39" s="117">
        <v>0</v>
      </c>
      <c r="LVJ39" s="117">
        <v>0</v>
      </c>
      <c r="LVL39" s="117">
        <v>23.08</v>
      </c>
      <c r="LVR39" s="117">
        <f>AVERAGE(LVF39:LVQ39)</f>
        <v>7.6933333333333325</v>
      </c>
      <c r="LVS39" s="117" t="str">
        <f>IF(LVR39&lt;5,"SI","NO")</f>
        <v>NO</v>
      </c>
      <c r="LVT39" s="117" t="str">
        <f>IF(LVR39&lt;5,"Sin Riesgo",IF(LVR39 &lt;=14,"Bajo",IF(LVR39&lt;=35,"Medio",IF(LVR39&lt;=80,"Alto","Inviable Sanitariamente"))))</f>
        <v>Bajo</v>
      </c>
      <c r="LVU39" s="117">
        <v>0</v>
      </c>
      <c r="LVY39" s="117">
        <v>0</v>
      </c>
      <c r="LWA39" s="117">
        <v>23.08</v>
      </c>
      <c r="LWG39" s="117">
        <f>AVERAGE(LVU39:LWF39)</f>
        <v>7.6933333333333325</v>
      </c>
      <c r="LWH39" s="117" t="str">
        <f>IF(LWG39&lt;5,"SI","NO")</f>
        <v>NO</v>
      </c>
      <c r="LWI39" s="117" t="str">
        <f>IF(LWG39&lt;5,"Sin Riesgo",IF(LWG39 &lt;=14,"Bajo",IF(LWG39&lt;=35,"Medio",IF(LWG39&lt;=80,"Alto","Inviable Sanitariamente"))))</f>
        <v>Bajo</v>
      </c>
      <c r="LWJ39" s="117">
        <v>0</v>
      </c>
      <c r="LWN39" s="117">
        <v>0</v>
      </c>
      <c r="LWP39" s="117">
        <v>23.08</v>
      </c>
      <c r="LWV39" s="117">
        <f>AVERAGE(LWJ39:LWU39)</f>
        <v>7.6933333333333325</v>
      </c>
      <c r="LWW39" s="117" t="str">
        <f>IF(LWV39&lt;5,"SI","NO")</f>
        <v>NO</v>
      </c>
      <c r="LWX39" s="117" t="str">
        <f>IF(LWV39&lt;5,"Sin Riesgo",IF(LWV39 &lt;=14,"Bajo",IF(LWV39&lt;=35,"Medio",IF(LWV39&lt;=80,"Alto","Inviable Sanitariamente"))))</f>
        <v>Bajo</v>
      </c>
      <c r="LWY39" s="117">
        <v>0</v>
      </c>
      <c r="LXC39" s="117">
        <v>0</v>
      </c>
      <c r="LXE39" s="117">
        <v>23.08</v>
      </c>
      <c r="LXK39" s="117">
        <f>AVERAGE(LWY39:LXJ39)</f>
        <v>7.6933333333333325</v>
      </c>
      <c r="LXL39" s="117" t="str">
        <f>IF(LXK39&lt;5,"SI","NO")</f>
        <v>NO</v>
      </c>
      <c r="LXM39" s="117" t="str">
        <f>IF(LXK39&lt;5,"Sin Riesgo",IF(LXK39 &lt;=14,"Bajo",IF(LXK39&lt;=35,"Medio",IF(LXK39&lt;=80,"Alto","Inviable Sanitariamente"))))</f>
        <v>Bajo</v>
      </c>
      <c r="LXN39" s="117">
        <v>0</v>
      </c>
      <c r="LXR39" s="117">
        <v>0</v>
      </c>
      <c r="LXT39" s="117">
        <v>23.08</v>
      </c>
      <c r="LXZ39" s="117">
        <f>AVERAGE(LXN39:LXY39)</f>
        <v>7.6933333333333325</v>
      </c>
      <c r="LYA39" s="117" t="str">
        <f>IF(LXZ39&lt;5,"SI","NO")</f>
        <v>NO</v>
      </c>
      <c r="LYB39" s="117" t="str">
        <f>IF(LXZ39&lt;5,"Sin Riesgo",IF(LXZ39 &lt;=14,"Bajo",IF(LXZ39&lt;=35,"Medio",IF(LXZ39&lt;=80,"Alto","Inviable Sanitariamente"))))</f>
        <v>Bajo</v>
      </c>
      <c r="LYC39" s="117">
        <v>0</v>
      </c>
      <c r="LYG39" s="117">
        <v>0</v>
      </c>
      <c r="LYI39" s="117">
        <v>23.08</v>
      </c>
      <c r="LYO39" s="117">
        <f>AVERAGE(LYC39:LYN39)</f>
        <v>7.6933333333333325</v>
      </c>
      <c r="LYP39" s="117" t="str">
        <f>IF(LYO39&lt;5,"SI","NO")</f>
        <v>NO</v>
      </c>
      <c r="LYQ39" s="117" t="str">
        <f>IF(LYO39&lt;5,"Sin Riesgo",IF(LYO39 &lt;=14,"Bajo",IF(LYO39&lt;=35,"Medio",IF(LYO39&lt;=80,"Alto","Inviable Sanitariamente"))))</f>
        <v>Bajo</v>
      </c>
      <c r="LYR39" s="117">
        <v>0</v>
      </c>
      <c r="LYV39" s="117">
        <v>0</v>
      </c>
      <c r="LYX39" s="117">
        <v>23.08</v>
      </c>
      <c r="LZD39" s="117">
        <f>AVERAGE(LYR39:LZC39)</f>
        <v>7.6933333333333325</v>
      </c>
      <c r="LZE39" s="117" t="str">
        <f>IF(LZD39&lt;5,"SI","NO")</f>
        <v>NO</v>
      </c>
      <c r="LZF39" s="117" t="str">
        <f>IF(LZD39&lt;5,"Sin Riesgo",IF(LZD39 &lt;=14,"Bajo",IF(LZD39&lt;=35,"Medio",IF(LZD39&lt;=80,"Alto","Inviable Sanitariamente"))))</f>
        <v>Bajo</v>
      </c>
      <c r="LZG39" s="117">
        <v>0</v>
      </c>
      <c r="LZK39" s="117">
        <v>0</v>
      </c>
      <c r="LZM39" s="117">
        <v>23.08</v>
      </c>
      <c r="LZS39" s="117">
        <f>AVERAGE(LZG39:LZR39)</f>
        <v>7.6933333333333325</v>
      </c>
      <c r="LZT39" s="117" t="str">
        <f>IF(LZS39&lt;5,"SI","NO")</f>
        <v>NO</v>
      </c>
      <c r="LZU39" s="117" t="str">
        <f>IF(LZS39&lt;5,"Sin Riesgo",IF(LZS39 &lt;=14,"Bajo",IF(LZS39&lt;=35,"Medio",IF(LZS39&lt;=80,"Alto","Inviable Sanitariamente"))))</f>
        <v>Bajo</v>
      </c>
      <c r="LZV39" s="117">
        <v>0</v>
      </c>
      <c r="LZZ39" s="117">
        <v>0</v>
      </c>
      <c r="MAB39" s="117">
        <v>23.08</v>
      </c>
      <c r="MAH39" s="117">
        <f>AVERAGE(LZV39:MAG39)</f>
        <v>7.6933333333333325</v>
      </c>
      <c r="MAI39" s="117" t="str">
        <f>IF(MAH39&lt;5,"SI","NO")</f>
        <v>NO</v>
      </c>
      <c r="MAJ39" s="117" t="str">
        <f>IF(MAH39&lt;5,"Sin Riesgo",IF(MAH39 &lt;=14,"Bajo",IF(MAH39&lt;=35,"Medio",IF(MAH39&lt;=80,"Alto","Inviable Sanitariamente"))))</f>
        <v>Bajo</v>
      </c>
      <c r="MAK39" s="117">
        <v>0</v>
      </c>
      <c r="MAO39" s="117">
        <v>0</v>
      </c>
      <c r="MAQ39" s="117">
        <v>23.08</v>
      </c>
      <c r="MAW39" s="117">
        <f>AVERAGE(MAK39:MAV39)</f>
        <v>7.6933333333333325</v>
      </c>
      <c r="MAX39" s="117" t="str">
        <f>IF(MAW39&lt;5,"SI","NO")</f>
        <v>NO</v>
      </c>
      <c r="MAY39" s="117" t="str">
        <f>IF(MAW39&lt;5,"Sin Riesgo",IF(MAW39 &lt;=14,"Bajo",IF(MAW39&lt;=35,"Medio",IF(MAW39&lt;=80,"Alto","Inviable Sanitariamente"))))</f>
        <v>Bajo</v>
      </c>
      <c r="MAZ39" s="117">
        <v>0</v>
      </c>
      <c r="MBD39" s="117">
        <v>0</v>
      </c>
      <c r="MBF39" s="117">
        <v>23.08</v>
      </c>
      <c r="MBL39" s="117">
        <f>AVERAGE(MAZ39:MBK39)</f>
        <v>7.6933333333333325</v>
      </c>
      <c r="MBM39" s="117" t="str">
        <f>IF(MBL39&lt;5,"SI","NO")</f>
        <v>NO</v>
      </c>
      <c r="MBN39" s="117" t="str">
        <f>IF(MBL39&lt;5,"Sin Riesgo",IF(MBL39 &lt;=14,"Bajo",IF(MBL39&lt;=35,"Medio",IF(MBL39&lt;=80,"Alto","Inviable Sanitariamente"))))</f>
        <v>Bajo</v>
      </c>
      <c r="MBO39" s="117">
        <v>0</v>
      </c>
      <c r="MBS39" s="117">
        <v>0</v>
      </c>
      <c r="MBU39" s="117">
        <v>23.08</v>
      </c>
      <c r="MCA39" s="117">
        <f>AVERAGE(MBO39:MBZ39)</f>
        <v>7.6933333333333325</v>
      </c>
      <c r="MCB39" s="117" t="str">
        <f>IF(MCA39&lt;5,"SI","NO")</f>
        <v>NO</v>
      </c>
      <c r="MCC39" s="117" t="str">
        <f>IF(MCA39&lt;5,"Sin Riesgo",IF(MCA39 &lt;=14,"Bajo",IF(MCA39&lt;=35,"Medio",IF(MCA39&lt;=80,"Alto","Inviable Sanitariamente"))))</f>
        <v>Bajo</v>
      </c>
      <c r="MCD39" s="117">
        <v>0</v>
      </c>
      <c r="MCH39" s="117">
        <v>0</v>
      </c>
      <c r="MCJ39" s="117">
        <v>23.08</v>
      </c>
      <c r="MCP39" s="117">
        <f>AVERAGE(MCD39:MCO39)</f>
        <v>7.6933333333333325</v>
      </c>
      <c r="MCQ39" s="117" t="str">
        <f>IF(MCP39&lt;5,"SI","NO")</f>
        <v>NO</v>
      </c>
      <c r="MCR39" s="117" t="str">
        <f>IF(MCP39&lt;5,"Sin Riesgo",IF(MCP39 &lt;=14,"Bajo",IF(MCP39&lt;=35,"Medio",IF(MCP39&lt;=80,"Alto","Inviable Sanitariamente"))))</f>
        <v>Bajo</v>
      </c>
      <c r="MCS39" s="117">
        <v>0</v>
      </c>
      <c r="MCW39" s="117">
        <v>0</v>
      </c>
      <c r="MCY39" s="117">
        <v>23.08</v>
      </c>
      <c r="MDE39" s="117">
        <f>AVERAGE(MCS39:MDD39)</f>
        <v>7.6933333333333325</v>
      </c>
      <c r="MDF39" s="117" t="str">
        <f>IF(MDE39&lt;5,"SI","NO")</f>
        <v>NO</v>
      </c>
      <c r="MDG39" s="117" t="str">
        <f>IF(MDE39&lt;5,"Sin Riesgo",IF(MDE39 &lt;=14,"Bajo",IF(MDE39&lt;=35,"Medio",IF(MDE39&lt;=80,"Alto","Inviable Sanitariamente"))))</f>
        <v>Bajo</v>
      </c>
      <c r="MDH39" s="117">
        <v>0</v>
      </c>
      <c r="MDL39" s="117">
        <v>0</v>
      </c>
      <c r="MDN39" s="117">
        <v>23.08</v>
      </c>
      <c r="MDT39" s="117">
        <f>AVERAGE(MDH39:MDS39)</f>
        <v>7.6933333333333325</v>
      </c>
      <c r="MDU39" s="117" t="str">
        <f>IF(MDT39&lt;5,"SI","NO")</f>
        <v>NO</v>
      </c>
      <c r="MDV39" s="117" t="str">
        <f>IF(MDT39&lt;5,"Sin Riesgo",IF(MDT39 &lt;=14,"Bajo",IF(MDT39&lt;=35,"Medio",IF(MDT39&lt;=80,"Alto","Inviable Sanitariamente"))))</f>
        <v>Bajo</v>
      </c>
      <c r="MDW39" s="117">
        <v>0</v>
      </c>
      <c r="MEA39" s="117">
        <v>0</v>
      </c>
      <c r="MEC39" s="117">
        <v>23.08</v>
      </c>
      <c r="MEI39" s="117">
        <f>AVERAGE(MDW39:MEH39)</f>
        <v>7.6933333333333325</v>
      </c>
      <c r="MEJ39" s="117" t="str">
        <f>IF(MEI39&lt;5,"SI","NO")</f>
        <v>NO</v>
      </c>
      <c r="MEK39" s="117" t="str">
        <f>IF(MEI39&lt;5,"Sin Riesgo",IF(MEI39 &lt;=14,"Bajo",IF(MEI39&lt;=35,"Medio",IF(MEI39&lt;=80,"Alto","Inviable Sanitariamente"))))</f>
        <v>Bajo</v>
      </c>
      <c r="MEL39" s="117">
        <v>0</v>
      </c>
      <c r="MEP39" s="117">
        <v>0</v>
      </c>
      <c r="MER39" s="117">
        <v>23.08</v>
      </c>
      <c r="MEX39" s="117">
        <f>AVERAGE(MEL39:MEW39)</f>
        <v>7.6933333333333325</v>
      </c>
      <c r="MEY39" s="117" t="str">
        <f>IF(MEX39&lt;5,"SI","NO")</f>
        <v>NO</v>
      </c>
      <c r="MEZ39" s="117" t="str">
        <f>IF(MEX39&lt;5,"Sin Riesgo",IF(MEX39 &lt;=14,"Bajo",IF(MEX39&lt;=35,"Medio",IF(MEX39&lt;=80,"Alto","Inviable Sanitariamente"))))</f>
        <v>Bajo</v>
      </c>
      <c r="MFA39" s="117">
        <v>0</v>
      </c>
      <c r="MFE39" s="117">
        <v>0</v>
      </c>
      <c r="MFG39" s="117">
        <v>23.08</v>
      </c>
      <c r="MFM39" s="117">
        <f>AVERAGE(MFA39:MFL39)</f>
        <v>7.6933333333333325</v>
      </c>
      <c r="MFN39" s="117" t="str">
        <f>IF(MFM39&lt;5,"SI","NO")</f>
        <v>NO</v>
      </c>
      <c r="MFO39" s="117" t="str">
        <f>IF(MFM39&lt;5,"Sin Riesgo",IF(MFM39 &lt;=14,"Bajo",IF(MFM39&lt;=35,"Medio",IF(MFM39&lt;=80,"Alto","Inviable Sanitariamente"))))</f>
        <v>Bajo</v>
      </c>
      <c r="MFP39" s="117">
        <v>0</v>
      </c>
      <c r="MFT39" s="117">
        <v>0</v>
      </c>
      <c r="MFV39" s="117">
        <v>23.08</v>
      </c>
      <c r="MGB39" s="117">
        <f>AVERAGE(MFP39:MGA39)</f>
        <v>7.6933333333333325</v>
      </c>
      <c r="MGC39" s="117" t="str">
        <f>IF(MGB39&lt;5,"SI","NO")</f>
        <v>NO</v>
      </c>
      <c r="MGD39" s="117" t="str">
        <f>IF(MGB39&lt;5,"Sin Riesgo",IF(MGB39 &lt;=14,"Bajo",IF(MGB39&lt;=35,"Medio",IF(MGB39&lt;=80,"Alto","Inviable Sanitariamente"))))</f>
        <v>Bajo</v>
      </c>
      <c r="MGE39" s="117">
        <v>0</v>
      </c>
      <c r="MGI39" s="117">
        <v>0</v>
      </c>
      <c r="MGK39" s="117">
        <v>23.08</v>
      </c>
      <c r="MGQ39" s="117">
        <f>AVERAGE(MGE39:MGP39)</f>
        <v>7.6933333333333325</v>
      </c>
      <c r="MGR39" s="117" t="str">
        <f>IF(MGQ39&lt;5,"SI","NO")</f>
        <v>NO</v>
      </c>
      <c r="MGS39" s="117" t="str">
        <f>IF(MGQ39&lt;5,"Sin Riesgo",IF(MGQ39 &lt;=14,"Bajo",IF(MGQ39&lt;=35,"Medio",IF(MGQ39&lt;=80,"Alto","Inviable Sanitariamente"))))</f>
        <v>Bajo</v>
      </c>
      <c r="MGT39" s="117">
        <v>0</v>
      </c>
      <c r="MGX39" s="117">
        <v>0</v>
      </c>
      <c r="MGZ39" s="117">
        <v>23.08</v>
      </c>
      <c r="MHF39" s="117">
        <f>AVERAGE(MGT39:MHE39)</f>
        <v>7.6933333333333325</v>
      </c>
      <c r="MHG39" s="117" t="str">
        <f>IF(MHF39&lt;5,"SI","NO")</f>
        <v>NO</v>
      </c>
      <c r="MHH39" s="117" t="str">
        <f>IF(MHF39&lt;5,"Sin Riesgo",IF(MHF39 &lt;=14,"Bajo",IF(MHF39&lt;=35,"Medio",IF(MHF39&lt;=80,"Alto","Inviable Sanitariamente"))))</f>
        <v>Bajo</v>
      </c>
      <c r="MHI39" s="117">
        <v>0</v>
      </c>
      <c r="MHM39" s="117">
        <v>0</v>
      </c>
      <c r="MHO39" s="117">
        <v>23.08</v>
      </c>
      <c r="MHU39" s="117">
        <f>AVERAGE(MHI39:MHT39)</f>
        <v>7.6933333333333325</v>
      </c>
      <c r="MHV39" s="117" t="str">
        <f>IF(MHU39&lt;5,"SI","NO")</f>
        <v>NO</v>
      </c>
      <c r="MHW39" s="117" t="str">
        <f>IF(MHU39&lt;5,"Sin Riesgo",IF(MHU39 &lt;=14,"Bajo",IF(MHU39&lt;=35,"Medio",IF(MHU39&lt;=80,"Alto","Inviable Sanitariamente"))))</f>
        <v>Bajo</v>
      </c>
      <c r="MHX39" s="117">
        <v>0</v>
      </c>
      <c r="MIB39" s="117">
        <v>0</v>
      </c>
      <c r="MID39" s="117">
        <v>23.08</v>
      </c>
      <c r="MIJ39" s="117">
        <f>AVERAGE(MHX39:MII39)</f>
        <v>7.6933333333333325</v>
      </c>
      <c r="MIK39" s="117" t="str">
        <f>IF(MIJ39&lt;5,"SI","NO")</f>
        <v>NO</v>
      </c>
      <c r="MIL39" s="117" t="str">
        <f>IF(MIJ39&lt;5,"Sin Riesgo",IF(MIJ39 &lt;=14,"Bajo",IF(MIJ39&lt;=35,"Medio",IF(MIJ39&lt;=80,"Alto","Inviable Sanitariamente"))))</f>
        <v>Bajo</v>
      </c>
      <c r="MIM39" s="117">
        <v>0</v>
      </c>
      <c r="MIQ39" s="117">
        <v>0</v>
      </c>
      <c r="MIS39" s="117">
        <v>23.08</v>
      </c>
      <c r="MIY39" s="117">
        <f>AVERAGE(MIM39:MIX39)</f>
        <v>7.6933333333333325</v>
      </c>
      <c r="MIZ39" s="117" t="str">
        <f>IF(MIY39&lt;5,"SI","NO")</f>
        <v>NO</v>
      </c>
      <c r="MJA39" s="117" t="str">
        <f>IF(MIY39&lt;5,"Sin Riesgo",IF(MIY39 &lt;=14,"Bajo",IF(MIY39&lt;=35,"Medio",IF(MIY39&lt;=80,"Alto","Inviable Sanitariamente"))))</f>
        <v>Bajo</v>
      </c>
      <c r="MJB39" s="117">
        <v>0</v>
      </c>
      <c r="MJF39" s="117">
        <v>0</v>
      </c>
      <c r="MJH39" s="117">
        <v>23.08</v>
      </c>
      <c r="MJN39" s="117">
        <f>AVERAGE(MJB39:MJM39)</f>
        <v>7.6933333333333325</v>
      </c>
      <c r="MJO39" s="117" t="str">
        <f>IF(MJN39&lt;5,"SI","NO")</f>
        <v>NO</v>
      </c>
      <c r="MJP39" s="117" t="str">
        <f>IF(MJN39&lt;5,"Sin Riesgo",IF(MJN39 &lt;=14,"Bajo",IF(MJN39&lt;=35,"Medio",IF(MJN39&lt;=80,"Alto","Inviable Sanitariamente"))))</f>
        <v>Bajo</v>
      </c>
      <c r="MJQ39" s="117">
        <v>0</v>
      </c>
      <c r="MJU39" s="117">
        <v>0</v>
      </c>
      <c r="MJW39" s="117">
        <v>23.08</v>
      </c>
      <c r="MKC39" s="117">
        <f>AVERAGE(MJQ39:MKB39)</f>
        <v>7.6933333333333325</v>
      </c>
      <c r="MKD39" s="117" t="str">
        <f>IF(MKC39&lt;5,"SI","NO")</f>
        <v>NO</v>
      </c>
      <c r="MKE39" s="117" t="str">
        <f>IF(MKC39&lt;5,"Sin Riesgo",IF(MKC39 &lt;=14,"Bajo",IF(MKC39&lt;=35,"Medio",IF(MKC39&lt;=80,"Alto","Inviable Sanitariamente"))))</f>
        <v>Bajo</v>
      </c>
      <c r="MKF39" s="117">
        <v>0</v>
      </c>
      <c r="MKJ39" s="117">
        <v>0</v>
      </c>
      <c r="MKL39" s="117">
        <v>23.08</v>
      </c>
      <c r="MKR39" s="117">
        <f>AVERAGE(MKF39:MKQ39)</f>
        <v>7.6933333333333325</v>
      </c>
      <c r="MKS39" s="117" t="str">
        <f>IF(MKR39&lt;5,"SI","NO")</f>
        <v>NO</v>
      </c>
      <c r="MKT39" s="117" t="str">
        <f>IF(MKR39&lt;5,"Sin Riesgo",IF(MKR39 &lt;=14,"Bajo",IF(MKR39&lt;=35,"Medio",IF(MKR39&lt;=80,"Alto","Inviable Sanitariamente"))))</f>
        <v>Bajo</v>
      </c>
      <c r="MKU39" s="117">
        <v>0</v>
      </c>
      <c r="MKY39" s="117">
        <v>0</v>
      </c>
      <c r="MLA39" s="117">
        <v>23.08</v>
      </c>
      <c r="MLG39" s="117">
        <f>AVERAGE(MKU39:MLF39)</f>
        <v>7.6933333333333325</v>
      </c>
      <c r="MLH39" s="117" t="str">
        <f>IF(MLG39&lt;5,"SI","NO")</f>
        <v>NO</v>
      </c>
      <c r="MLI39" s="117" t="str">
        <f>IF(MLG39&lt;5,"Sin Riesgo",IF(MLG39 &lt;=14,"Bajo",IF(MLG39&lt;=35,"Medio",IF(MLG39&lt;=80,"Alto","Inviable Sanitariamente"))))</f>
        <v>Bajo</v>
      </c>
      <c r="MLJ39" s="117">
        <v>0</v>
      </c>
      <c r="MLN39" s="117">
        <v>0</v>
      </c>
      <c r="MLP39" s="117">
        <v>23.08</v>
      </c>
      <c r="MLV39" s="117">
        <f>AVERAGE(MLJ39:MLU39)</f>
        <v>7.6933333333333325</v>
      </c>
      <c r="MLW39" s="117" t="str">
        <f>IF(MLV39&lt;5,"SI","NO")</f>
        <v>NO</v>
      </c>
      <c r="MLX39" s="117" t="str">
        <f>IF(MLV39&lt;5,"Sin Riesgo",IF(MLV39 &lt;=14,"Bajo",IF(MLV39&lt;=35,"Medio",IF(MLV39&lt;=80,"Alto","Inviable Sanitariamente"))))</f>
        <v>Bajo</v>
      </c>
      <c r="MLY39" s="117">
        <v>0</v>
      </c>
      <c r="MMC39" s="117">
        <v>0</v>
      </c>
      <c r="MME39" s="117">
        <v>23.08</v>
      </c>
      <c r="MMK39" s="117">
        <f>AVERAGE(MLY39:MMJ39)</f>
        <v>7.6933333333333325</v>
      </c>
      <c r="MML39" s="117" t="str">
        <f>IF(MMK39&lt;5,"SI","NO")</f>
        <v>NO</v>
      </c>
      <c r="MMM39" s="117" t="str">
        <f>IF(MMK39&lt;5,"Sin Riesgo",IF(MMK39 &lt;=14,"Bajo",IF(MMK39&lt;=35,"Medio",IF(MMK39&lt;=80,"Alto","Inviable Sanitariamente"))))</f>
        <v>Bajo</v>
      </c>
      <c r="MMN39" s="117">
        <v>0</v>
      </c>
      <c r="MMR39" s="117">
        <v>0</v>
      </c>
      <c r="MMT39" s="117">
        <v>23.08</v>
      </c>
      <c r="MMZ39" s="117">
        <f>AVERAGE(MMN39:MMY39)</f>
        <v>7.6933333333333325</v>
      </c>
      <c r="MNA39" s="117" t="str">
        <f>IF(MMZ39&lt;5,"SI","NO")</f>
        <v>NO</v>
      </c>
      <c r="MNB39" s="117" t="str">
        <f>IF(MMZ39&lt;5,"Sin Riesgo",IF(MMZ39 &lt;=14,"Bajo",IF(MMZ39&lt;=35,"Medio",IF(MMZ39&lt;=80,"Alto","Inviable Sanitariamente"))))</f>
        <v>Bajo</v>
      </c>
      <c r="MNC39" s="117">
        <v>0</v>
      </c>
      <c r="MNG39" s="117">
        <v>0</v>
      </c>
      <c r="MNI39" s="117">
        <v>23.08</v>
      </c>
      <c r="MNO39" s="117">
        <f>AVERAGE(MNC39:MNN39)</f>
        <v>7.6933333333333325</v>
      </c>
      <c r="MNP39" s="117" t="str">
        <f>IF(MNO39&lt;5,"SI","NO")</f>
        <v>NO</v>
      </c>
      <c r="MNQ39" s="117" t="str">
        <f>IF(MNO39&lt;5,"Sin Riesgo",IF(MNO39 &lt;=14,"Bajo",IF(MNO39&lt;=35,"Medio",IF(MNO39&lt;=80,"Alto","Inviable Sanitariamente"))))</f>
        <v>Bajo</v>
      </c>
      <c r="MNR39" s="117">
        <v>0</v>
      </c>
      <c r="MNV39" s="117">
        <v>0</v>
      </c>
      <c r="MNX39" s="117">
        <v>23.08</v>
      </c>
      <c r="MOD39" s="117">
        <f>AVERAGE(MNR39:MOC39)</f>
        <v>7.6933333333333325</v>
      </c>
      <c r="MOE39" s="117" t="str">
        <f>IF(MOD39&lt;5,"SI","NO")</f>
        <v>NO</v>
      </c>
      <c r="MOF39" s="117" t="str">
        <f>IF(MOD39&lt;5,"Sin Riesgo",IF(MOD39 &lt;=14,"Bajo",IF(MOD39&lt;=35,"Medio",IF(MOD39&lt;=80,"Alto","Inviable Sanitariamente"))))</f>
        <v>Bajo</v>
      </c>
      <c r="MOG39" s="117">
        <v>0</v>
      </c>
      <c r="MOK39" s="117">
        <v>0</v>
      </c>
      <c r="MOM39" s="117">
        <v>23.08</v>
      </c>
      <c r="MOS39" s="117">
        <f>AVERAGE(MOG39:MOR39)</f>
        <v>7.6933333333333325</v>
      </c>
      <c r="MOT39" s="117" t="str">
        <f>IF(MOS39&lt;5,"SI","NO")</f>
        <v>NO</v>
      </c>
      <c r="MOU39" s="117" t="str">
        <f>IF(MOS39&lt;5,"Sin Riesgo",IF(MOS39 &lt;=14,"Bajo",IF(MOS39&lt;=35,"Medio",IF(MOS39&lt;=80,"Alto","Inviable Sanitariamente"))))</f>
        <v>Bajo</v>
      </c>
      <c r="MOV39" s="117">
        <v>0</v>
      </c>
      <c r="MOZ39" s="117">
        <v>0</v>
      </c>
      <c r="MPB39" s="117">
        <v>23.08</v>
      </c>
      <c r="MPH39" s="117">
        <f>AVERAGE(MOV39:MPG39)</f>
        <v>7.6933333333333325</v>
      </c>
      <c r="MPI39" s="117" t="str">
        <f>IF(MPH39&lt;5,"SI","NO")</f>
        <v>NO</v>
      </c>
      <c r="MPJ39" s="117" t="str">
        <f>IF(MPH39&lt;5,"Sin Riesgo",IF(MPH39 &lt;=14,"Bajo",IF(MPH39&lt;=35,"Medio",IF(MPH39&lt;=80,"Alto","Inviable Sanitariamente"))))</f>
        <v>Bajo</v>
      </c>
      <c r="MPK39" s="117">
        <v>0</v>
      </c>
      <c r="MPO39" s="117">
        <v>0</v>
      </c>
      <c r="MPQ39" s="117">
        <v>23.08</v>
      </c>
      <c r="MPW39" s="117">
        <f>AVERAGE(MPK39:MPV39)</f>
        <v>7.6933333333333325</v>
      </c>
      <c r="MPX39" s="117" t="str">
        <f>IF(MPW39&lt;5,"SI","NO")</f>
        <v>NO</v>
      </c>
      <c r="MPY39" s="117" t="str">
        <f>IF(MPW39&lt;5,"Sin Riesgo",IF(MPW39 &lt;=14,"Bajo",IF(MPW39&lt;=35,"Medio",IF(MPW39&lt;=80,"Alto","Inviable Sanitariamente"))))</f>
        <v>Bajo</v>
      </c>
      <c r="MPZ39" s="117">
        <v>0</v>
      </c>
      <c r="MQD39" s="117">
        <v>0</v>
      </c>
      <c r="MQF39" s="117">
        <v>23.08</v>
      </c>
      <c r="MQL39" s="117">
        <f>AVERAGE(MPZ39:MQK39)</f>
        <v>7.6933333333333325</v>
      </c>
      <c r="MQM39" s="117" t="str">
        <f>IF(MQL39&lt;5,"SI","NO")</f>
        <v>NO</v>
      </c>
      <c r="MQN39" s="117" t="str">
        <f>IF(MQL39&lt;5,"Sin Riesgo",IF(MQL39 &lt;=14,"Bajo",IF(MQL39&lt;=35,"Medio",IF(MQL39&lt;=80,"Alto","Inviable Sanitariamente"))))</f>
        <v>Bajo</v>
      </c>
      <c r="MQO39" s="117">
        <v>0</v>
      </c>
      <c r="MQS39" s="117">
        <v>0</v>
      </c>
      <c r="MQU39" s="117">
        <v>23.08</v>
      </c>
      <c r="MRA39" s="117">
        <f>AVERAGE(MQO39:MQZ39)</f>
        <v>7.6933333333333325</v>
      </c>
      <c r="MRB39" s="117" t="str">
        <f>IF(MRA39&lt;5,"SI","NO")</f>
        <v>NO</v>
      </c>
      <c r="MRC39" s="117" t="str">
        <f>IF(MRA39&lt;5,"Sin Riesgo",IF(MRA39 &lt;=14,"Bajo",IF(MRA39&lt;=35,"Medio",IF(MRA39&lt;=80,"Alto","Inviable Sanitariamente"))))</f>
        <v>Bajo</v>
      </c>
      <c r="MRD39" s="117">
        <v>0</v>
      </c>
      <c r="MRH39" s="117">
        <v>0</v>
      </c>
      <c r="MRJ39" s="117">
        <v>23.08</v>
      </c>
      <c r="MRP39" s="117">
        <f>AVERAGE(MRD39:MRO39)</f>
        <v>7.6933333333333325</v>
      </c>
      <c r="MRQ39" s="117" t="str">
        <f>IF(MRP39&lt;5,"SI","NO")</f>
        <v>NO</v>
      </c>
      <c r="MRR39" s="117" t="str">
        <f>IF(MRP39&lt;5,"Sin Riesgo",IF(MRP39 &lt;=14,"Bajo",IF(MRP39&lt;=35,"Medio",IF(MRP39&lt;=80,"Alto","Inviable Sanitariamente"))))</f>
        <v>Bajo</v>
      </c>
      <c r="MRS39" s="117">
        <v>0</v>
      </c>
      <c r="MRW39" s="117">
        <v>0</v>
      </c>
      <c r="MRY39" s="117">
        <v>23.08</v>
      </c>
      <c r="MSE39" s="117">
        <f>AVERAGE(MRS39:MSD39)</f>
        <v>7.6933333333333325</v>
      </c>
      <c r="MSF39" s="117" t="str">
        <f>IF(MSE39&lt;5,"SI","NO")</f>
        <v>NO</v>
      </c>
      <c r="MSG39" s="117" t="str">
        <f>IF(MSE39&lt;5,"Sin Riesgo",IF(MSE39 &lt;=14,"Bajo",IF(MSE39&lt;=35,"Medio",IF(MSE39&lt;=80,"Alto","Inviable Sanitariamente"))))</f>
        <v>Bajo</v>
      </c>
      <c r="MSH39" s="117">
        <v>0</v>
      </c>
      <c r="MSL39" s="117">
        <v>0</v>
      </c>
      <c r="MSN39" s="117">
        <v>23.08</v>
      </c>
      <c r="MST39" s="117">
        <f>AVERAGE(MSH39:MSS39)</f>
        <v>7.6933333333333325</v>
      </c>
      <c r="MSU39" s="117" t="str">
        <f>IF(MST39&lt;5,"SI","NO")</f>
        <v>NO</v>
      </c>
      <c r="MSV39" s="117" t="str">
        <f>IF(MST39&lt;5,"Sin Riesgo",IF(MST39 &lt;=14,"Bajo",IF(MST39&lt;=35,"Medio",IF(MST39&lt;=80,"Alto","Inviable Sanitariamente"))))</f>
        <v>Bajo</v>
      </c>
      <c r="MSW39" s="117">
        <v>0</v>
      </c>
      <c r="MTA39" s="117">
        <v>0</v>
      </c>
      <c r="MTC39" s="117">
        <v>23.08</v>
      </c>
      <c r="MTI39" s="117">
        <f>AVERAGE(MSW39:MTH39)</f>
        <v>7.6933333333333325</v>
      </c>
      <c r="MTJ39" s="117" t="str">
        <f>IF(MTI39&lt;5,"SI","NO")</f>
        <v>NO</v>
      </c>
      <c r="MTK39" s="117" t="str">
        <f>IF(MTI39&lt;5,"Sin Riesgo",IF(MTI39 &lt;=14,"Bajo",IF(MTI39&lt;=35,"Medio",IF(MTI39&lt;=80,"Alto","Inviable Sanitariamente"))))</f>
        <v>Bajo</v>
      </c>
      <c r="MTL39" s="117">
        <v>0</v>
      </c>
      <c r="MTP39" s="117">
        <v>0</v>
      </c>
      <c r="MTR39" s="117">
        <v>23.08</v>
      </c>
      <c r="MTX39" s="117">
        <f>AVERAGE(MTL39:MTW39)</f>
        <v>7.6933333333333325</v>
      </c>
      <c r="MTY39" s="117" t="str">
        <f>IF(MTX39&lt;5,"SI","NO")</f>
        <v>NO</v>
      </c>
      <c r="MTZ39" s="117" t="str">
        <f>IF(MTX39&lt;5,"Sin Riesgo",IF(MTX39 &lt;=14,"Bajo",IF(MTX39&lt;=35,"Medio",IF(MTX39&lt;=80,"Alto","Inviable Sanitariamente"))))</f>
        <v>Bajo</v>
      </c>
      <c r="MUA39" s="117">
        <v>0</v>
      </c>
      <c r="MUE39" s="117">
        <v>0</v>
      </c>
      <c r="MUG39" s="117">
        <v>23.08</v>
      </c>
      <c r="MUM39" s="117">
        <f>AVERAGE(MUA39:MUL39)</f>
        <v>7.6933333333333325</v>
      </c>
      <c r="MUN39" s="117" t="str">
        <f>IF(MUM39&lt;5,"SI","NO")</f>
        <v>NO</v>
      </c>
      <c r="MUO39" s="117" t="str">
        <f>IF(MUM39&lt;5,"Sin Riesgo",IF(MUM39 &lt;=14,"Bajo",IF(MUM39&lt;=35,"Medio",IF(MUM39&lt;=80,"Alto","Inviable Sanitariamente"))))</f>
        <v>Bajo</v>
      </c>
      <c r="MUP39" s="117">
        <v>0</v>
      </c>
      <c r="MUT39" s="117">
        <v>0</v>
      </c>
      <c r="MUV39" s="117">
        <v>23.08</v>
      </c>
      <c r="MVB39" s="117">
        <f>AVERAGE(MUP39:MVA39)</f>
        <v>7.6933333333333325</v>
      </c>
      <c r="MVC39" s="117" t="str">
        <f>IF(MVB39&lt;5,"SI","NO")</f>
        <v>NO</v>
      </c>
      <c r="MVD39" s="117" t="str">
        <f>IF(MVB39&lt;5,"Sin Riesgo",IF(MVB39 &lt;=14,"Bajo",IF(MVB39&lt;=35,"Medio",IF(MVB39&lt;=80,"Alto","Inviable Sanitariamente"))))</f>
        <v>Bajo</v>
      </c>
      <c r="MVE39" s="117">
        <v>0</v>
      </c>
      <c r="MVI39" s="117">
        <v>0</v>
      </c>
      <c r="MVK39" s="117">
        <v>23.08</v>
      </c>
      <c r="MVQ39" s="117">
        <f>AVERAGE(MVE39:MVP39)</f>
        <v>7.6933333333333325</v>
      </c>
      <c r="MVR39" s="117" t="str">
        <f>IF(MVQ39&lt;5,"SI","NO")</f>
        <v>NO</v>
      </c>
      <c r="MVS39" s="117" t="str">
        <f>IF(MVQ39&lt;5,"Sin Riesgo",IF(MVQ39 &lt;=14,"Bajo",IF(MVQ39&lt;=35,"Medio",IF(MVQ39&lt;=80,"Alto","Inviable Sanitariamente"))))</f>
        <v>Bajo</v>
      </c>
      <c r="MVT39" s="117">
        <v>0</v>
      </c>
      <c r="MVX39" s="117">
        <v>0</v>
      </c>
      <c r="MVZ39" s="117">
        <v>23.08</v>
      </c>
      <c r="MWF39" s="117">
        <f>AVERAGE(MVT39:MWE39)</f>
        <v>7.6933333333333325</v>
      </c>
      <c r="MWG39" s="117" t="str">
        <f>IF(MWF39&lt;5,"SI","NO")</f>
        <v>NO</v>
      </c>
      <c r="MWH39" s="117" t="str">
        <f>IF(MWF39&lt;5,"Sin Riesgo",IF(MWF39 &lt;=14,"Bajo",IF(MWF39&lt;=35,"Medio",IF(MWF39&lt;=80,"Alto","Inviable Sanitariamente"))))</f>
        <v>Bajo</v>
      </c>
      <c r="MWI39" s="117">
        <v>0</v>
      </c>
      <c r="MWM39" s="117">
        <v>0</v>
      </c>
      <c r="MWO39" s="117">
        <v>23.08</v>
      </c>
      <c r="MWU39" s="117">
        <f>AVERAGE(MWI39:MWT39)</f>
        <v>7.6933333333333325</v>
      </c>
      <c r="MWV39" s="117" t="str">
        <f>IF(MWU39&lt;5,"SI","NO")</f>
        <v>NO</v>
      </c>
      <c r="MWW39" s="117" t="str">
        <f>IF(MWU39&lt;5,"Sin Riesgo",IF(MWU39 &lt;=14,"Bajo",IF(MWU39&lt;=35,"Medio",IF(MWU39&lt;=80,"Alto","Inviable Sanitariamente"))))</f>
        <v>Bajo</v>
      </c>
      <c r="MWX39" s="117">
        <v>0</v>
      </c>
      <c r="MXB39" s="117">
        <v>0</v>
      </c>
      <c r="MXD39" s="117">
        <v>23.08</v>
      </c>
      <c r="MXJ39" s="117">
        <f>AVERAGE(MWX39:MXI39)</f>
        <v>7.6933333333333325</v>
      </c>
      <c r="MXK39" s="117" t="str">
        <f>IF(MXJ39&lt;5,"SI","NO")</f>
        <v>NO</v>
      </c>
      <c r="MXL39" s="117" t="str">
        <f>IF(MXJ39&lt;5,"Sin Riesgo",IF(MXJ39 &lt;=14,"Bajo",IF(MXJ39&lt;=35,"Medio",IF(MXJ39&lt;=80,"Alto","Inviable Sanitariamente"))))</f>
        <v>Bajo</v>
      </c>
      <c r="MXM39" s="117">
        <v>0</v>
      </c>
      <c r="MXQ39" s="117">
        <v>0</v>
      </c>
      <c r="MXS39" s="117">
        <v>23.08</v>
      </c>
      <c r="MXY39" s="117">
        <f>AVERAGE(MXM39:MXX39)</f>
        <v>7.6933333333333325</v>
      </c>
      <c r="MXZ39" s="117" t="str">
        <f>IF(MXY39&lt;5,"SI","NO")</f>
        <v>NO</v>
      </c>
      <c r="MYA39" s="117" t="str">
        <f>IF(MXY39&lt;5,"Sin Riesgo",IF(MXY39 &lt;=14,"Bajo",IF(MXY39&lt;=35,"Medio",IF(MXY39&lt;=80,"Alto","Inviable Sanitariamente"))))</f>
        <v>Bajo</v>
      </c>
      <c r="MYB39" s="117">
        <v>0</v>
      </c>
      <c r="MYF39" s="117">
        <v>0</v>
      </c>
      <c r="MYH39" s="117">
        <v>23.08</v>
      </c>
      <c r="MYN39" s="117">
        <f>AVERAGE(MYB39:MYM39)</f>
        <v>7.6933333333333325</v>
      </c>
      <c r="MYO39" s="117" t="str">
        <f>IF(MYN39&lt;5,"SI","NO")</f>
        <v>NO</v>
      </c>
      <c r="MYP39" s="117" t="str">
        <f>IF(MYN39&lt;5,"Sin Riesgo",IF(MYN39 &lt;=14,"Bajo",IF(MYN39&lt;=35,"Medio",IF(MYN39&lt;=80,"Alto","Inviable Sanitariamente"))))</f>
        <v>Bajo</v>
      </c>
      <c r="MYQ39" s="117">
        <v>0</v>
      </c>
      <c r="MYU39" s="117">
        <v>0</v>
      </c>
      <c r="MYW39" s="117">
        <v>23.08</v>
      </c>
      <c r="MZC39" s="117">
        <f>AVERAGE(MYQ39:MZB39)</f>
        <v>7.6933333333333325</v>
      </c>
      <c r="MZD39" s="117" t="str">
        <f>IF(MZC39&lt;5,"SI","NO")</f>
        <v>NO</v>
      </c>
      <c r="MZE39" s="117" t="str">
        <f>IF(MZC39&lt;5,"Sin Riesgo",IF(MZC39 &lt;=14,"Bajo",IF(MZC39&lt;=35,"Medio",IF(MZC39&lt;=80,"Alto","Inviable Sanitariamente"))))</f>
        <v>Bajo</v>
      </c>
      <c r="MZF39" s="117">
        <v>0</v>
      </c>
      <c r="MZJ39" s="117">
        <v>0</v>
      </c>
      <c r="MZL39" s="117">
        <v>23.08</v>
      </c>
      <c r="MZR39" s="117">
        <f>AVERAGE(MZF39:MZQ39)</f>
        <v>7.6933333333333325</v>
      </c>
      <c r="MZS39" s="117" t="str">
        <f>IF(MZR39&lt;5,"SI","NO")</f>
        <v>NO</v>
      </c>
      <c r="MZT39" s="117" t="str">
        <f>IF(MZR39&lt;5,"Sin Riesgo",IF(MZR39 &lt;=14,"Bajo",IF(MZR39&lt;=35,"Medio",IF(MZR39&lt;=80,"Alto","Inviable Sanitariamente"))))</f>
        <v>Bajo</v>
      </c>
      <c r="MZU39" s="117">
        <v>0</v>
      </c>
      <c r="MZY39" s="117">
        <v>0</v>
      </c>
      <c r="NAA39" s="117">
        <v>23.08</v>
      </c>
      <c r="NAG39" s="117">
        <f>AVERAGE(MZU39:NAF39)</f>
        <v>7.6933333333333325</v>
      </c>
      <c r="NAH39" s="117" t="str">
        <f>IF(NAG39&lt;5,"SI","NO")</f>
        <v>NO</v>
      </c>
      <c r="NAI39" s="117" t="str">
        <f>IF(NAG39&lt;5,"Sin Riesgo",IF(NAG39 &lt;=14,"Bajo",IF(NAG39&lt;=35,"Medio",IF(NAG39&lt;=80,"Alto","Inviable Sanitariamente"))))</f>
        <v>Bajo</v>
      </c>
      <c r="NAJ39" s="117">
        <v>0</v>
      </c>
      <c r="NAN39" s="117">
        <v>0</v>
      </c>
      <c r="NAP39" s="117">
        <v>23.08</v>
      </c>
      <c r="NAV39" s="117">
        <f>AVERAGE(NAJ39:NAU39)</f>
        <v>7.6933333333333325</v>
      </c>
      <c r="NAW39" s="117" t="str">
        <f>IF(NAV39&lt;5,"SI","NO")</f>
        <v>NO</v>
      </c>
      <c r="NAX39" s="117" t="str">
        <f>IF(NAV39&lt;5,"Sin Riesgo",IF(NAV39 &lt;=14,"Bajo",IF(NAV39&lt;=35,"Medio",IF(NAV39&lt;=80,"Alto","Inviable Sanitariamente"))))</f>
        <v>Bajo</v>
      </c>
      <c r="NAY39" s="117">
        <v>0</v>
      </c>
      <c r="NBC39" s="117">
        <v>0</v>
      </c>
      <c r="NBE39" s="117">
        <v>23.08</v>
      </c>
      <c r="NBK39" s="117">
        <f>AVERAGE(NAY39:NBJ39)</f>
        <v>7.6933333333333325</v>
      </c>
      <c r="NBL39" s="117" t="str">
        <f>IF(NBK39&lt;5,"SI","NO")</f>
        <v>NO</v>
      </c>
      <c r="NBM39" s="117" t="str">
        <f>IF(NBK39&lt;5,"Sin Riesgo",IF(NBK39 &lt;=14,"Bajo",IF(NBK39&lt;=35,"Medio",IF(NBK39&lt;=80,"Alto","Inviable Sanitariamente"))))</f>
        <v>Bajo</v>
      </c>
      <c r="NBN39" s="117">
        <v>0</v>
      </c>
      <c r="NBR39" s="117">
        <v>0</v>
      </c>
      <c r="NBT39" s="117">
        <v>23.08</v>
      </c>
      <c r="NBZ39" s="117">
        <f>AVERAGE(NBN39:NBY39)</f>
        <v>7.6933333333333325</v>
      </c>
      <c r="NCA39" s="117" t="str">
        <f>IF(NBZ39&lt;5,"SI","NO")</f>
        <v>NO</v>
      </c>
      <c r="NCB39" s="117" t="str">
        <f>IF(NBZ39&lt;5,"Sin Riesgo",IF(NBZ39 &lt;=14,"Bajo",IF(NBZ39&lt;=35,"Medio",IF(NBZ39&lt;=80,"Alto","Inviable Sanitariamente"))))</f>
        <v>Bajo</v>
      </c>
      <c r="NCC39" s="117">
        <v>0</v>
      </c>
      <c r="NCG39" s="117">
        <v>0</v>
      </c>
      <c r="NCI39" s="117">
        <v>23.08</v>
      </c>
      <c r="NCO39" s="117">
        <f>AVERAGE(NCC39:NCN39)</f>
        <v>7.6933333333333325</v>
      </c>
      <c r="NCP39" s="117" t="str">
        <f>IF(NCO39&lt;5,"SI","NO")</f>
        <v>NO</v>
      </c>
      <c r="NCQ39" s="117" t="str">
        <f>IF(NCO39&lt;5,"Sin Riesgo",IF(NCO39 &lt;=14,"Bajo",IF(NCO39&lt;=35,"Medio",IF(NCO39&lt;=80,"Alto","Inviable Sanitariamente"))))</f>
        <v>Bajo</v>
      </c>
      <c r="NCR39" s="117">
        <v>0</v>
      </c>
      <c r="NCV39" s="117">
        <v>0</v>
      </c>
      <c r="NCX39" s="117">
        <v>23.08</v>
      </c>
      <c r="NDD39" s="117">
        <f>AVERAGE(NCR39:NDC39)</f>
        <v>7.6933333333333325</v>
      </c>
      <c r="NDE39" s="117" t="str">
        <f>IF(NDD39&lt;5,"SI","NO")</f>
        <v>NO</v>
      </c>
      <c r="NDF39" s="117" t="str">
        <f>IF(NDD39&lt;5,"Sin Riesgo",IF(NDD39 &lt;=14,"Bajo",IF(NDD39&lt;=35,"Medio",IF(NDD39&lt;=80,"Alto","Inviable Sanitariamente"))))</f>
        <v>Bajo</v>
      </c>
      <c r="NDG39" s="117">
        <v>0</v>
      </c>
      <c r="NDK39" s="117">
        <v>0</v>
      </c>
      <c r="NDM39" s="117">
        <v>23.08</v>
      </c>
      <c r="NDS39" s="117">
        <f>AVERAGE(NDG39:NDR39)</f>
        <v>7.6933333333333325</v>
      </c>
      <c r="NDT39" s="117" t="str">
        <f>IF(NDS39&lt;5,"SI","NO")</f>
        <v>NO</v>
      </c>
      <c r="NDU39" s="117" t="str">
        <f>IF(NDS39&lt;5,"Sin Riesgo",IF(NDS39 &lt;=14,"Bajo",IF(NDS39&lt;=35,"Medio",IF(NDS39&lt;=80,"Alto","Inviable Sanitariamente"))))</f>
        <v>Bajo</v>
      </c>
      <c r="NDV39" s="117">
        <v>0</v>
      </c>
      <c r="NDZ39" s="117">
        <v>0</v>
      </c>
      <c r="NEB39" s="117">
        <v>23.08</v>
      </c>
      <c r="NEH39" s="117">
        <f>AVERAGE(NDV39:NEG39)</f>
        <v>7.6933333333333325</v>
      </c>
      <c r="NEI39" s="117" t="str">
        <f>IF(NEH39&lt;5,"SI","NO")</f>
        <v>NO</v>
      </c>
      <c r="NEJ39" s="117" t="str">
        <f>IF(NEH39&lt;5,"Sin Riesgo",IF(NEH39 &lt;=14,"Bajo",IF(NEH39&lt;=35,"Medio",IF(NEH39&lt;=80,"Alto","Inviable Sanitariamente"))))</f>
        <v>Bajo</v>
      </c>
      <c r="NEK39" s="117">
        <v>0</v>
      </c>
      <c r="NEO39" s="117">
        <v>0</v>
      </c>
      <c r="NEQ39" s="117">
        <v>23.08</v>
      </c>
      <c r="NEW39" s="117">
        <f>AVERAGE(NEK39:NEV39)</f>
        <v>7.6933333333333325</v>
      </c>
      <c r="NEX39" s="117" t="str">
        <f>IF(NEW39&lt;5,"SI","NO")</f>
        <v>NO</v>
      </c>
      <c r="NEY39" s="117" t="str">
        <f>IF(NEW39&lt;5,"Sin Riesgo",IF(NEW39 &lt;=14,"Bajo",IF(NEW39&lt;=35,"Medio",IF(NEW39&lt;=80,"Alto","Inviable Sanitariamente"))))</f>
        <v>Bajo</v>
      </c>
      <c r="NEZ39" s="117">
        <v>0</v>
      </c>
      <c r="NFD39" s="117">
        <v>0</v>
      </c>
      <c r="NFF39" s="117">
        <v>23.08</v>
      </c>
      <c r="NFL39" s="117">
        <f>AVERAGE(NEZ39:NFK39)</f>
        <v>7.6933333333333325</v>
      </c>
      <c r="NFM39" s="117" t="str">
        <f>IF(NFL39&lt;5,"SI","NO")</f>
        <v>NO</v>
      </c>
      <c r="NFN39" s="117" t="str">
        <f>IF(NFL39&lt;5,"Sin Riesgo",IF(NFL39 &lt;=14,"Bajo",IF(NFL39&lt;=35,"Medio",IF(NFL39&lt;=80,"Alto","Inviable Sanitariamente"))))</f>
        <v>Bajo</v>
      </c>
      <c r="NFO39" s="117">
        <v>0</v>
      </c>
      <c r="NFS39" s="117">
        <v>0</v>
      </c>
      <c r="NFU39" s="117">
        <v>23.08</v>
      </c>
      <c r="NGA39" s="117">
        <f>AVERAGE(NFO39:NFZ39)</f>
        <v>7.6933333333333325</v>
      </c>
      <c r="NGB39" s="117" t="str">
        <f>IF(NGA39&lt;5,"SI","NO")</f>
        <v>NO</v>
      </c>
      <c r="NGC39" s="117" t="str">
        <f>IF(NGA39&lt;5,"Sin Riesgo",IF(NGA39 &lt;=14,"Bajo",IF(NGA39&lt;=35,"Medio",IF(NGA39&lt;=80,"Alto","Inviable Sanitariamente"))))</f>
        <v>Bajo</v>
      </c>
      <c r="NGD39" s="117">
        <v>0</v>
      </c>
      <c r="NGH39" s="117">
        <v>0</v>
      </c>
      <c r="NGJ39" s="117">
        <v>23.08</v>
      </c>
      <c r="NGP39" s="117">
        <f>AVERAGE(NGD39:NGO39)</f>
        <v>7.6933333333333325</v>
      </c>
      <c r="NGQ39" s="117" t="str">
        <f>IF(NGP39&lt;5,"SI","NO")</f>
        <v>NO</v>
      </c>
      <c r="NGR39" s="117" t="str">
        <f>IF(NGP39&lt;5,"Sin Riesgo",IF(NGP39 &lt;=14,"Bajo",IF(NGP39&lt;=35,"Medio",IF(NGP39&lt;=80,"Alto","Inviable Sanitariamente"))))</f>
        <v>Bajo</v>
      </c>
      <c r="NGS39" s="117">
        <v>0</v>
      </c>
      <c r="NGW39" s="117">
        <v>0</v>
      </c>
      <c r="NGY39" s="117">
        <v>23.08</v>
      </c>
      <c r="NHE39" s="117">
        <f>AVERAGE(NGS39:NHD39)</f>
        <v>7.6933333333333325</v>
      </c>
      <c r="NHF39" s="117" t="str">
        <f>IF(NHE39&lt;5,"SI","NO")</f>
        <v>NO</v>
      </c>
      <c r="NHG39" s="117" t="str">
        <f>IF(NHE39&lt;5,"Sin Riesgo",IF(NHE39 &lt;=14,"Bajo",IF(NHE39&lt;=35,"Medio",IF(NHE39&lt;=80,"Alto","Inviable Sanitariamente"))))</f>
        <v>Bajo</v>
      </c>
      <c r="NHH39" s="117">
        <v>0</v>
      </c>
      <c r="NHL39" s="117">
        <v>0</v>
      </c>
      <c r="NHN39" s="117">
        <v>23.08</v>
      </c>
      <c r="NHT39" s="117">
        <f>AVERAGE(NHH39:NHS39)</f>
        <v>7.6933333333333325</v>
      </c>
      <c r="NHU39" s="117" t="str">
        <f>IF(NHT39&lt;5,"SI","NO")</f>
        <v>NO</v>
      </c>
      <c r="NHV39" s="117" t="str">
        <f>IF(NHT39&lt;5,"Sin Riesgo",IF(NHT39 &lt;=14,"Bajo",IF(NHT39&lt;=35,"Medio",IF(NHT39&lt;=80,"Alto","Inviable Sanitariamente"))))</f>
        <v>Bajo</v>
      </c>
      <c r="NHW39" s="117">
        <v>0</v>
      </c>
      <c r="NIA39" s="117">
        <v>0</v>
      </c>
      <c r="NIC39" s="117">
        <v>23.08</v>
      </c>
      <c r="NII39" s="117">
        <f>AVERAGE(NHW39:NIH39)</f>
        <v>7.6933333333333325</v>
      </c>
      <c r="NIJ39" s="117" t="str">
        <f>IF(NII39&lt;5,"SI","NO")</f>
        <v>NO</v>
      </c>
      <c r="NIK39" s="117" t="str">
        <f>IF(NII39&lt;5,"Sin Riesgo",IF(NII39 &lt;=14,"Bajo",IF(NII39&lt;=35,"Medio",IF(NII39&lt;=80,"Alto","Inviable Sanitariamente"))))</f>
        <v>Bajo</v>
      </c>
      <c r="NIL39" s="117">
        <v>0</v>
      </c>
      <c r="NIP39" s="117">
        <v>0</v>
      </c>
      <c r="NIR39" s="117">
        <v>23.08</v>
      </c>
      <c r="NIX39" s="117">
        <f>AVERAGE(NIL39:NIW39)</f>
        <v>7.6933333333333325</v>
      </c>
      <c r="NIY39" s="117" t="str">
        <f>IF(NIX39&lt;5,"SI","NO")</f>
        <v>NO</v>
      </c>
      <c r="NIZ39" s="117" t="str">
        <f>IF(NIX39&lt;5,"Sin Riesgo",IF(NIX39 &lt;=14,"Bajo",IF(NIX39&lt;=35,"Medio",IF(NIX39&lt;=80,"Alto","Inviable Sanitariamente"))))</f>
        <v>Bajo</v>
      </c>
      <c r="NJA39" s="117">
        <v>0</v>
      </c>
      <c r="NJE39" s="117">
        <v>0</v>
      </c>
      <c r="NJG39" s="117">
        <v>23.08</v>
      </c>
      <c r="NJM39" s="117">
        <f>AVERAGE(NJA39:NJL39)</f>
        <v>7.6933333333333325</v>
      </c>
      <c r="NJN39" s="117" t="str">
        <f>IF(NJM39&lt;5,"SI","NO")</f>
        <v>NO</v>
      </c>
      <c r="NJO39" s="117" t="str">
        <f>IF(NJM39&lt;5,"Sin Riesgo",IF(NJM39 &lt;=14,"Bajo",IF(NJM39&lt;=35,"Medio",IF(NJM39&lt;=80,"Alto","Inviable Sanitariamente"))))</f>
        <v>Bajo</v>
      </c>
      <c r="NJP39" s="117">
        <v>0</v>
      </c>
      <c r="NJT39" s="117">
        <v>0</v>
      </c>
      <c r="NJV39" s="117">
        <v>23.08</v>
      </c>
      <c r="NKB39" s="117">
        <f>AVERAGE(NJP39:NKA39)</f>
        <v>7.6933333333333325</v>
      </c>
      <c r="NKC39" s="117" t="str">
        <f>IF(NKB39&lt;5,"SI","NO")</f>
        <v>NO</v>
      </c>
      <c r="NKD39" s="117" t="str">
        <f>IF(NKB39&lt;5,"Sin Riesgo",IF(NKB39 &lt;=14,"Bajo",IF(NKB39&lt;=35,"Medio",IF(NKB39&lt;=80,"Alto","Inviable Sanitariamente"))))</f>
        <v>Bajo</v>
      </c>
      <c r="NKE39" s="117">
        <v>0</v>
      </c>
      <c r="NKI39" s="117">
        <v>0</v>
      </c>
      <c r="NKK39" s="117">
        <v>23.08</v>
      </c>
      <c r="NKQ39" s="117">
        <f>AVERAGE(NKE39:NKP39)</f>
        <v>7.6933333333333325</v>
      </c>
      <c r="NKR39" s="117" t="str">
        <f>IF(NKQ39&lt;5,"SI","NO")</f>
        <v>NO</v>
      </c>
      <c r="NKS39" s="117" t="str">
        <f>IF(NKQ39&lt;5,"Sin Riesgo",IF(NKQ39 &lt;=14,"Bajo",IF(NKQ39&lt;=35,"Medio",IF(NKQ39&lt;=80,"Alto","Inviable Sanitariamente"))))</f>
        <v>Bajo</v>
      </c>
      <c r="NKT39" s="117">
        <v>0</v>
      </c>
      <c r="NKX39" s="117">
        <v>0</v>
      </c>
      <c r="NKZ39" s="117">
        <v>23.08</v>
      </c>
      <c r="NLF39" s="117">
        <f>AVERAGE(NKT39:NLE39)</f>
        <v>7.6933333333333325</v>
      </c>
      <c r="NLG39" s="117" t="str">
        <f>IF(NLF39&lt;5,"SI","NO")</f>
        <v>NO</v>
      </c>
      <c r="NLH39" s="117" t="str">
        <f>IF(NLF39&lt;5,"Sin Riesgo",IF(NLF39 &lt;=14,"Bajo",IF(NLF39&lt;=35,"Medio",IF(NLF39&lt;=80,"Alto","Inviable Sanitariamente"))))</f>
        <v>Bajo</v>
      </c>
      <c r="NLI39" s="117">
        <v>0</v>
      </c>
      <c r="NLM39" s="117">
        <v>0</v>
      </c>
      <c r="NLO39" s="117">
        <v>23.08</v>
      </c>
      <c r="NLU39" s="117">
        <f>AVERAGE(NLI39:NLT39)</f>
        <v>7.6933333333333325</v>
      </c>
      <c r="NLV39" s="117" t="str">
        <f>IF(NLU39&lt;5,"SI","NO")</f>
        <v>NO</v>
      </c>
      <c r="NLW39" s="117" t="str">
        <f>IF(NLU39&lt;5,"Sin Riesgo",IF(NLU39 &lt;=14,"Bajo",IF(NLU39&lt;=35,"Medio",IF(NLU39&lt;=80,"Alto","Inviable Sanitariamente"))))</f>
        <v>Bajo</v>
      </c>
      <c r="NLX39" s="117">
        <v>0</v>
      </c>
      <c r="NMB39" s="117">
        <v>0</v>
      </c>
      <c r="NMD39" s="117">
        <v>23.08</v>
      </c>
      <c r="NMJ39" s="117">
        <f>AVERAGE(NLX39:NMI39)</f>
        <v>7.6933333333333325</v>
      </c>
      <c r="NMK39" s="117" t="str">
        <f>IF(NMJ39&lt;5,"SI","NO")</f>
        <v>NO</v>
      </c>
      <c r="NML39" s="117" t="str">
        <f>IF(NMJ39&lt;5,"Sin Riesgo",IF(NMJ39 &lt;=14,"Bajo",IF(NMJ39&lt;=35,"Medio",IF(NMJ39&lt;=80,"Alto","Inviable Sanitariamente"))))</f>
        <v>Bajo</v>
      </c>
      <c r="NMM39" s="117">
        <v>0</v>
      </c>
      <c r="NMQ39" s="117">
        <v>0</v>
      </c>
      <c r="NMS39" s="117">
        <v>23.08</v>
      </c>
      <c r="NMY39" s="117">
        <f>AVERAGE(NMM39:NMX39)</f>
        <v>7.6933333333333325</v>
      </c>
      <c r="NMZ39" s="117" t="str">
        <f>IF(NMY39&lt;5,"SI","NO")</f>
        <v>NO</v>
      </c>
      <c r="NNA39" s="117" t="str">
        <f>IF(NMY39&lt;5,"Sin Riesgo",IF(NMY39 &lt;=14,"Bajo",IF(NMY39&lt;=35,"Medio",IF(NMY39&lt;=80,"Alto","Inviable Sanitariamente"))))</f>
        <v>Bajo</v>
      </c>
      <c r="NNB39" s="117">
        <v>0</v>
      </c>
      <c r="NNF39" s="117">
        <v>0</v>
      </c>
      <c r="NNH39" s="117">
        <v>23.08</v>
      </c>
      <c r="NNN39" s="117">
        <f>AVERAGE(NNB39:NNM39)</f>
        <v>7.6933333333333325</v>
      </c>
      <c r="NNO39" s="117" t="str">
        <f>IF(NNN39&lt;5,"SI","NO")</f>
        <v>NO</v>
      </c>
      <c r="NNP39" s="117" t="str">
        <f>IF(NNN39&lt;5,"Sin Riesgo",IF(NNN39 &lt;=14,"Bajo",IF(NNN39&lt;=35,"Medio",IF(NNN39&lt;=80,"Alto","Inviable Sanitariamente"))))</f>
        <v>Bajo</v>
      </c>
      <c r="NNQ39" s="117">
        <v>0</v>
      </c>
      <c r="NNU39" s="117">
        <v>0</v>
      </c>
      <c r="NNW39" s="117">
        <v>23.08</v>
      </c>
      <c r="NOC39" s="117">
        <f>AVERAGE(NNQ39:NOB39)</f>
        <v>7.6933333333333325</v>
      </c>
      <c r="NOD39" s="117" t="str">
        <f>IF(NOC39&lt;5,"SI","NO")</f>
        <v>NO</v>
      </c>
      <c r="NOE39" s="117" t="str">
        <f>IF(NOC39&lt;5,"Sin Riesgo",IF(NOC39 &lt;=14,"Bajo",IF(NOC39&lt;=35,"Medio",IF(NOC39&lt;=80,"Alto","Inviable Sanitariamente"))))</f>
        <v>Bajo</v>
      </c>
      <c r="NOF39" s="117">
        <v>0</v>
      </c>
      <c r="NOJ39" s="117">
        <v>0</v>
      </c>
      <c r="NOL39" s="117">
        <v>23.08</v>
      </c>
      <c r="NOR39" s="117">
        <f>AVERAGE(NOF39:NOQ39)</f>
        <v>7.6933333333333325</v>
      </c>
      <c r="NOS39" s="117" t="str">
        <f>IF(NOR39&lt;5,"SI","NO")</f>
        <v>NO</v>
      </c>
      <c r="NOT39" s="117" t="str">
        <f>IF(NOR39&lt;5,"Sin Riesgo",IF(NOR39 &lt;=14,"Bajo",IF(NOR39&lt;=35,"Medio",IF(NOR39&lt;=80,"Alto","Inviable Sanitariamente"))))</f>
        <v>Bajo</v>
      </c>
      <c r="NOU39" s="117">
        <v>0</v>
      </c>
      <c r="NOY39" s="117">
        <v>0</v>
      </c>
      <c r="NPA39" s="117">
        <v>23.08</v>
      </c>
      <c r="NPG39" s="117">
        <f>AVERAGE(NOU39:NPF39)</f>
        <v>7.6933333333333325</v>
      </c>
      <c r="NPH39" s="117" t="str">
        <f>IF(NPG39&lt;5,"SI","NO")</f>
        <v>NO</v>
      </c>
      <c r="NPI39" s="117" t="str">
        <f>IF(NPG39&lt;5,"Sin Riesgo",IF(NPG39 &lt;=14,"Bajo",IF(NPG39&lt;=35,"Medio",IF(NPG39&lt;=80,"Alto","Inviable Sanitariamente"))))</f>
        <v>Bajo</v>
      </c>
      <c r="NPJ39" s="117">
        <v>0</v>
      </c>
      <c r="NPN39" s="117">
        <v>0</v>
      </c>
      <c r="NPP39" s="117">
        <v>23.08</v>
      </c>
      <c r="NPV39" s="117">
        <f>AVERAGE(NPJ39:NPU39)</f>
        <v>7.6933333333333325</v>
      </c>
      <c r="NPW39" s="117" t="str">
        <f>IF(NPV39&lt;5,"SI","NO")</f>
        <v>NO</v>
      </c>
      <c r="NPX39" s="117" t="str">
        <f>IF(NPV39&lt;5,"Sin Riesgo",IF(NPV39 &lt;=14,"Bajo",IF(NPV39&lt;=35,"Medio",IF(NPV39&lt;=80,"Alto","Inviable Sanitariamente"))))</f>
        <v>Bajo</v>
      </c>
      <c r="NPY39" s="117">
        <v>0</v>
      </c>
      <c r="NQC39" s="117">
        <v>0</v>
      </c>
      <c r="NQE39" s="117">
        <v>23.08</v>
      </c>
      <c r="NQK39" s="117">
        <f>AVERAGE(NPY39:NQJ39)</f>
        <v>7.6933333333333325</v>
      </c>
      <c r="NQL39" s="117" t="str">
        <f>IF(NQK39&lt;5,"SI","NO")</f>
        <v>NO</v>
      </c>
      <c r="NQM39" s="117" t="str">
        <f>IF(NQK39&lt;5,"Sin Riesgo",IF(NQK39 &lt;=14,"Bajo",IF(NQK39&lt;=35,"Medio",IF(NQK39&lt;=80,"Alto","Inviable Sanitariamente"))))</f>
        <v>Bajo</v>
      </c>
      <c r="NQN39" s="117">
        <v>0</v>
      </c>
      <c r="NQR39" s="117">
        <v>0</v>
      </c>
      <c r="NQT39" s="117">
        <v>23.08</v>
      </c>
      <c r="NQZ39" s="117">
        <f>AVERAGE(NQN39:NQY39)</f>
        <v>7.6933333333333325</v>
      </c>
      <c r="NRA39" s="117" t="str">
        <f>IF(NQZ39&lt;5,"SI","NO")</f>
        <v>NO</v>
      </c>
      <c r="NRB39" s="117" t="str">
        <f>IF(NQZ39&lt;5,"Sin Riesgo",IF(NQZ39 &lt;=14,"Bajo",IF(NQZ39&lt;=35,"Medio",IF(NQZ39&lt;=80,"Alto","Inviable Sanitariamente"))))</f>
        <v>Bajo</v>
      </c>
      <c r="NRC39" s="117">
        <v>0</v>
      </c>
      <c r="NRG39" s="117">
        <v>0</v>
      </c>
      <c r="NRI39" s="117">
        <v>23.08</v>
      </c>
      <c r="NRO39" s="117">
        <f>AVERAGE(NRC39:NRN39)</f>
        <v>7.6933333333333325</v>
      </c>
      <c r="NRP39" s="117" t="str">
        <f>IF(NRO39&lt;5,"SI","NO")</f>
        <v>NO</v>
      </c>
      <c r="NRQ39" s="117" t="str">
        <f>IF(NRO39&lt;5,"Sin Riesgo",IF(NRO39 &lt;=14,"Bajo",IF(NRO39&lt;=35,"Medio",IF(NRO39&lt;=80,"Alto","Inviable Sanitariamente"))))</f>
        <v>Bajo</v>
      </c>
      <c r="NRR39" s="117">
        <v>0</v>
      </c>
      <c r="NRV39" s="117">
        <v>0</v>
      </c>
      <c r="NRX39" s="117">
        <v>23.08</v>
      </c>
      <c r="NSD39" s="117">
        <f>AVERAGE(NRR39:NSC39)</f>
        <v>7.6933333333333325</v>
      </c>
      <c r="NSE39" s="117" t="str">
        <f>IF(NSD39&lt;5,"SI","NO")</f>
        <v>NO</v>
      </c>
      <c r="NSF39" s="117" t="str">
        <f>IF(NSD39&lt;5,"Sin Riesgo",IF(NSD39 &lt;=14,"Bajo",IF(NSD39&lt;=35,"Medio",IF(NSD39&lt;=80,"Alto","Inviable Sanitariamente"))))</f>
        <v>Bajo</v>
      </c>
      <c r="NSG39" s="117">
        <v>0</v>
      </c>
      <c r="NSK39" s="117">
        <v>0</v>
      </c>
      <c r="NSM39" s="117">
        <v>23.08</v>
      </c>
      <c r="NSS39" s="117">
        <f>AVERAGE(NSG39:NSR39)</f>
        <v>7.6933333333333325</v>
      </c>
      <c r="NST39" s="117" t="str">
        <f>IF(NSS39&lt;5,"SI","NO")</f>
        <v>NO</v>
      </c>
      <c r="NSU39" s="117" t="str">
        <f>IF(NSS39&lt;5,"Sin Riesgo",IF(NSS39 &lt;=14,"Bajo",IF(NSS39&lt;=35,"Medio",IF(NSS39&lt;=80,"Alto","Inviable Sanitariamente"))))</f>
        <v>Bajo</v>
      </c>
      <c r="NSV39" s="117">
        <v>0</v>
      </c>
      <c r="NSZ39" s="117">
        <v>0</v>
      </c>
      <c r="NTB39" s="117">
        <v>23.08</v>
      </c>
      <c r="NTH39" s="117">
        <f>AVERAGE(NSV39:NTG39)</f>
        <v>7.6933333333333325</v>
      </c>
      <c r="NTI39" s="117" t="str">
        <f>IF(NTH39&lt;5,"SI","NO")</f>
        <v>NO</v>
      </c>
      <c r="NTJ39" s="117" t="str">
        <f>IF(NTH39&lt;5,"Sin Riesgo",IF(NTH39 &lt;=14,"Bajo",IF(NTH39&lt;=35,"Medio",IF(NTH39&lt;=80,"Alto","Inviable Sanitariamente"))))</f>
        <v>Bajo</v>
      </c>
      <c r="NTK39" s="117">
        <v>0</v>
      </c>
      <c r="NTO39" s="117">
        <v>0</v>
      </c>
      <c r="NTQ39" s="117">
        <v>23.08</v>
      </c>
      <c r="NTW39" s="117">
        <f>AVERAGE(NTK39:NTV39)</f>
        <v>7.6933333333333325</v>
      </c>
      <c r="NTX39" s="117" t="str">
        <f>IF(NTW39&lt;5,"SI","NO")</f>
        <v>NO</v>
      </c>
      <c r="NTY39" s="117" t="str">
        <f>IF(NTW39&lt;5,"Sin Riesgo",IF(NTW39 &lt;=14,"Bajo",IF(NTW39&lt;=35,"Medio",IF(NTW39&lt;=80,"Alto","Inviable Sanitariamente"))))</f>
        <v>Bajo</v>
      </c>
      <c r="NTZ39" s="117">
        <v>0</v>
      </c>
      <c r="NUD39" s="117">
        <v>0</v>
      </c>
      <c r="NUF39" s="117">
        <v>23.08</v>
      </c>
      <c r="NUL39" s="117">
        <f>AVERAGE(NTZ39:NUK39)</f>
        <v>7.6933333333333325</v>
      </c>
      <c r="NUM39" s="117" t="str">
        <f>IF(NUL39&lt;5,"SI","NO")</f>
        <v>NO</v>
      </c>
      <c r="NUN39" s="117" t="str">
        <f>IF(NUL39&lt;5,"Sin Riesgo",IF(NUL39 &lt;=14,"Bajo",IF(NUL39&lt;=35,"Medio",IF(NUL39&lt;=80,"Alto","Inviable Sanitariamente"))))</f>
        <v>Bajo</v>
      </c>
      <c r="NUO39" s="117">
        <v>0</v>
      </c>
      <c r="NUS39" s="117">
        <v>0</v>
      </c>
      <c r="NUU39" s="117">
        <v>23.08</v>
      </c>
      <c r="NVA39" s="117">
        <f>AVERAGE(NUO39:NUZ39)</f>
        <v>7.6933333333333325</v>
      </c>
      <c r="NVB39" s="117" t="str">
        <f>IF(NVA39&lt;5,"SI","NO")</f>
        <v>NO</v>
      </c>
      <c r="NVC39" s="117" t="str">
        <f>IF(NVA39&lt;5,"Sin Riesgo",IF(NVA39 &lt;=14,"Bajo",IF(NVA39&lt;=35,"Medio",IF(NVA39&lt;=80,"Alto","Inviable Sanitariamente"))))</f>
        <v>Bajo</v>
      </c>
      <c r="NVD39" s="117">
        <v>0</v>
      </c>
      <c r="NVH39" s="117">
        <v>0</v>
      </c>
      <c r="NVJ39" s="117">
        <v>23.08</v>
      </c>
      <c r="NVP39" s="117">
        <f>AVERAGE(NVD39:NVO39)</f>
        <v>7.6933333333333325</v>
      </c>
      <c r="NVQ39" s="117" t="str">
        <f>IF(NVP39&lt;5,"SI","NO")</f>
        <v>NO</v>
      </c>
      <c r="NVR39" s="117" t="str">
        <f>IF(NVP39&lt;5,"Sin Riesgo",IF(NVP39 &lt;=14,"Bajo",IF(NVP39&lt;=35,"Medio",IF(NVP39&lt;=80,"Alto","Inviable Sanitariamente"))))</f>
        <v>Bajo</v>
      </c>
      <c r="NVS39" s="117">
        <v>0</v>
      </c>
      <c r="NVW39" s="117">
        <v>0</v>
      </c>
      <c r="NVY39" s="117">
        <v>23.08</v>
      </c>
      <c r="NWE39" s="117">
        <f>AVERAGE(NVS39:NWD39)</f>
        <v>7.6933333333333325</v>
      </c>
      <c r="NWF39" s="117" t="str">
        <f>IF(NWE39&lt;5,"SI","NO")</f>
        <v>NO</v>
      </c>
      <c r="NWG39" s="117" t="str">
        <f>IF(NWE39&lt;5,"Sin Riesgo",IF(NWE39 &lt;=14,"Bajo",IF(NWE39&lt;=35,"Medio",IF(NWE39&lt;=80,"Alto","Inviable Sanitariamente"))))</f>
        <v>Bajo</v>
      </c>
      <c r="NWH39" s="117">
        <v>0</v>
      </c>
      <c r="NWL39" s="117">
        <v>0</v>
      </c>
      <c r="NWN39" s="117">
        <v>23.08</v>
      </c>
      <c r="NWT39" s="117">
        <f>AVERAGE(NWH39:NWS39)</f>
        <v>7.6933333333333325</v>
      </c>
      <c r="NWU39" s="117" t="str">
        <f>IF(NWT39&lt;5,"SI","NO")</f>
        <v>NO</v>
      </c>
      <c r="NWV39" s="117" t="str">
        <f>IF(NWT39&lt;5,"Sin Riesgo",IF(NWT39 &lt;=14,"Bajo",IF(NWT39&lt;=35,"Medio",IF(NWT39&lt;=80,"Alto","Inviable Sanitariamente"))))</f>
        <v>Bajo</v>
      </c>
      <c r="NWW39" s="117">
        <v>0</v>
      </c>
      <c r="NXA39" s="117">
        <v>0</v>
      </c>
      <c r="NXC39" s="117">
        <v>23.08</v>
      </c>
      <c r="NXI39" s="117">
        <f>AVERAGE(NWW39:NXH39)</f>
        <v>7.6933333333333325</v>
      </c>
      <c r="NXJ39" s="117" t="str">
        <f>IF(NXI39&lt;5,"SI","NO")</f>
        <v>NO</v>
      </c>
      <c r="NXK39" s="117" t="str">
        <f>IF(NXI39&lt;5,"Sin Riesgo",IF(NXI39 &lt;=14,"Bajo",IF(NXI39&lt;=35,"Medio",IF(NXI39&lt;=80,"Alto","Inviable Sanitariamente"))))</f>
        <v>Bajo</v>
      </c>
      <c r="NXL39" s="117">
        <v>0</v>
      </c>
      <c r="NXP39" s="117">
        <v>0</v>
      </c>
      <c r="NXR39" s="117">
        <v>23.08</v>
      </c>
      <c r="NXX39" s="117">
        <f>AVERAGE(NXL39:NXW39)</f>
        <v>7.6933333333333325</v>
      </c>
      <c r="NXY39" s="117" t="str">
        <f>IF(NXX39&lt;5,"SI","NO")</f>
        <v>NO</v>
      </c>
      <c r="NXZ39" s="117" t="str">
        <f>IF(NXX39&lt;5,"Sin Riesgo",IF(NXX39 &lt;=14,"Bajo",IF(NXX39&lt;=35,"Medio",IF(NXX39&lt;=80,"Alto","Inviable Sanitariamente"))))</f>
        <v>Bajo</v>
      </c>
      <c r="NYA39" s="117">
        <v>0</v>
      </c>
      <c r="NYE39" s="117">
        <v>0</v>
      </c>
      <c r="NYG39" s="117">
        <v>23.08</v>
      </c>
      <c r="NYM39" s="117">
        <f>AVERAGE(NYA39:NYL39)</f>
        <v>7.6933333333333325</v>
      </c>
      <c r="NYN39" s="117" t="str">
        <f>IF(NYM39&lt;5,"SI","NO")</f>
        <v>NO</v>
      </c>
      <c r="NYO39" s="117" t="str">
        <f>IF(NYM39&lt;5,"Sin Riesgo",IF(NYM39 &lt;=14,"Bajo",IF(NYM39&lt;=35,"Medio",IF(NYM39&lt;=80,"Alto","Inviable Sanitariamente"))))</f>
        <v>Bajo</v>
      </c>
      <c r="NYP39" s="117">
        <v>0</v>
      </c>
      <c r="NYT39" s="117">
        <v>0</v>
      </c>
      <c r="NYV39" s="117">
        <v>23.08</v>
      </c>
      <c r="NZB39" s="117">
        <f>AVERAGE(NYP39:NZA39)</f>
        <v>7.6933333333333325</v>
      </c>
      <c r="NZC39" s="117" t="str">
        <f>IF(NZB39&lt;5,"SI","NO")</f>
        <v>NO</v>
      </c>
      <c r="NZD39" s="117" t="str">
        <f>IF(NZB39&lt;5,"Sin Riesgo",IF(NZB39 &lt;=14,"Bajo",IF(NZB39&lt;=35,"Medio",IF(NZB39&lt;=80,"Alto","Inviable Sanitariamente"))))</f>
        <v>Bajo</v>
      </c>
      <c r="NZE39" s="117">
        <v>0</v>
      </c>
      <c r="NZI39" s="117">
        <v>0</v>
      </c>
      <c r="NZK39" s="117">
        <v>23.08</v>
      </c>
      <c r="NZQ39" s="117">
        <f>AVERAGE(NZE39:NZP39)</f>
        <v>7.6933333333333325</v>
      </c>
      <c r="NZR39" s="117" t="str">
        <f>IF(NZQ39&lt;5,"SI","NO")</f>
        <v>NO</v>
      </c>
      <c r="NZS39" s="117" t="str">
        <f>IF(NZQ39&lt;5,"Sin Riesgo",IF(NZQ39 &lt;=14,"Bajo",IF(NZQ39&lt;=35,"Medio",IF(NZQ39&lt;=80,"Alto","Inviable Sanitariamente"))))</f>
        <v>Bajo</v>
      </c>
      <c r="NZT39" s="117">
        <v>0</v>
      </c>
      <c r="NZX39" s="117">
        <v>0</v>
      </c>
      <c r="NZZ39" s="117">
        <v>23.08</v>
      </c>
      <c r="OAF39" s="117">
        <f>AVERAGE(NZT39:OAE39)</f>
        <v>7.6933333333333325</v>
      </c>
      <c r="OAG39" s="117" t="str">
        <f>IF(OAF39&lt;5,"SI","NO")</f>
        <v>NO</v>
      </c>
      <c r="OAH39" s="117" t="str">
        <f>IF(OAF39&lt;5,"Sin Riesgo",IF(OAF39 &lt;=14,"Bajo",IF(OAF39&lt;=35,"Medio",IF(OAF39&lt;=80,"Alto","Inviable Sanitariamente"))))</f>
        <v>Bajo</v>
      </c>
      <c r="OAI39" s="117">
        <v>0</v>
      </c>
      <c r="OAM39" s="117">
        <v>0</v>
      </c>
      <c r="OAO39" s="117">
        <v>23.08</v>
      </c>
      <c r="OAU39" s="117">
        <f>AVERAGE(OAI39:OAT39)</f>
        <v>7.6933333333333325</v>
      </c>
      <c r="OAV39" s="117" t="str">
        <f>IF(OAU39&lt;5,"SI","NO")</f>
        <v>NO</v>
      </c>
      <c r="OAW39" s="117" t="str">
        <f>IF(OAU39&lt;5,"Sin Riesgo",IF(OAU39 &lt;=14,"Bajo",IF(OAU39&lt;=35,"Medio",IF(OAU39&lt;=80,"Alto","Inviable Sanitariamente"))))</f>
        <v>Bajo</v>
      </c>
      <c r="OAX39" s="117">
        <v>0</v>
      </c>
      <c r="OBB39" s="117">
        <v>0</v>
      </c>
      <c r="OBD39" s="117">
        <v>23.08</v>
      </c>
      <c r="OBJ39" s="117">
        <f>AVERAGE(OAX39:OBI39)</f>
        <v>7.6933333333333325</v>
      </c>
      <c r="OBK39" s="117" t="str">
        <f>IF(OBJ39&lt;5,"SI","NO")</f>
        <v>NO</v>
      </c>
      <c r="OBL39" s="117" t="str">
        <f>IF(OBJ39&lt;5,"Sin Riesgo",IF(OBJ39 &lt;=14,"Bajo",IF(OBJ39&lt;=35,"Medio",IF(OBJ39&lt;=80,"Alto","Inviable Sanitariamente"))))</f>
        <v>Bajo</v>
      </c>
      <c r="OBM39" s="117">
        <v>0</v>
      </c>
      <c r="OBQ39" s="117">
        <v>0</v>
      </c>
      <c r="OBS39" s="117">
        <v>23.08</v>
      </c>
      <c r="OBY39" s="117">
        <f>AVERAGE(OBM39:OBX39)</f>
        <v>7.6933333333333325</v>
      </c>
      <c r="OBZ39" s="117" t="str">
        <f>IF(OBY39&lt;5,"SI","NO")</f>
        <v>NO</v>
      </c>
      <c r="OCA39" s="117" t="str">
        <f>IF(OBY39&lt;5,"Sin Riesgo",IF(OBY39 &lt;=14,"Bajo",IF(OBY39&lt;=35,"Medio",IF(OBY39&lt;=80,"Alto","Inviable Sanitariamente"))))</f>
        <v>Bajo</v>
      </c>
      <c r="OCB39" s="117">
        <v>0</v>
      </c>
      <c r="OCF39" s="117">
        <v>0</v>
      </c>
      <c r="OCH39" s="117">
        <v>23.08</v>
      </c>
      <c r="OCN39" s="117">
        <f>AVERAGE(OCB39:OCM39)</f>
        <v>7.6933333333333325</v>
      </c>
      <c r="OCO39" s="117" t="str">
        <f>IF(OCN39&lt;5,"SI","NO")</f>
        <v>NO</v>
      </c>
      <c r="OCP39" s="117" t="str">
        <f>IF(OCN39&lt;5,"Sin Riesgo",IF(OCN39 &lt;=14,"Bajo",IF(OCN39&lt;=35,"Medio",IF(OCN39&lt;=80,"Alto","Inviable Sanitariamente"))))</f>
        <v>Bajo</v>
      </c>
      <c r="OCQ39" s="117">
        <v>0</v>
      </c>
      <c r="OCU39" s="117">
        <v>0</v>
      </c>
      <c r="OCW39" s="117">
        <v>23.08</v>
      </c>
      <c r="ODC39" s="117">
        <f>AVERAGE(OCQ39:ODB39)</f>
        <v>7.6933333333333325</v>
      </c>
      <c r="ODD39" s="117" t="str">
        <f>IF(ODC39&lt;5,"SI","NO")</f>
        <v>NO</v>
      </c>
      <c r="ODE39" s="117" t="str">
        <f>IF(ODC39&lt;5,"Sin Riesgo",IF(ODC39 &lt;=14,"Bajo",IF(ODC39&lt;=35,"Medio",IF(ODC39&lt;=80,"Alto","Inviable Sanitariamente"))))</f>
        <v>Bajo</v>
      </c>
      <c r="ODF39" s="117">
        <v>0</v>
      </c>
      <c r="ODJ39" s="117">
        <v>0</v>
      </c>
      <c r="ODL39" s="117">
        <v>23.08</v>
      </c>
      <c r="ODR39" s="117">
        <f>AVERAGE(ODF39:ODQ39)</f>
        <v>7.6933333333333325</v>
      </c>
      <c r="ODS39" s="117" t="str">
        <f>IF(ODR39&lt;5,"SI","NO")</f>
        <v>NO</v>
      </c>
      <c r="ODT39" s="117" t="str">
        <f>IF(ODR39&lt;5,"Sin Riesgo",IF(ODR39 &lt;=14,"Bajo",IF(ODR39&lt;=35,"Medio",IF(ODR39&lt;=80,"Alto","Inviable Sanitariamente"))))</f>
        <v>Bajo</v>
      </c>
      <c r="ODU39" s="117">
        <v>0</v>
      </c>
      <c r="ODY39" s="117">
        <v>0</v>
      </c>
      <c r="OEA39" s="117">
        <v>23.08</v>
      </c>
      <c r="OEG39" s="117">
        <f>AVERAGE(ODU39:OEF39)</f>
        <v>7.6933333333333325</v>
      </c>
      <c r="OEH39" s="117" t="str">
        <f>IF(OEG39&lt;5,"SI","NO")</f>
        <v>NO</v>
      </c>
      <c r="OEI39" s="117" t="str">
        <f>IF(OEG39&lt;5,"Sin Riesgo",IF(OEG39 &lt;=14,"Bajo",IF(OEG39&lt;=35,"Medio",IF(OEG39&lt;=80,"Alto","Inviable Sanitariamente"))))</f>
        <v>Bajo</v>
      </c>
      <c r="OEJ39" s="117">
        <v>0</v>
      </c>
      <c r="OEN39" s="117">
        <v>0</v>
      </c>
      <c r="OEP39" s="117">
        <v>23.08</v>
      </c>
      <c r="OEV39" s="117">
        <f>AVERAGE(OEJ39:OEU39)</f>
        <v>7.6933333333333325</v>
      </c>
      <c r="OEW39" s="117" t="str">
        <f>IF(OEV39&lt;5,"SI","NO")</f>
        <v>NO</v>
      </c>
      <c r="OEX39" s="117" t="str">
        <f>IF(OEV39&lt;5,"Sin Riesgo",IF(OEV39 &lt;=14,"Bajo",IF(OEV39&lt;=35,"Medio",IF(OEV39&lt;=80,"Alto","Inviable Sanitariamente"))))</f>
        <v>Bajo</v>
      </c>
      <c r="OEY39" s="117">
        <v>0</v>
      </c>
      <c r="OFC39" s="117">
        <v>0</v>
      </c>
      <c r="OFE39" s="117">
        <v>23.08</v>
      </c>
      <c r="OFK39" s="117">
        <f>AVERAGE(OEY39:OFJ39)</f>
        <v>7.6933333333333325</v>
      </c>
      <c r="OFL39" s="117" t="str">
        <f>IF(OFK39&lt;5,"SI","NO")</f>
        <v>NO</v>
      </c>
      <c r="OFM39" s="117" t="str">
        <f>IF(OFK39&lt;5,"Sin Riesgo",IF(OFK39 &lt;=14,"Bajo",IF(OFK39&lt;=35,"Medio",IF(OFK39&lt;=80,"Alto","Inviable Sanitariamente"))))</f>
        <v>Bajo</v>
      </c>
      <c r="OFN39" s="117">
        <v>0</v>
      </c>
      <c r="OFR39" s="117">
        <v>0</v>
      </c>
      <c r="OFT39" s="117">
        <v>23.08</v>
      </c>
      <c r="OFZ39" s="117">
        <f>AVERAGE(OFN39:OFY39)</f>
        <v>7.6933333333333325</v>
      </c>
      <c r="OGA39" s="117" t="str">
        <f>IF(OFZ39&lt;5,"SI","NO")</f>
        <v>NO</v>
      </c>
      <c r="OGB39" s="117" t="str">
        <f>IF(OFZ39&lt;5,"Sin Riesgo",IF(OFZ39 &lt;=14,"Bajo",IF(OFZ39&lt;=35,"Medio",IF(OFZ39&lt;=80,"Alto","Inviable Sanitariamente"))))</f>
        <v>Bajo</v>
      </c>
      <c r="OGC39" s="117">
        <v>0</v>
      </c>
      <c r="OGG39" s="117">
        <v>0</v>
      </c>
      <c r="OGI39" s="117">
        <v>23.08</v>
      </c>
      <c r="OGO39" s="117">
        <f>AVERAGE(OGC39:OGN39)</f>
        <v>7.6933333333333325</v>
      </c>
      <c r="OGP39" s="117" t="str">
        <f>IF(OGO39&lt;5,"SI","NO")</f>
        <v>NO</v>
      </c>
      <c r="OGQ39" s="117" t="str">
        <f>IF(OGO39&lt;5,"Sin Riesgo",IF(OGO39 &lt;=14,"Bajo",IF(OGO39&lt;=35,"Medio",IF(OGO39&lt;=80,"Alto","Inviable Sanitariamente"))))</f>
        <v>Bajo</v>
      </c>
      <c r="OGR39" s="117">
        <v>0</v>
      </c>
      <c r="OGV39" s="117">
        <v>0</v>
      </c>
      <c r="OGX39" s="117">
        <v>23.08</v>
      </c>
      <c r="OHD39" s="117">
        <f>AVERAGE(OGR39:OHC39)</f>
        <v>7.6933333333333325</v>
      </c>
      <c r="OHE39" s="117" t="str">
        <f>IF(OHD39&lt;5,"SI","NO")</f>
        <v>NO</v>
      </c>
      <c r="OHF39" s="117" t="str">
        <f>IF(OHD39&lt;5,"Sin Riesgo",IF(OHD39 &lt;=14,"Bajo",IF(OHD39&lt;=35,"Medio",IF(OHD39&lt;=80,"Alto","Inviable Sanitariamente"))))</f>
        <v>Bajo</v>
      </c>
      <c r="OHG39" s="117">
        <v>0</v>
      </c>
      <c r="OHK39" s="117">
        <v>0</v>
      </c>
      <c r="OHM39" s="117">
        <v>23.08</v>
      </c>
      <c r="OHS39" s="117">
        <f>AVERAGE(OHG39:OHR39)</f>
        <v>7.6933333333333325</v>
      </c>
      <c r="OHT39" s="117" t="str">
        <f>IF(OHS39&lt;5,"SI","NO")</f>
        <v>NO</v>
      </c>
      <c r="OHU39" s="117" t="str">
        <f>IF(OHS39&lt;5,"Sin Riesgo",IF(OHS39 &lt;=14,"Bajo",IF(OHS39&lt;=35,"Medio",IF(OHS39&lt;=80,"Alto","Inviable Sanitariamente"))))</f>
        <v>Bajo</v>
      </c>
      <c r="OHV39" s="117">
        <v>0</v>
      </c>
      <c r="OHZ39" s="117">
        <v>0</v>
      </c>
      <c r="OIB39" s="117">
        <v>23.08</v>
      </c>
      <c r="OIH39" s="117">
        <f>AVERAGE(OHV39:OIG39)</f>
        <v>7.6933333333333325</v>
      </c>
      <c r="OII39" s="117" t="str">
        <f>IF(OIH39&lt;5,"SI","NO")</f>
        <v>NO</v>
      </c>
      <c r="OIJ39" s="117" t="str">
        <f>IF(OIH39&lt;5,"Sin Riesgo",IF(OIH39 &lt;=14,"Bajo",IF(OIH39&lt;=35,"Medio",IF(OIH39&lt;=80,"Alto","Inviable Sanitariamente"))))</f>
        <v>Bajo</v>
      </c>
      <c r="OIK39" s="117">
        <v>0</v>
      </c>
      <c r="OIO39" s="117">
        <v>0</v>
      </c>
      <c r="OIQ39" s="117">
        <v>23.08</v>
      </c>
      <c r="OIW39" s="117">
        <f>AVERAGE(OIK39:OIV39)</f>
        <v>7.6933333333333325</v>
      </c>
      <c r="OIX39" s="117" t="str">
        <f>IF(OIW39&lt;5,"SI","NO")</f>
        <v>NO</v>
      </c>
      <c r="OIY39" s="117" t="str">
        <f>IF(OIW39&lt;5,"Sin Riesgo",IF(OIW39 &lt;=14,"Bajo",IF(OIW39&lt;=35,"Medio",IF(OIW39&lt;=80,"Alto","Inviable Sanitariamente"))))</f>
        <v>Bajo</v>
      </c>
      <c r="OIZ39" s="117">
        <v>0</v>
      </c>
      <c r="OJD39" s="117">
        <v>0</v>
      </c>
      <c r="OJF39" s="117">
        <v>23.08</v>
      </c>
      <c r="OJL39" s="117">
        <f>AVERAGE(OIZ39:OJK39)</f>
        <v>7.6933333333333325</v>
      </c>
      <c r="OJM39" s="117" t="str">
        <f>IF(OJL39&lt;5,"SI","NO")</f>
        <v>NO</v>
      </c>
      <c r="OJN39" s="117" t="str">
        <f>IF(OJL39&lt;5,"Sin Riesgo",IF(OJL39 &lt;=14,"Bajo",IF(OJL39&lt;=35,"Medio",IF(OJL39&lt;=80,"Alto","Inviable Sanitariamente"))))</f>
        <v>Bajo</v>
      </c>
      <c r="OJO39" s="117">
        <v>0</v>
      </c>
      <c r="OJS39" s="117">
        <v>0</v>
      </c>
      <c r="OJU39" s="117">
        <v>23.08</v>
      </c>
      <c r="OKA39" s="117">
        <f>AVERAGE(OJO39:OJZ39)</f>
        <v>7.6933333333333325</v>
      </c>
      <c r="OKB39" s="117" t="str">
        <f>IF(OKA39&lt;5,"SI","NO")</f>
        <v>NO</v>
      </c>
      <c r="OKC39" s="117" t="str">
        <f>IF(OKA39&lt;5,"Sin Riesgo",IF(OKA39 &lt;=14,"Bajo",IF(OKA39&lt;=35,"Medio",IF(OKA39&lt;=80,"Alto","Inviable Sanitariamente"))))</f>
        <v>Bajo</v>
      </c>
      <c r="OKD39" s="117">
        <v>0</v>
      </c>
      <c r="OKH39" s="117">
        <v>0</v>
      </c>
      <c r="OKJ39" s="117">
        <v>23.08</v>
      </c>
      <c r="OKP39" s="117">
        <f>AVERAGE(OKD39:OKO39)</f>
        <v>7.6933333333333325</v>
      </c>
      <c r="OKQ39" s="117" t="str">
        <f>IF(OKP39&lt;5,"SI","NO")</f>
        <v>NO</v>
      </c>
      <c r="OKR39" s="117" t="str">
        <f>IF(OKP39&lt;5,"Sin Riesgo",IF(OKP39 &lt;=14,"Bajo",IF(OKP39&lt;=35,"Medio",IF(OKP39&lt;=80,"Alto","Inviable Sanitariamente"))))</f>
        <v>Bajo</v>
      </c>
      <c r="OKS39" s="117">
        <v>0</v>
      </c>
      <c r="OKW39" s="117">
        <v>0</v>
      </c>
      <c r="OKY39" s="117">
        <v>23.08</v>
      </c>
      <c r="OLE39" s="117">
        <f>AVERAGE(OKS39:OLD39)</f>
        <v>7.6933333333333325</v>
      </c>
      <c r="OLF39" s="117" t="str">
        <f>IF(OLE39&lt;5,"SI","NO")</f>
        <v>NO</v>
      </c>
      <c r="OLG39" s="117" t="str">
        <f>IF(OLE39&lt;5,"Sin Riesgo",IF(OLE39 &lt;=14,"Bajo",IF(OLE39&lt;=35,"Medio",IF(OLE39&lt;=80,"Alto","Inviable Sanitariamente"))))</f>
        <v>Bajo</v>
      </c>
      <c r="OLH39" s="117">
        <v>0</v>
      </c>
      <c r="OLL39" s="117">
        <v>0</v>
      </c>
      <c r="OLN39" s="117">
        <v>23.08</v>
      </c>
      <c r="OLT39" s="117">
        <f>AVERAGE(OLH39:OLS39)</f>
        <v>7.6933333333333325</v>
      </c>
      <c r="OLU39" s="117" t="str">
        <f>IF(OLT39&lt;5,"SI","NO")</f>
        <v>NO</v>
      </c>
      <c r="OLV39" s="117" t="str">
        <f>IF(OLT39&lt;5,"Sin Riesgo",IF(OLT39 &lt;=14,"Bajo",IF(OLT39&lt;=35,"Medio",IF(OLT39&lt;=80,"Alto","Inviable Sanitariamente"))))</f>
        <v>Bajo</v>
      </c>
      <c r="OLW39" s="117">
        <v>0</v>
      </c>
      <c r="OMA39" s="117">
        <v>0</v>
      </c>
      <c r="OMC39" s="117">
        <v>23.08</v>
      </c>
      <c r="OMI39" s="117">
        <f>AVERAGE(OLW39:OMH39)</f>
        <v>7.6933333333333325</v>
      </c>
      <c r="OMJ39" s="117" t="str">
        <f>IF(OMI39&lt;5,"SI","NO")</f>
        <v>NO</v>
      </c>
      <c r="OMK39" s="117" t="str">
        <f>IF(OMI39&lt;5,"Sin Riesgo",IF(OMI39 &lt;=14,"Bajo",IF(OMI39&lt;=35,"Medio",IF(OMI39&lt;=80,"Alto","Inviable Sanitariamente"))))</f>
        <v>Bajo</v>
      </c>
      <c r="OML39" s="117">
        <v>0</v>
      </c>
      <c r="OMP39" s="117">
        <v>0</v>
      </c>
      <c r="OMR39" s="117">
        <v>23.08</v>
      </c>
      <c r="OMX39" s="117">
        <f>AVERAGE(OML39:OMW39)</f>
        <v>7.6933333333333325</v>
      </c>
      <c r="OMY39" s="117" t="str">
        <f>IF(OMX39&lt;5,"SI","NO")</f>
        <v>NO</v>
      </c>
      <c r="OMZ39" s="117" t="str">
        <f>IF(OMX39&lt;5,"Sin Riesgo",IF(OMX39 &lt;=14,"Bajo",IF(OMX39&lt;=35,"Medio",IF(OMX39&lt;=80,"Alto","Inviable Sanitariamente"))))</f>
        <v>Bajo</v>
      </c>
      <c r="ONA39" s="117">
        <v>0</v>
      </c>
      <c r="ONE39" s="117">
        <v>0</v>
      </c>
      <c r="ONG39" s="117">
        <v>23.08</v>
      </c>
      <c r="ONM39" s="117">
        <f>AVERAGE(ONA39:ONL39)</f>
        <v>7.6933333333333325</v>
      </c>
      <c r="ONN39" s="117" t="str">
        <f>IF(ONM39&lt;5,"SI","NO")</f>
        <v>NO</v>
      </c>
      <c r="ONO39" s="117" t="str">
        <f>IF(ONM39&lt;5,"Sin Riesgo",IF(ONM39 &lt;=14,"Bajo",IF(ONM39&lt;=35,"Medio",IF(ONM39&lt;=80,"Alto","Inviable Sanitariamente"))))</f>
        <v>Bajo</v>
      </c>
      <c r="ONP39" s="117">
        <v>0</v>
      </c>
      <c r="ONT39" s="117">
        <v>0</v>
      </c>
      <c r="ONV39" s="117">
        <v>23.08</v>
      </c>
      <c r="OOB39" s="117">
        <f>AVERAGE(ONP39:OOA39)</f>
        <v>7.6933333333333325</v>
      </c>
      <c r="OOC39" s="117" t="str">
        <f>IF(OOB39&lt;5,"SI","NO")</f>
        <v>NO</v>
      </c>
      <c r="OOD39" s="117" t="str">
        <f>IF(OOB39&lt;5,"Sin Riesgo",IF(OOB39 &lt;=14,"Bajo",IF(OOB39&lt;=35,"Medio",IF(OOB39&lt;=80,"Alto","Inviable Sanitariamente"))))</f>
        <v>Bajo</v>
      </c>
      <c r="OOE39" s="117">
        <v>0</v>
      </c>
      <c r="OOI39" s="117">
        <v>0</v>
      </c>
      <c r="OOK39" s="117">
        <v>23.08</v>
      </c>
      <c r="OOQ39" s="117">
        <f>AVERAGE(OOE39:OOP39)</f>
        <v>7.6933333333333325</v>
      </c>
      <c r="OOR39" s="117" t="str">
        <f>IF(OOQ39&lt;5,"SI","NO")</f>
        <v>NO</v>
      </c>
      <c r="OOS39" s="117" t="str">
        <f>IF(OOQ39&lt;5,"Sin Riesgo",IF(OOQ39 &lt;=14,"Bajo",IF(OOQ39&lt;=35,"Medio",IF(OOQ39&lt;=80,"Alto","Inviable Sanitariamente"))))</f>
        <v>Bajo</v>
      </c>
      <c r="OOT39" s="117">
        <v>0</v>
      </c>
      <c r="OOX39" s="117">
        <v>0</v>
      </c>
      <c r="OOZ39" s="117">
        <v>23.08</v>
      </c>
      <c r="OPF39" s="117">
        <f>AVERAGE(OOT39:OPE39)</f>
        <v>7.6933333333333325</v>
      </c>
      <c r="OPG39" s="117" t="str">
        <f>IF(OPF39&lt;5,"SI","NO")</f>
        <v>NO</v>
      </c>
      <c r="OPH39" s="117" t="str">
        <f>IF(OPF39&lt;5,"Sin Riesgo",IF(OPF39 &lt;=14,"Bajo",IF(OPF39&lt;=35,"Medio",IF(OPF39&lt;=80,"Alto","Inviable Sanitariamente"))))</f>
        <v>Bajo</v>
      </c>
      <c r="OPI39" s="117">
        <v>0</v>
      </c>
      <c r="OPM39" s="117">
        <v>0</v>
      </c>
      <c r="OPO39" s="117">
        <v>23.08</v>
      </c>
      <c r="OPU39" s="117">
        <f>AVERAGE(OPI39:OPT39)</f>
        <v>7.6933333333333325</v>
      </c>
      <c r="OPV39" s="117" t="str">
        <f>IF(OPU39&lt;5,"SI","NO")</f>
        <v>NO</v>
      </c>
      <c r="OPW39" s="117" t="str">
        <f>IF(OPU39&lt;5,"Sin Riesgo",IF(OPU39 &lt;=14,"Bajo",IF(OPU39&lt;=35,"Medio",IF(OPU39&lt;=80,"Alto","Inviable Sanitariamente"))))</f>
        <v>Bajo</v>
      </c>
      <c r="OPX39" s="117">
        <v>0</v>
      </c>
      <c r="OQB39" s="117">
        <v>0</v>
      </c>
      <c r="OQD39" s="117">
        <v>23.08</v>
      </c>
      <c r="OQJ39" s="117">
        <f>AVERAGE(OPX39:OQI39)</f>
        <v>7.6933333333333325</v>
      </c>
      <c r="OQK39" s="117" t="str">
        <f>IF(OQJ39&lt;5,"SI","NO")</f>
        <v>NO</v>
      </c>
      <c r="OQL39" s="117" t="str">
        <f>IF(OQJ39&lt;5,"Sin Riesgo",IF(OQJ39 &lt;=14,"Bajo",IF(OQJ39&lt;=35,"Medio",IF(OQJ39&lt;=80,"Alto","Inviable Sanitariamente"))))</f>
        <v>Bajo</v>
      </c>
      <c r="OQM39" s="117">
        <v>0</v>
      </c>
      <c r="OQQ39" s="117">
        <v>0</v>
      </c>
      <c r="OQS39" s="117">
        <v>23.08</v>
      </c>
      <c r="OQY39" s="117">
        <f>AVERAGE(OQM39:OQX39)</f>
        <v>7.6933333333333325</v>
      </c>
      <c r="OQZ39" s="117" t="str">
        <f>IF(OQY39&lt;5,"SI","NO")</f>
        <v>NO</v>
      </c>
      <c r="ORA39" s="117" t="str">
        <f>IF(OQY39&lt;5,"Sin Riesgo",IF(OQY39 &lt;=14,"Bajo",IF(OQY39&lt;=35,"Medio",IF(OQY39&lt;=80,"Alto","Inviable Sanitariamente"))))</f>
        <v>Bajo</v>
      </c>
      <c r="ORB39" s="117">
        <v>0</v>
      </c>
      <c r="ORF39" s="117">
        <v>0</v>
      </c>
      <c r="ORH39" s="117">
        <v>23.08</v>
      </c>
      <c r="ORN39" s="117">
        <f>AVERAGE(ORB39:ORM39)</f>
        <v>7.6933333333333325</v>
      </c>
      <c r="ORO39" s="117" t="str">
        <f>IF(ORN39&lt;5,"SI","NO")</f>
        <v>NO</v>
      </c>
      <c r="ORP39" s="117" t="str">
        <f>IF(ORN39&lt;5,"Sin Riesgo",IF(ORN39 &lt;=14,"Bajo",IF(ORN39&lt;=35,"Medio",IF(ORN39&lt;=80,"Alto","Inviable Sanitariamente"))))</f>
        <v>Bajo</v>
      </c>
      <c r="ORQ39" s="117">
        <v>0</v>
      </c>
      <c r="ORU39" s="117">
        <v>0</v>
      </c>
      <c r="ORW39" s="117">
        <v>23.08</v>
      </c>
      <c r="OSC39" s="117">
        <f>AVERAGE(ORQ39:OSB39)</f>
        <v>7.6933333333333325</v>
      </c>
      <c r="OSD39" s="117" t="str">
        <f>IF(OSC39&lt;5,"SI","NO")</f>
        <v>NO</v>
      </c>
      <c r="OSE39" s="117" t="str">
        <f>IF(OSC39&lt;5,"Sin Riesgo",IF(OSC39 &lt;=14,"Bajo",IF(OSC39&lt;=35,"Medio",IF(OSC39&lt;=80,"Alto","Inviable Sanitariamente"))))</f>
        <v>Bajo</v>
      </c>
      <c r="OSF39" s="117">
        <v>0</v>
      </c>
      <c r="OSJ39" s="117">
        <v>0</v>
      </c>
      <c r="OSL39" s="117">
        <v>23.08</v>
      </c>
      <c r="OSR39" s="117">
        <f>AVERAGE(OSF39:OSQ39)</f>
        <v>7.6933333333333325</v>
      </c>
      <c r="OSS39" s="117" t="str">
        <f>IF(OSR39&lt;5,"SI","NO")</f>
        <v>NO</v>
      </c>
      <c r="OST39" s="117" t="str">
        <f>IF(OSR39&lt;5,"Sin Riesgo",IF(OSR39 &lt;=14,"Bajo",IF(OSR39&lt;=35,"Medio",IF(OSR39&lt;=80,"Alto","Inviable Sanitariamente"))))</f>
        <v>Bajo</v>
      </c>
      <c r="OSU39" s="117">
        <v>0</v>
      </c>
      <c r="OSY39" s="117">
        <v>0</v>
      </c>
      <c r="OTA39" s="117">
        <v>23.08</v>
      </c>
      <c r="OTG39" s="117">
        <f>AVERAGE(OSU39:OTF39)</f>
        <v>7.6933333333333325</v>
      </c>
      <c r="OTH39" s="117" t="str">
        <f>IF(OTG39&lt;5,"SI","NO")</f>
        <v>NO</v>
      </c>
      <c r="OTI39" s="117" t="str">
        <f>IF(OTG39&lt;5,"Sin Riesgo",IF(OTG39 &lt;=14,"Bajo",IF(OTG39&lt;=35,"Medio",IF(OTG39&lt;=80,"Alto","Inviable Sanitariamente"))))</f>
        <v>Bajo</v>
      </c>
      <c r="OTJ39" s="117">
        <v>0</v>
      </c>
      <c r="OTN39" s="117">
        <v>0</v>
      </c>
      <c r="OTP39" s="117">
        <v>23.08</v>
      </c>
      <c r="OTV39" s="117">
        <f>AVERAGE(OTJ39:OTU39)</f>
        <v>7.6933333333333325</v>
      </c>
      <c r="OTW39" s="117" t="str">
        <f>IF(OTV39&lt;5,"SI","NO")</f>
        <v>NO</v>
      </c>
      <c r="OTX39" s="117" t="str">
        <f>IF(OTV39&lt;5,"Sin Riesgo",IF(OTV39 &lt;=14,"Bajo",IF(OTV39&lt;=35,"Medio",IF(OTV39&lt;=80,"Alto","Inviable Sanitariamente"))))</f>
        <v>Bajo</v>
      </c>
      <c r="OTY39" s="117">
        <v>0</v>
      </c>
      <c r="OUC39" s="117">
        <v>0</v>
      </c>
      <c r="OUE39" s="117">
        <v>23.08</v>
      </c>
      <c r="OUK39" s="117">
        <f>AVERAGE(OTY39:OUJ39)</f>
        <v>7.6933333333333325</v>
      </c>
      <c r="OUL39" s="117" t="str">
        <f>IF(OUK39&lt;5,"SI","NO")</f>
        <v>NO</v>
      </c>
      <c r="OUM39" s="117" t="str">
        <f>IF(OUK39&lt;5,"Sin Riesgo",IF(OUK39 &lt;=14,"Bajo",IF(OUK39&lt;=35,"Medio",IF(OUK39&lt;=80,"Alto","Inviable Sanitariamente"))))</f>
        <v>Bajo</v>
      </c>
      <c r="OUN39" s="117">
        <v>0</v>
      </c>
      <c r="OUR39" s="117">
        <v>0</v>
      </c>
      <c r="OUT39" s="117">
        <v>23.08</v>
      </c>
      <c r="OUZ39" s="117">
        <f>AVERAGE(OUN39:OUY39)</f>
        <v>7.6933333333333325</v>
      </c>
      <c r="OVA39" s="117" t="str">
        <f>IF(OUZ39&lt;5,"SI","NO")</f>
        <v>NO</v>
      </c>
      <c r="OVB39" s="117" t="str">
        <f>IF(OUZ39&lt;5,"Sin Riesgo",IF(OUZ39 &lt;=14,"Bajo",IF(OUZ39&lt;=35,"Medio",IF(OUZ39&lt;=80,"Alto","Inviable Sanitariamente"))))</f>
        <v>Bajo</v>
      </c>
      <c r="OVC39" s="117">
        <v>0</v>
      </c>
      <c r="OVG39" s="117">
        <v>0</v>
      </c>
      <c r="OVI39" s="117">
        <v>23.08</v>
      </c>
      <c r="OVO39" s="117">
        <f>AVERAGE(OVC39:OVN39)</f>
        <v>7.6933333333333325</v>
      </c>
      <c r="OVP39" s="117" t="str">
        <f>IF(OVO39&lt;5,"SI","NO")</f>
        <v>NO</v>
      </c>
      <c r="OVQ39" s="117" t="str">
        <f>IF(OVO39&lt;5,"Sin Riesgo",IF(OVO39 &lt;=14,"Bajo",IF(OVO39&lt;=35,"Medio",IF(OVO39&lt;=80,"Alto","Inviable Sanitariamente"))))</f>
        <v>Bajo</v>
      </c>
      <c r="OVR39" s="117">
        <v>0</v>
      </c>
      <c r="OVV39" s="117">
        <v>0</v>
      </c>
      <c r="OVX39" s="117">
        <v>23.08</v>
      </c>
      <c r="OWD39" s="117">
        <f>AVERAGE(OVR39:OWC39)</f>
        <v>7.6933333333333325</v>
      </c>
      <c r="OWE39" s="117" t="str">
        <f>IF(OWD39&lt;5,"SI","NO")</f>
        <v>NO</v>
      </c>
      <c r="OWF39" s="117" t="str">
        <f>IF(OWD39&lt;5,"Sin Riesgo",IF(OWD39 &lt;=14,"Bajo",IF(OWD39&lt;=35,"Medio",IF(OWD39&lt;=80,"Alto","Inviable Sanitariamente"))))</f>
        <v>Bajo</v>
      </c>
      <c r="OWG39" s="117">
        <v>0</v>
      </c>
      <c r="OWK39" s="117">
        <v>0</v>
      </c>
      <c r="OWM39" s="117">
        <v>23.08</v>
      </c>
      <c r="OWS39" s="117">
        <f>AVERAGE(OWG39:OWR39)</f>
        <v>7.6933333333333325</v>
      </c>
      <c r="OWT39" s="117" t="str">
        <f>IF(OWS39&lt;5,"SI","NO")</f>
        <v>NO</v>
      </c>
      <c r="OWU39" s="117" t="str">
        <f>IF(OWS39&lt;5,"Sin Riesgo",IF(OWS39 &lt;=14,"Bajo",IF(OWS39&lt;=35,"Medio",IF(OWS39&lt;=80,"Alto","Inviable Sanitariamente"))))</f>
        <v>Bajo</v>
      </c>
      <c r="OWV39" s="117">
        <v>0</v>
      </c>
      <c r="OWZ39" s="117">
        <v>0</v>
      </c>
      <c r="OXB39" s="117">
        <v>23.08</v>
      </c>
      <c r="OXH39" s="117">
        <f>AVERAGE(OWV39:OXG39)</f>
        <v>7.6933333333333325</v>
      </c>
      <c r="OXI39" s="117" t="str">
        <f>IF(OXH39&lt;5,"SI","NO")</f>
        <v>NO</v>
      </c>
      <c r="OXJ39" s="117" t="str">
        <f>IF(OXH39&lt;5,"Sin Riesgo",IF(OXH39 &lt;=14,"Bajo",IF(OXH39&lt;=35,"Medio",IF(OXH39&lt;=80,"Alto","Inviable Sanitariamente"))))</f>
        <v>Bajo</v>
      </c>
      <c r="OXK39" s="117">
        <v>0</v>
      </c>
      <c r="OXO39" s="117">
        <v>0</v>
      </c>
      <c r="OXQ39" s="117">
        <v>23.08</v>
      </c>
      <c r="OXW39" s="117">
        <f>AVERAGE(OXK39:OXV39)</f>
        <v>7.6933333333333325</v>
      </c>
      <c r="OXX39" s="117" t="str">
        <f>IF(OXW39&lt;5,"SI","NO")</f>
        <v>NO</v>
      </c>
      <c r="OXY39" s="117" t="str">
        <f>IF(OXW39&lt;5,"Sin Riesgo",IF(OXW39 &lt;=14,"Bajo",IF(OXW39&lt;=35,"Medio",IF(OXW39&lt;=80,"Alto","Inviable Sanitariamente"))))</f>
        <v>Bajo</v>
      </c>
      <c r="OXZ39" s="117">
        <v>0</v>
      </c>
      <c r="OYD39" s="117">
        <v>0</v>
      </c>
      <c r="OYF39" s="117">
        <v>23.08</v>
      </c>
      <c r="OYL39" s="117">
        <f>AVERAGE(OXZ39:OYK39)</f>
        <v>7.6933333333333325</v>
      </c>
      <c r="OYM39" s="117" t="str">
        <f>IF(OYL39&lt;5,"SI","NO")</f>
        <v>NO</v>
      </c>
      <c r="OYN39" s="117" t="str">
        <f>IF(OYL39&lt;5,"Sin Riesgo",IF(OYL39 &lt;=14,"Bajo",IF(OYL39&lt;=35,"Medio",IF(OYL39&lt;=80,"Alto","Inviable Sanitariamente"))))</f>
        <v>Bajo</v>
      </c>
      <c r="OYO39" s="117">
        <v>0</v>
      </c>
      <c r="OYS39" s="117">
        <v>0</v>
      </c>
      <c r="OYU39" s="117">
        <v>23.08</v>
      </c>
      <c r="OZA39" s="117">
        <f>AVERAGE(OYO39:OYZ39)</f>
        <v>7.6933333333333325</v>
      </c>
      <c r="OZB39" s="117" t="str">
        <f>IF(OZA39&lt;5,"SI","NO")</f>
        <v>NO</v>
      </c>
      <c r="OZC39" s="117" t="str">
        <f>IF(OZA39&lt;5,"Sin Riesgo",IF(OZA39 &lt;=14,"Bajo",IF(OZA39&lt;=35,"Medio",IF(OZA39&lt;=80,"Alto","Inviable Sanitariamente"))))</f>
        <v>Bajo</v>
      </c>
      <c r="OZD39" s="117">
        <v>0</v>
      </c>
      <c r="OZH39" s="117">
        <v>0</v>
      </c>
      <c r="OZJ39" s="117">
        <v>23.08</v>
      </c>
      <c r="OZP39" s="117">
        <f>AVERAGE(OZD39:OZO39)</f>
        <v>7.6933333333333325</v>
      </c>
      <c r="OZQ39" s="117" t="str">
        <f>IF(OZP39&lt;5,"SI","NO")</f>
        <v>NO</v>
      </c>
      <c r="OZR39" s="117" t="str">
        <f>IF(OZP39&lt;5,"Sin Riesgo",IF(OZP39 &lt;=14,"Bajo",IF(OZP39&lt;=35,"Medio",IF(OZP39&lt;=80,"Alto","Inviable Sanitariamente"))))</f>
        <v>Bajo</v>
      </c>
      <c r="OZS39" s="117">
        <v>0</v>
      </c>
      <c r="OZW39" s="117">
        <v>0</v>
      </c>
      <c r="OZY39" s="117">
        <v>23.08</v>
      </c>
      <c r="PAE39" s="117">
        <f>AVERAGE(OZS39:PAD39)</f>
        <v>7.6933333333333325</v>
      </c>
      <c r="PAF39" s="117" t="str">
        <f>IF(PAE39&lt;5,"SI","NO")</f>
        <v>NO</v>
      </c>
      <c r="PAG39" s="117" t="str">
        <f>IF(PAE39&lt;5,"Sin Riesgo",IF(PAE39 &lt;=14,"Bajo",IF(PAE39&lt;=35,"Medio",IF(PAE39&lt;=80,"Alto","Inviable Sanitariamente"))))</f>
        <v>Bajo</v>
      </c>
      <c r="PAH39" s="117">
        <v>0</v>
      </c>
      <c r="PAL39" s="117">
        <v>0</v>
      </c>
      <c r="PAN39" s="117">
        <v>23.08</v>
      </c>
      <c r="PAT39" s="117">
        <f>AVERAGE(PAH39:PAS39)</f>
        <v>7.6933333333333325</v>
      </c>
      <c r="PAU39" s="117" t="str">
        <f>IF(PAT39&lt;5,"SI","NO")</f>
        <v>NO</v>
      </c>
      <c r="PAV39" s="117" t="str">
        <f>IF(PAT39&lt;5,"Sin Riesgo",IF(PAT39 &lt;=14,"Bajo",IF(PAT39&lt;=35,"Medio",IF(PAT39&lt;=80,"Alto","Inviable Sanitariamente"))))</f>
        <v>Bajo</v>
      </c>
      <c r="PAW39" s="117">
        <v>0</v>
      </c>
      <c r="PBA39" s="117">
        <v>0</v>
      </c>
      <c r="PBC39" s="117">
        <v>23.08</v>
      </c>
      <c r="PBI39" s="117">
        <f>AVERAGE(PAW39:PBH39)</f>
        <v>7.6933333333333325</v>
      </c>
      <c r="PBJ39" s="117" t="str">
        <f>IF(PBI39&lt;5,"SI","NO")</f>
        <v>NO</v>
      </c>
      <c r="PBK39" s="117" t="str">
        <f>IF(PBI39&lt;5,"Sin Riesgo",IF(PBI39 &lt;=14,"Bajo",IF(PBI39&lt;=35,"Medio",IF(PBI39&lt;=80,"Alto","Inviable Sanitariamente"))))</f>
        <v>Bajo</v>
      </c>
      <c r="PBL39" s="117">
        <v>0</v>
      </c>
      <c r="PBP39" s="117">
        <v>0</v>
      </c>
      <c r="PBR39" s="117">
        <v>23.08</v>
      </c>
      <c r="PBX39" s="117">
        <f>AVERAGE(PBL39:PBW39)</f>
        <v>7.6933333333333325</v>
      </c>
      <c r="PBY39" s="117" t="str">
        <f>IF(PBX39&lt;5,"SI","NO")</f>
        <v>NO</v>
      </c>
      <c r="PBZ39" s="117" t="str">
        <f>IF(PBX39&lt;5,"Sin Riesgo",IF(PBX39 &lt;=14,"Bajo",IF(PBX39&lt;=35,"Medio",IF(PBX39&lt;=80,"Alto","Inviable Sanitariamente"))))</f>
        <v>Bajo</v>
      </c>
      <c r="PCA39" s="117">
        <v>0</v>
      </c>
      <c r="PCE39" s="117">
        <v>0</v>
      </c>
      <c r="PCG39" s="117">
        <v>23.08</v>
      </c>
      <c r="PCM39" s="117">
        <f>AVERAGE(PCA39:PCL39)</f>
        <v>7.6933333333333325</v>
      </c>
      <c r="PCN39" s="117" t="str">
        <f>IF(PCM39&lt;5,"SI","NO")</f>
        <v>NO</v>
      </c>
      <c r="PCO39" s="117" t="str">
        <f>IF(PCM39&lt;5,"Sin Riesgo",IF(PCM39 &lt;=14,"Bajo",IF(PCM39&lt;=35,"Medio",IF(PCM39&lt;=80,"Alto","Inviable Sanitariamente"))))</f>
        <v>Bajo</v>
      </c>
      <c r="PCP39" s="117">
        <v>0</v>
      </c>
      <c r="PCT39" s="117">
        <v>0</v>
      </c>
      <c r="PCV39" s="117">
        <v>23.08</v>
      </c>
      <c r="PDB39" s="117">
        <f>AVERAGE(PCP39:PDA39)</f>
        <v>7.6933333333333325</v>
      </c>
      <c r="PDC39" s="117" t="str">
        <f>IF(PDB39&lt;5,"SI","NO")</f>
        <v>NO</v>
      </c>
      <c r="PDD39" s="117" t="str">
        <f>IF(PDB39&lt;5,"Sin Riesgo",IF(PDB39 &lt;=14,"Bajo",IF(PDB39&lt;=35,"Medio",IF(PDB39&lt;=80,"Alto","Inviable Sanitariamente"))))</f>
        <v>Bajo</v>
      </c>
      <c r="PDE39" s="117">
        <v>0</v>
      </c>
      <c r="PDI39" s="117">
        <v>0</v>
      </c>
      <c r="PDK39" s="117">
        <v>23.08</v>
      </c>
      <c r="PDQ39" s="117">
        <f>AVERAGE(PDE39:PDP39)</f>
        <v>7.6933333333333325</v>
      </c>
      <c r="PDR39" s="117" t="str">
        <f>IF(PDQ39&lt;5,"SI","NO")</f>
        <v>NO</v>
      </c>
      <c r="PDS39" s="117" t="str">
        <f>IF(PDQ39&lt;5,"Sin Riesgo",IF(PDQ39 &lt;=14,"Bajo",IF(PDQ39&lt;=35,"Medio",IF(PDQ39&lt;=80,"Alto","Inviable Sanitariamente"))))</f>
        <v>Bajo</v>
      </c>
      <c r="PDT39" s="117">
        <v>0</v>
      </c>
      <c r="PDX39" s="117">
        <v>0</v>
      </c>
      <c r="PDZ39" s="117">
        <v>23.08</v>
      </c>
      <c r="PEF39" s="117">
        <f>AVERAGE(PDT39:PEE39)</f>
        <v>7.6933333333333325</v>
      </c>
      <c r="PEG39" s="117" t="str">
        <f>IF(PEF39&lt;5,"SI","NO")</f>
        <v>NO</v>
      </c>
      <c r="PEH39" s="117" t="str">
        <f>IF(PEF39&lt;5,"Sin Riesgo",IF(PEF39 &lt;=14,"Bajo",IF(PEF39&lt;=35,"Medio",IF(PEF39&lt;=80,"Alto","Inviable Sanitariamente"))))</f>
        <v>Bajo</v>
      </c>
      <c r="PEI39" s="117">
        <v>0</v>
      </c>
      <c r="PEM39" s="117">
        <v>0</v>
      </c>
      <c r="PEO39" s="117">
        <v>23.08</v>
      </c>
      <c r="PEU39" s="117">
        <f>AVERAGE(PEI39:PET39)</f>
        <v>7.6933333333333325</v>
      </c>
      <c r="PEV39" s="117" t="str">
        <f>IF(PEU39&lt;5,"SI","NO")</f>
        <v>NO</v>
      </c>
      <c r="PEW39" s="117" t="str">
        <f>IF(PEU39&lt;5,"Sin Riesgo",IF(PEU39 &lt;=14,"Bajo",IF(PEU39&lt;=35,"Medio",IF(PEU39&lt;=80,"Alto","Inviable Sanitariamente"))))</f>
        <v>Bajo</v>
      </c>
      <c r="PEX39" s="117">
        <v>0</v>
      </c>
      <c r="PFB39" s="117">
        <v>0</v>
      </c>
      <c r="PFD39" s="117">
        <v>23.08</v>
      </c>
      <c r="PFJ39" s="117">
        <f>AVERAGE(PEX39:PFI39)</f>
        <v>7.6933333333333325</v>
      </c>
      <c r="PFK39" s="117" t="str">
        <f>IF(PFJ39&lt;5,"SI","NO")</f>
        <v>NO</v>
      </c>
      <c r="PFL39" s="117" t="str">
        <f>IF(PFJ39&lt;5,"Sin Riesgo",IF(PFJ39 &lt;=14,"Bajo",IF(PFJ39&lt;=35,"Medio",IF(PFJ39&lt;=80,"Alto","Inviable Sanitariamente"))))</f>
        <v>Bajo</v>
      </c>
      <c r="PFM39" s="117">
        <v>0</v>
      </c>
      <c r="PFQ39" s="117">
        <v>0</v>
      </c>
      <c r="PFS39" s="117">
        <v>23.08</v>
      </c>
      <c r="PFY39" s="117">
        <f>AVERAGE(PFM39:PFX39)</f>
        <v>7.6933333333333325</v>
      </c>
      <c r="PFZ39" s="117" t="str">
        <f>IF(PFY39&lt;5,"SI","NO")</f>
        <v>NO</v>
      </c>
      <c r="PGA39" s="117" t="str">
        <f>IF(PFY39&lt;5,"Sin Riesgo",IF(PFY39 &lt;=14,"Bajo",IF(PFY39&lt;=35,"Medio",IF(PFY39&lt;=80,"Alto","Inviable Sanitariamente"))))</f>
        <v>Bajo</v>
      </c>
      <c r="PGB39" s="117">
        <v>0</v>
      </c>
      <c r="PGF39" s="117">
        <v>0</v>
      </c>
      <c r="PGH39" s="117">
        <v>23.08</v>
      </c>
      <c r="PGN39" s="117">
        <f>AVERAGE(PGB39:PGM39)</f>
        <v>7.6933333333333325</v>
      </c>
      <c r="PGO39" s="117" t="str">
        <f>IF(PGN39&lt;5,"SI","NO")</f>
        <v>NO</v>
      </c>
      <c r="PGP39" s="117" t="str">
        <f>IF(PGN39&lt;5,"Sin Riesgo",IF(PGN39 &lt;=14,"Bajo",IF(PGN39&lt;=35,"Medio",IF(PGN39&lt;=80,"Alto","Inviable Sanitariamente"))))</f>
        <v>Bajo</v>
      </c>
      <c r="PGQ39" s="117">
        <v>0</v>
      </c>
      <c r="PGU39" s="117">
        <v>0</v>
      </c>
      <c r="PGW39" s="117">
        <v>23.08</v>
      </c>
      <c r="PHC39" s="117">
        <f>AVERAGE(PGQ39:PHB39)</f>
        <v>7.6933333333333325</v>
      </c>
      <c r="PHD39" s="117" t="str">
        <f>IF(PHC39&lt;5,"SI","NO")</f>
        <v>NO</v>
      </c>
      <c r="PHE39" s="117" t="str">
        <f>IF(PHC39&lt;5,"Sin Riesgo",IF(PHC39 &lt;=14,"Bajo",IF(PHC39&lt;=35,"Medio",IF(PHC39&lt;=80,"Alto","Inviable Sanitariamente"))))</f>
        <v>Bajo</v>
      </c>
      <c r="PHF39" s="117">
        <v>0</v>
      </c>
      <c r="PHJ39" s="117">
        <v>0</v>
      </c>
      <c r="PHL39" s="117">
        <v>23.08</v>
      </c>
      <c r="PHR39" s="117">
        <f>AVERAGE(PHF39:PHQ39)</f>
        <v>7.6933333333333325</v>
      </c>
      <c r="PHS39" s="117" t="str">
        <f>IF(PHR39&lt;5,"SI","NO")</f>
        <v>NO</v>
      </c>
      <c r="PHT39" s="117" t="str">
        <f>IF(PHR39&lt;5,"Sin Riesgo",IF(PHR39 &lt;=14,"Bajo",IF(PHR39&lt;=35,"Medio",IF(PHR39&lt;=80,"Alto","Inviable Sanitariamente"))))</f>
        <v>Bajo</v>
      </c>
      <c r="PHU39" s="117">
        <v>0</v>
      </c>
      <c r="PHY39" s="117">
        <v>0</v>
      </c>
      <c r="PIA39" s="117">
        <v>23.08</v>
      </c>
      <c r="PIG39" s="117">
        <f>AVERAGE(PHU39:PIF39)</f>
        <v>7.6933333333333325</v>
      </c>
      <c r="PIH39" s="117" t="str">
        <f>IF(PIG39&lt;5,"SI","NO")</f>
        <v>NO</v>
      </c>
      <c r="PII39" s="117" t="str">
        <f>IF(PIG39&lt;5,"Sin Riesgo",IF(PIG39 &lt;=14,"Bajo",IF(PIG39&lt;=35,"Medio",IF(PIG39&lt;=80,"Alto","Inviable Sanitariamente"))))</f>
        <v>Bajo</v>
      </c>
      <c r="PIJ39" s="117">
        <v>0</v>
      </c>
      <c r="PIN39" s="117">
        <v>0</v>
      </c>
      <c r="PIP39" s="117">
        <v>23.08</v>
      </c>
      <c r="PIV39" s="117">
        <f>AVERAGE(PIJ39:PIU39)</f>
        <v>7.6933333333333325</v>
      </c>
      <c r="PIW39" s="117" t="str">
        <f>IF(PIV39&lt;5,"SI","NO")</f>
        <v>NO</v>
      </c>
      <c r="PIX39" s="117" t="str">
        <f>IF(PIV39&lt;5,"Sin Riesgo",IF(PIV39 &lt;=14,"Bajo",IF(PIV39&lt;=35,"Medio",IF(PIV39&lt;=80,"Alto","Inviable Sanitariamente"))))</f>
        <v>Bajo</v>
      </c>
      <c r="PIY39" s="117">
        <v>0</v>
      </c>
      <c r="PJC39" s="117">
        <v>0</v>
      </c>
      <c r="PJE39" s="117">
        <v>23.08</v>
      </c>
      <c r="PJK39" s="117">
        <f>AVERAGE(PIY39:PJJ39)</f>
        <v>7.6933333333333325</v>
      </c>
      <c r="PJL39" s="117" t="str">
        <f>IF(PJK39&lt;5,"SI","NO")</f>
        <v>NO</v>
      </c>
      <c r="PJM39" s="117" t="str">
        <f>IF(PJK39&lt;5,"Sin Riesgo",IF(PJK39 &lt;=14,"Bajo",IF(PJK39&lt;=35,"Medio",IF(PJK39&lt;=80,"Alto","Inviable Sanitariamente"))))</f>
        <v>Bajo</v>
      </c>
      <c r="PJN39" s="117">
        <v>0</v>
      </c>
      <c r="PJR39" s="117">
        <v>0</v>
      </c>
      <c r="PJT39" s="117">
        <v>23.08</v>
      </c>
      <c r="PJZ39" s="117">
        <f>AVERAGE(PJN39:PJY39)</f>
        <v>7.6933333333333325</v>
      </c>
      <c r="PKA39" s="117" t="str">
        <f>IF(PJZ39&lt;5,"SI","NO")</f>
        <v>NO</v>
      </c>
      <c r="PKB39" s="117" t="str">
        <f>IF(PJZ39&lt;5,"Sin Riesgo",IF(PJZ39 &lt;=14,"Bajo",IF(PJZ39&lt;=35,"Medio",IF(PJZ39&lt;=80,"Alto","Inviable Sanitariamente"))))</f>
        <v>Bajo</v>
      </c>
      <c r="PKC39" s="117">
        <v>0</v>
      </c>
      <c r="PKG39" s="117">
        <v>0</v>
      </c>
      <c r="PKI39" s="117">
        <v>23.08</v>
      </c>
      <c r="PKO39" s="117">
        <f>AVERAGE(PKC39:PKN39)</f>
        <v>7.6933333333333325</v>
      </c>
      <c r="PKP39" s="117" t="str">
        <f>IF(PKO39&lt;5,"SI","NO")</f>
        <v>NO</v>
      </c>
      <c r="PKQ39" s="117" t="str">
        <f>IF(PKO39&lt;5,"Sin Riesgo",IF(PKO39 &lt;=14,"Bajo",IF(PKO39&lt;=35,"Medio",IF(PKO39&lt;=80,"Alto","Inviable Sanitariamente"))))</f>
        <v>Bajo</v>
      </c>
      <c r="PKR39" s="117">
        <v>0</v>
      </c>
      <c r="PKV39" s="117">
        <v>0</v>
      </c>
      <c r="PKX39" s="117">
        <v>23.08</v>
      </c>
      <c r="PLD39" s="117">
        <f>AVERAGE(PKR39:PLC39)</f>
        <v>7.6933333333333325</v>
      </c>
      <c r="PLE39" s="117" t="str">
        <f>IF(PLD39&lt;5,"SI","NO")</f>
        <v>NO</v>
      </c>
      <c r="PLF39" s="117" t="str">
        <f>IF(PLD39&lt;5,"Sin Riesgo",IF(PLD39 &lt;=14,"Bajo",IF(PLD39&lt;=35,"Medio",IF(PLD39&lt;=80,"Alto","Inviable Sanitariamente"))))</f>
        <v>Bajo</v>
      </c>
      <c r="PLG39" s="117">
        <v>0</v>
      </c>
      <c r="PLK39" s="117">
        <v>0</v>
      </c>
      <c r="PLM39" s="117">
        <v>23.08</v>
      </c>
      <c r="PLS39" s="117">
        <f>AVERAGE(PLG39:PLR39)</f>
        <v>7.6933333333333325</v>
      </c>
      <c r="PLT39" s="117" t="str">
        <f>IF(PLS39&lt;5,"SI","NO")</f>
        <v>NO</v>
      </c>
      <c r="PLU39" s="117" t="str">
        <f>IF(PLS39&lt;5,"Sin Riesgo",IF(PLS39 &lt;=14,"Bajo",IF(PLS39&lt;=35,"Medio",IF(PLS39&lt;=80,"Alto","Inviable Sanitariamente"))))</f>
        <v>Bajo</v>
      </c>
      <c r="PLV39" s="117">
        <v>0</v>
      </c>
      <c r="PLZ39" s="117">
        <v>0</v>
      </c>
      <c r="PMB39" s="117">
        <v>23.08</v>
      </c>
      <c r="PMH39" s="117">
        <f>AVERAGE(PLV39:PMG39)</f>
        <v>7.6933333333333325</v>
      </c>
      <c r="PMI39" s="117" t="str">
        <f>IF(PMH39&lt;5,"SI","NO")</f>
        <v>NO</v>
      </c>
      <c r="PMJ39" s="117" t="str">
        <f>IF(PMH39&lt;5,"Sin Riesgo",IF(PMH39 &lt;=14,"Bajo",IF(PMH39&lt;=35,"Medio",IF(PMH39&lt;=80,"Alto","Inviable Sanitariamente"))))</f>
        <v>Bajo</v>
      </c>
      <c r="PMK39" s="117">
        <v>0</v>
      </c>
      <c r="PMO39" s="117">
        <v>0</v>
      </c>
      <c r="PMQ39" s="117">
        <v>23.08</v>
      </c>
      <c r="PMW39" s="117">
        <f>AVERAGE(PMK39:PMV39)</f>
        <v>7.6933333333333325</v>
      </c>
      <c r="PMX39" s="117" t="str">
        <f>IF(PMW39&lt;5,"SI","NO")</f>
        <v>NO</v>
      </c>
      <c r="PMY39" s="117" t="str">
        <f>IF(PMW39&lt;5,"Sin Riesgo",IF(PMW39 &lt;=14,"Bajo",IF(PMW39&lt;=35,"Medio",IF(PMW39&lt;=80,"Alto","Inviable Sanitariamente"))))</f>
        <v>Bajo</v>
      </c>
      <c r="PMZ39" s="117">
        <v>0</v>
      </c>
      <c r="PND39" s="117">
        <v>0</v>
      </c>
      <c r="PNF39" s="117">
        <v>23.08</v>
      </c>
      <c r="PNL39" s="117">
        <f>AVERAGE(PMZ39:PNK39)</f>
        <v>7.6933333333333325</v>
      </c>
      <c r="PNM39" s="117" t="str">
        <f>IF(PNL39&lt;5,"SI","NO")</f>
        <v>NO</v>
      </c>
      <c r="PNN39" s="117" t="str">
        <f>IF(PNL39&lt;5,"Sin Riesgo",IF(PNL39 &lt;=14,"Bajo",IF(PNL39&lt;=35,"Medio",IF(PNL39&lt;=80,"Alto","Inviable Sanitariamente"))))</f>
        <v>Bajo</v>
      </c>
      <c r="PNO39" s="117">
        <v>0</v>
      </c>
      <c r="PNS39" s="117">
        <v>0</v>
      </c>
      <c r="PNU39" s="117">
        <v>23.08</v>
      </c>
      <c r="POA39" s="117">
        <f>AVERAGE(PNO39:PNZ39)</f>
        <v>7.6933333333333325</v>
      </c>
      <c r="POB39" s="117" t="str">
        <f>IF(POA39&lt;5,"SI","NO")</f>
        <v>NO</v>
      </c>
      <c r="POC39" s="117" t="str">
        <f>IF(POA39&lt;5,"Sin Riesgo",IF(POA39 &lt;=14,"Bajo",IF(POA39&lt;=35,"Medio",IF(POA39&lt;=80,"Alto","Inviable Sanitariamente"))))</f>
        <v>Bajo</v>
      </c>
      <c r="POD39" s="117">
        <v>0</v>
      </c>
      <c r="POH39" s="117">
        <v>0</v>
      </c>
      <c r="POJ39" s="117">
        <v>23.08</v>
      </c>
      <c r="POP39" s="117">
        <f>AVERAGE(POD39:POO39)</f>
        <v>7.6933333333333325</v>
      </c>
      <c r="POQ39" s="117" t="str">
        <f>IF(POP39&lt;5,"SI","NO")</f>
        <v>NO</v>
      </c>
      <c r="POR39" s="117" t="str">
        <f>IF(POP39&lt;5,"Sin Riesgo",IF(POP39 &lt;=14,"Bajo",IF(POP39&lt;=35,"Medio",IF(POP39&lt;=80,"Alto","Inviable Sanitariamente"))))</f>
        <v>Bajo</v>
      </c>
      <c r="POS39" s="117">
        <v>0</v>
      </c>
      <c r="POW39" s="117">
        <v>0</v>
      </c>
      <c r="POY39" s="117">
        <v>23.08</v>
      </c>
      <c r="PPE39" s="117">
        <f>AVERAGE(POS39:PPD39)</f>
        <v>7.6933333333333325</v>
      </c>
      <c r="PPF39" s="117" t="str">
        <f>IF(PPE39&lt;5,"SI","NO")</f>
        <v>NO</v>
      </c>
      <c r="PPG39" s="117" t="str">
        <f>IF(PPE39&lt;5,"Sin Riesgo",IF(PPE39 &lt;=14,"Bajo",IF(PPE39&lt;=35,"Medio",IF(PPE39&lt;=80,"Alto","Inviable Sanitariamente"))))</f>
        <v>Bajo</v>
      </c>
      <c r="PPH39" s="117">
        <v>0</v>
      </c>
      <c r="PPL39" s="117">
        <v>0</v>
      </c>
      <c r="PPN39" s="117">
        <v>23.08</v>
      </c>
      <c r="PPT39" s="117">
        <f>AVERAGE(PPH39:PPS39)</f>
        <v>7.6933333333333325</v>
      </c>
      <c r="PPU39" s="117" t="str">
        <f>IF(PPT39&lt;5,"SI","NO")</f>
        <v>NO</v>
      </c>
      <c r="PPV39" s="117" t="str">
        <f>IF(PPT39&lt;5,"Sin Riesgo",IF(PPT39 &lt;=14,"Bajo",IF(PPT39&lt;=35,"Medio",IF(PPT39&lt;=80,"Alto","Inviable Sanitariamente"))))</f>
        <v>Bajo</v>
      </c>
      <c r="PPW39" s="117">
        <v>0</v>
      </c>
      <c r="PQA39" s="117">
        <v>0</v>
      </c>
      <c r="PQC39" s="117">
        <v>23.08</v>
      </c>
      <c r="PQI39" s="117">
        <f>AVERAGE(PPW39:PQH39)</f>
        <v>7.6933333333333325</v>
      </c>
      <c r="PQJ39" s="117" t="str">
        <f>IF(PQI39&lt;5,"SI","NO")</f>
        <v>NO</v>
      </c>
      <c r="PQK39" s="117" t="str">
        <f>IF(PQI39&lt;5,"Sin Riesgo",IF(PQI39 &lt;=14,"Bajo",IF(PQI39&lt;=35,"Medio",IF(PQI39&lt;=80,"Alto","Inviable Sanitariamente"))))</f>
        <v>Bajo</v>
      </c>
      <c r="PQL39" s="117">
        <v>0</v>
      </c>
      <c r="PQP39" s="117">
        <v>0</v>
      </c>
      <c r="PQR39" s="117">
        <v>23.08</v>
      </c>
      <c r="PQX39" s="117">
        <f>AVERAGE(PQL39:PQW39)</f>
        <v>7.6933333333333325</v>
      </c>
      <c r="PQY39" s="117" t="str">
        <f>IF(PQX39&lt;5,"SI","NO")</f>
        <v>NO</v>
      </c>
      <c r="PQZ39" s="117" t="str">
        <f>IF(PQX39&lt;5,"Sin Riesgo",IF(PQX39 &lt;=14,"Bajo",IF(PQX39&lt;=35,"Medio",IF(PQX39&lt;=80,"Alto","Inviable Sanitariamente"))))</f>
        <v>Bajo</v>
      </c>
      <c r="PRA39" s="117">
        <v>0</v>
      </c>
      <c r="PRE39" s="117">
        <v>0</v>
      </c>
      <c r="PRG39" s="117">
        <v>23.08</v>
      </c>
      <c r="PRM39" s="117">
        <f>AVERAGE(PRA39:PRL39)</f>
        <v>7.6933333333333325</v>
      </c>
      <c r="PRN39" s="117" t="str">
        <f>IF(PRM39&lt;5,"SI","NO")</f>
        <v>NO</v>
      </c>
      <c r="PRO39" s="117" t="str">
        <f>IF(PRM39&lt;5,"Sin Riesgo",IF(PRM39 &lt;=14,"Bajo",IF(PRM39&lt;=35,"Medio",IF(PRM39&lt;=80,"Alto","Inviable Sanitariamente"))))</f>
        <v>Bajo</v>
      </c>
      <c r="PRP39" s="117">
        <v>0</v>
      </c>
      <c r="PRT39" s="117">
        <v>0</v>
      </c>
      <c r="PRV39" s="117">
        <v>23.08</v>
      </c>
      <c r="PSB39" s="117">
        <f>AVERAGE(PRP39:PSA39)</f>
        <v>7.6933333333333325</v>
      </c>
      <c r="PSC39" s="117" t="str">
        <f>IF(PSB39&lt;5,"SI","NO")</f>
        <v>NO</v>
      </c>
      <c r="PSD39" s="117" t="str">
        <f>IF(PSB39&lt;5,"Sin Riesgo",IF(PSB39 &lt;=14,"Bajo",IF(PSB39&lt;=35,"Medio",IF(PSB39&lt;=80,"Alto","Inviable Sanitariamente"))))</f>
        <v>Bajo</v>
      </c>
      <c r="PSE39" s="117">
        <v>0</v>
      </c>
      <c r="PSI39" s="117">
        <v>0</v>
      </c>
      <c r="PSK39" s="117">
        <v>23.08</v>
      </c>
      <c r="PSQ39" s="117">
        <f>AVERAGE(PSE39:PSP39)</f>
        <v>7.6933333333333325</v>
      </c>
      <c r="PSR39" s="117" t="str">
        <f>IF(PSQ39&lt;5,"SI","NO")</f>
        <v>NO</v>
      </c>
      <c r="PSS39" s="117" t="str">
        <f>IF(PSQ39&lt;5,"Sin Riesgo",IF(PSQ39 &lt;=14,"Bajo",IF(PSQ39&lt;=35,"Medio",IF(PSQ39&lt;=80,"Alto","Inviable Sanitariamente"))))</f>
        <v>Bajo</v>
      </c>
      <c r="PST39" s="117">
        <v>0</v>
      </c>
      <c r="PSX39" s="117">
        <v>0</v>
      </c>
      <c r="PSZ39" s="117">
        <v>23.08</v>
      </c>
      <c r="PTF39" s="117">
        <f>AVERAGE(PST39:PTE39)</f>
        <v>7.6933333333333325</v>
      </c>
      <c r="PTG39" s="117" t="str">
        <f>IF(PTF39&lt;5,"SI","NO")</f>
        <v>NO</v>
      </c>
      <c r="PTH39" s="117" t="str">
        <f>IF(PTF39&lt;5,"Sin Riesgo",IF(PTF39 &lt;=14,"Bajo",IF(PTF39&lt;=35,"Medio",IF(PTF39&lt;=80,"Alto","Inviable Sanitariamente"))))</f>
        <v>Bajo</v>
      </c>
      <c r="PTI39" s="117">
        <v>0</v>
      </c>
      <c r="PTM39" s="117">
        <v>0</v>
      </c>
      <c r="PTO39" s="117">
        <v>23.08</v>
      </c>
      <c r="PTU39" s="117">
        <f>AVERAGE(PTI39:PTT39)</f>
        <v>7.6933333333333325</v>
      </c>
      <c r="PTV39" s="117" t="str">
        <f>IF(PTU39&lt;5,"SI","NO")</f>
        <v>NO</v>
      </c>
      <c r="PTW39" s="117" t="str">
        <f>IF(PTU39&lt;5,"Sin Riesgo",IF(PTU39 &lt;=14,"Bajo",IF(PTU39&lt;=35,"Medio",IF(PTU39&lt;=80,"Alto","Inviable Sanitariamente"))))</f>
        <v>Bajo</v>
      </c>
      <c r="PTX39" s="117">
        <v>0</v>
      </c>
      <c r="PUB39" s="117">
        <v>0</v>
      </c>
      <c r="PUD39" s="117">
        <v>23.08</v>
      </c>
      <c r="PUJ39" s="117">
        <f>AVERAGE(PTX39:PUI39)</f>
        <v>7.6933333333333325</v>
      </c>
      <c r="PUK39" s="117" t="str">
        <f>IF(PUJ39&lt;5,"SI","NO")</f>
        <v>NO</v>
      </c>
      <c r="PUL39" s="117" t="str">
        <f>IF(PUJ39&lt;5,"Sin Riesgo",IF(PUJ39 &lt;=14,"Bajo",IF(PUJ39&lt;=35,"Medio",IF(PUJ39&lt;=80,"Alto","Inviable Sanitariamente"))))</f>
        <v>Bajo</v>
      </c>
      <c r="PUM39" s="117">
        <v>0</v>
      </c>
      <c r="PUQ39" s="117">
        <v>0</v>
      </c>
      <c r="PUS39" s="117">
        <v>23.08</v>
      </c>
      <c r="PUY39" s="117">
        <f>AVERAGE(PUM39:PUX39)</f>
        <v>7.6933333333333325</v>
      </c>
      <c r="PUZ39" s="117" t="str">
        <f>IF(PUY39&lt;5,"SI","NO")</f>
        <v>NO</v>
      </c>
      <c r="PVA39" s="117" t="str">
        <f>IF(PUY39&lt;5,"Sin Riesgo",IF(PUY39 &lt;=14,"Bajo",IF(PUY39&lt;=35,"Medio",IF(PUY39&lt;=80,"Alto","Inviable Sanitariamente"))))</f>
        <v>Bajo</v>
      </c>
      <c r="PVB39" s="117">
        <v>0</v>
      </c>
      <c r="PVF39" s="117">
        <v>0</v>
      </c>
      <c r="PVH39" s="117">
        <v>23.08</v>
      </c>
      <c r="PVN39" s="117">
        <f>AVERAGE(PVB39:PVM39)</f>
        <v>7.6933333333333325</v>
      </c>
      <c r="PVO39" s="117" t="str">
        <f>IF(PVN39&lt;5,"SI","NO")</f>
        <v>NO</v>
      </c>
      <c r="PVP39" s="117" t="str">
        <f>IF(PVN39&lt;5,"Sin Riesgo",IF(PVN39 &lt;=14,"Bajo",IF(PVN39&lt;=35,"Medio",IF(PVN39&lt;=80,"Alto","Inviable Sanitariamente"))))</f>
        <v>Bajo</v>
      </c>
      <c r="PVQ39" s="117">
        <v>0</v>
      </c>
      <c r="PVU39" s="117">
        <v>0</v>
      </c>
      <c r="PVW39" s="117">
        <v>23.08</v>
      </c>
      <c r="PWC39" s="117">
        <f>AVERAGE(PVQ39:PWB39)</f>
        <v>7.6933333333333325</v>
      </c>
      <c r="PWD39" s="117" t="str">
        <f>IF(PWC39&lt;5,"SI","NO")</f>
        <v>NO</v>
      </c>
      <c r="PWE39" s="117" t="str">
        <f>IF(PWC39&lt;5,"Sin Riesgo",IF(PWC39 &lt;=14,"Bajo",IF(PWC39&lt;=35,"Medio",IF(PWC39&lt;=80,"Alto","Inviable Sanitariamente"))))</f>
        <v>Bajo</v>
      </c>
      <c r="PWF39" s="117">
        <v>0</v>
      </c>
      <c r="PWJ39" s="117">
        <v>0</v>
      </c>
      <c r="PWL39" s="117">
        <v>23.08</v>
      </c>
      <c r="PWR39" s="117">
        <f>AVERAGE(PWF39:PWQ39)</f>
        <v>7.6933333333333325</v>
      </c>
      <c r="PWS39" s="117" t="str">
        <f>IF(PWR39&lt;5,"SI","NO")</f>
        <v>NO</v>
      </c>
      <c r="PWT39" s="117" t="str">
        <f>IF(PWR39&lt;5,"Sin Riesgo",IF(PWR39 &lt;=14,"Bajo",IF(PWR39&lt;=35,"Medio",IF(PWR39&lt;=80,"Alto","Inviable Sanitariamente"))))</f>
        <v>Bajo</v>
      </c>
      <c r="PWU39" s="117">
        <v>0</v>
      </c>
      <c r="PWY39" s="117">
        <v>0</v>
      </c>
      <c r="PXA39" s="117">
        <v>23.08</v>
      </c>
      <c r="PXG39" s="117">
        <f>AVERAGE(PWU39:PXF39)</f>
        <v>7.6933333333333325</v>
      </c>
      <c r="PXH39" s="117" t="str">
        <f>IF(PXG39&lt;5,"SI","NO")</f>
        <v>NO</v>
      </c>
      <c r="PXI39" s="117" t="str">
        <f>IF(PXG39&lt;5,"Sin Riesgo",IF(PXG39 &lt;=14,"Bajo",IF(PXG39&lt;=35,"Medio",IF(PXG39&lt;=80,"Alto","Inviable Sanitariamente"))))</f>
        <v>Bajo</v>
      </c>
      <c r="PXJ39" s="117">
        <v>0</v>
      </c>
      <c r="PXN39" s="117">
        <v>0</v>
      </c>
      <c r="PXP39" s="117">
        <v>23.08</v>
      </c>
      <c r="PXV39" s="117">
        <f>AVERAGE(PXJ39:PXU39)</f>
        <v>7.6933333333333325</v>
      </c>
      <c r="PXW39" s="117" t="str">
        <f>IF(PXV39&lt;5,"SI","NO")</f>
        <v>NO</v>
      </c>
      <c r="PXX39" s="117" t="str">
        <f>IF(PXV39&lt;5,"Sin Riesgo",IF(PXV39 &lt;=14,"Bajo",IF(PXV39&lt;=35,"Medio",IF(PXV39&lt;=80,"Alto","Inviable Sanitariamente"))))</f>
        <v>Bajo</v>
      </c>
      <c r="PXY39" s="117">
        <v>0</v>
      </c>
      <c r="PYC39" s="117">
        <v>0</v>
      </c>
      <c r="PYE39" s="117">
        <v>23.08</v>
      </c>
      <c r="PYK39" s="117">
        <f>AVERAGE(PXY39:PYJ39)</f>
        <v>7.6933333333333325</v>
      </c>
      <c r="PYL39" s="117" t="str">
        <f>IF(PYK39&lt;5,"SI","NO")</f>
        <v>NO</v>
      </c>
      <c r="PYM39" s="117" t="str">
        <f>IF(PYK39&lt;5,"Sin Riesgo",IF(PYK39 &lt;=14,"Bajo",IF(PYK39&lt;=35,"Medio",IF(PYK39&lt;=80,"Alto","Inviable Sanitariamente"))))</f>
        <v>Bajo</v>
      </c>
      <c r="PYN39" s="117">
        <v>0</v>
      </c>
      <c r="PYR39" s="117">
        <v>0</v>
      </c>
      <c r="PYT39" s="117">
        <v>23.08</v>
      </c>
      <c r="PYZ39" s="117">
        <f>AVERAGE(PYN39:PYY39)</f>
        <v>7.6933333333333325</v>
      </c>
      <c r="PZA39" s="117" t="str">
        <f>IF(PYZ39&lt;5,"SI","NO")</f>
        <v>NO</v>
      </c>
      <c r="PZB39" s="117" t="str">
        <f>IF(PYZ39&lt;5,"Sin Riesgo",IF(PYZ39 &lt;=14,"Bajo",IF(PYZ39&lt;=35,"Medio",IF(PYZ39&lt;=80,"Alto","Inviable Sanitariamente"))))</f>
        <v>Bajo</v>
      </c>
      <c r="PZC39" s="117">
        <v>0</v>
      </c>
      <c r="PZG39" s="117">
        <v>0</v>
      </c>
      <c r="PZI39" s="117">
        <v>23.08</v>
      </c>
      <c r="PZO39" s="117">
        <f>AVERAGE(PZC39:PZN39)</f>
        <v>7.6933333333333325</v>
      </c>
      <c r="PZP39" s="117" t="str">
        <f>IF(PZO39&lt;5,"SI","NO")</f>
        <v>NO</v>
      </c>
      <c r="PZQ39" s="117" t="str">
        <f>IF(PZO39&lt;5,"Sin Riesgo",IF(PZO39 &lt;=14,"Bajo",IF(PZO39&lt;=35,"Medio",IF(PZO39&lt;=80,"Alto","Inviable Sanitariamente"))))</f>
        <v>Bajo</v>
      </c>
      <c r="PZR39" s="117">
        <v>0</v>
      </c>
      <c r="PZV39" s="117">
        <v>0</v>
      </c>
      <c r="PZX39" s="117">
        <v>23.08</v>
      </c>
      <c r="QAD39" s="117">
        <f>AVERAGE(PZR39:QAC39)</f>
        <v>7.6933333333333325</v>
      </c>
      <c r="QAE39" s="117" t="str">
        <f>IF(QAD39&lt;5,"SI","NO")</f>
        <v>NO</v>
      </c>
      <c r="QAF39" s="117" t="str">
        <f>IF(QAD39&lt;5,"Sin Riesgo",IF(QAD39 &lt;=14,"Bajo",IF(QAD39&lt;=35,"Medio",IF(QAD39&lt;=80,"Alto","Inviable Sanitariamente"))))</f>
        <v>Bajo</v>
      </c>
      <c r="QAG39" s="117">
        <v>0</v>
      </c>
      <c r="QAK39" s="117">
        <v>0</v>
      </c>
      <c r="QAM39" s="117">
        <v>23.08</v>
      </c>
      <c r="QAS39" s="117">
        <f>AVERAGE(QAG39:QAR39)</f>
        <v>7.6933333333333325</v>
      </c>
      <c r="QAT39" s="117" t="str">
        <f>IF(QAS39&lt;5,"SI","NO")</f>
        <v>NO</v>
      </c>
      <c r="QAU39" s="117" t="str">
        <f>IF(QAS39&lt;5,"Sin Riesgo",IF(QAS39 &lt;=14,"Bajo",IF(QAS39&lt;=35,"Medio",IF(QAS39&lt;=80,"Alto","Inviable Sanitariamente"))))</f>
        <v>Bajo</v>
      </c>
      <c r="QAV39" s="117">
        <v>0</v>
      </c>
      <c r="QAZ39" s="117">
        <v>0</v>
      </c>
      <c r="QBB39" s="117">
        <v>23.08</v>
      </c>
      <c r="QBH39" s="117">
        <f>AVERAGE(QAV39:QBG39)</f>
        <v>7.6933333333333325</v>
      </c>
      <c r="QBI39" s="117" t="str">
        <f>IF(QBH39&lt;5,"SI","NO")</f>
        <v>NO</v>
      </c>
      <c r="QBJ39" s="117" t="str">
        <f>IF(QBH39&lt;5,"Sin Riesgo",IF(QBH39 &lt;=14,"Bajo",IF(QBH39&lt;=35,"Medio",IF(QBH39&lt;=80,"Alto","Inviable Sanitariamente"))))</f>
        <v>Bajo</v>
      </c>
      <c r="QBK39" s="117">
        <v>0</v>
      </c>
      <c r="QBO39" s="117">
        <v>0</v>
      </c>
      <c r="QBQ39" s="117">
        <v>23.08</v>
      </c>
      <c r="QBW39" s="117">
        <f>AVERAGE(QBK39:QBV39)</f>
        <v>7.6933333333333325</v>
      </c>
      <c r="QBX39" s="117" t="str">
        <f>IF(QBW39&lt;5,"SI","NO")</f>
        <v>NO</v>
      </c>
      <c r="QBY39" s="117" t="str">
        <f>IF(QBW39&lt;5,"Sin Riesgo",IF(QBW39 &lt;=14,"Bajo",IF(QBW39&lt;=35,"Medio",IF(QBW39&lt;=80,"Alto","Inviable Sanitariamente"))))</f>
        <v>Bajo</v>
      </c>
      <c r="QBZ39" s="117">
        <v>0</v>
      </c>
      <c r="QCD39" s="117">
        <v>0</v>
      </c>
      <c r="QCF39" s="117">
        <v>23.08</v>
      </c>
      <c r="QCL39" s="117">
        <f>AVERAGE(QBZ39:QCK39)</f>
        <v>7.6933333333333325</v>
      </c>
      <c r="QCM39" s="117" t="str">
        <f>IF(QCL39&lt;5,"SI","NO")</f>
        <v>NO</v>
      </c>
      <c r="QCN39" s="117" t="str">
        <f>IF(QCL39&lt;5,"Sin Riesgo",IF(QCL39 &lt;=14,"Bajo",IF(QCL39&lt;=35,"Medio",IF(QCL39&lt;=80,"Alto","Inviable Sanitariamente"))))</f>
        <v>Bajo</v>
      </c>
      <c r="QCO39" s="117">
        <v>0</v>
      </c>
      <c r="QCS39" s="117">
        <v>0</v>
      </c>
      <c r="QCU39" s="117">
        <v>23.08</v>
      </c>
      <c r="QDA39" s="117">
        <f>AVERAGE(QCO39:QCZ39)</f>
        <v>7.6933333333333325</v>
      </c>
      <c r="QDB39" s="117" t="str">
        <f>IF(QDA39&lt;5,"SI","NO")</f>
        <v>NO</v>
      </c>
      <c r="QDC39" s="117" t="str">
        <f>IF(QDA39&lt;5,"Sin Riesgo",IF(QDA39 &lt;=14,"Bajo",IF(QDA39&lt;=35,"Medio",IF(QDA39&lt;=80,"Alto","Inviable Sanitariamente"))))</f>
        <v>Bajo</v>
      </c>
      <c r="QDD39" s="117">
        <v>0</v>
      </c>
      <c r="QDH39" s="117">
        <v>0</v>
      </c>
      <c r="QDJ39" s="117">
        <v>23.08</v>
      </c>
      <c r="QDP39" s="117">
        <f>AVERAGE(QDD39:QDO39)</f>
        <v>7.6933333333333325</v>
      </c>
      <c r="QDQ39" s="117" t="str">
        <f>IF(QDP39&lt;5,"SI","NO")</f>
        <v>NO</v>
      </c>
      <c r="QDR39" s="117" t="str">
        <f>IF(QDP39&lt;5,"Sin Riesgo",IF(QDP39 &lt;=14,"Bajo",IF(QDP39&lt;=35,"Medio",IF(QDP39&lt;=80,"Alto","Inviable Sanitariamente"))))</f>
        <v>Bajo</v>
      </c>
      <c r="QDS39" s="117">
        <v>0</v>
      </c>
      <c r="QDW39" s="117">
        <v>0</v>
      </c>
      <c r="QDY39" s="117">
        <v>23.08</v>
      </c>
      <c r="QEE39" s="117">
        <f>AVERAGE(QDS39:QED39)</f>
        <v>7.6933333333333325</v>
      </c>
      <c r="QEF39" s="117" t="str">
        <f>IF(QEE39&lt;5,"SI","NO")</f>
        <v>NO</v>
      </c>
      <c r="QEG39" s="117" t="str">
        <f>IF(QEE39&lt;5,"Sin Riesgo",IF(QEE39 &lt;=14,"Bajo",IF(QEE39&lt;=35,"Medio",IF(QEE39&lt;=80,"Alto","Inviable Sanitariamente"))))</f>
        <v>Bajo</v>
      </c>
      <c r="QEH39" s="117">
        <v>0</v>
      </c>
      <c r="QEL39" s="117">
        <v>0</v>
      </c>
      <c r="QEN39" s="117">
        <v>23.08</v>
      </c>
      <c r="QET39" s="117">
        <f>AVERAGE(QEH39:QES39)</f>
        <v>7.6933333333333325</v>
      </c>
      <c r="QEU39" s="117" t="str">
        <f>IF(QET39&lt;5,"SI","NO")</f>
        <v>NO</v>
      </c>
      <c r="QEV39" s="117" t="str">
        <f>IF(QET39&lt;5,"Sin Riesgo",IF(QET39 &lt;=14,"Bajo",IF(QET39&lt;=35,"Medio",IF(QET39&lt;=80,"Alto","Inviable Sanitariamente"))))</f>
        <v>Bajo</v>
      </c>
      <c r="QEW39" s="117">
        <v>0</v>
      </c>
      <c r="QFA39" s="117">
        <v>0</v>
      </c>
      <c r="QFC39" s="117">
        <v>23.08</v>
      </c>
      <c r="QFI39" s="117">
        <f>AVERAGE(QEW39:QFH39)</f>
        <v>7.6933333333333325</v>
      </c>
      <c r="QFJ39" s="117" t="str">
        <f>IF(QFI39&lt;5,"SI","NO")</f>
        <v>NO</v>
      </c>
      <c r="QFK39" s="117" t="str">
        <f>IF(QFI39&lt;5,"Sin Riesgo",IF(QFI39 &lt;=14,"Bajo",IF(QFI39&lt;=35,"Medio",IF(QFI39&lt;=80,"Alto","Inviable Sanitariamente"))))</f>
        <v>Bajo</v>
      </c>
      <c r="QFL39" s="117">
        <v>0</v>
      </c>
      <c r="QFP39" s="117">
        <v>0</v>
      </c>
      <c r="QFR39" s="117">
        <v>23.08</v>
      </c>
      <c r="QFX39" s="117">
        <f>AVERAGE(QFL39:QFW39)</f>
        <v>7.6933333333333325</v>
      </c>
      <c r="QFY39" s="117" t="str">
        <f>IF(QFX39&lt;5,"SI","NO")</f>
        <v>NO</v>
      </c>
      <c r="QFZ39" s="117" t="str">
        <f>IF(QFX39&lt;5,"Sin Riesgo",IF(QFX39 &lt;=14,"Bajo",IF(QFX39&lt;=35,"Medio",IF(QFX39&lt;=80,"Alto","Inviable Sanitariamente"))))</f>
        <v>Bajo</v>
      </c>
      <c r="QGA39" s="117">
        <v>0</v>
      </c>
      <c r="QGE39" s="117">
        <v>0</v>
      </c>
      <c r="QGG39" s="117">
        <v>23.08</v>
      </c>
      <c r="QGM39" s="117">
        <f>AVERAGE(QGA39:QGL39)</f>
        <v>7.6933333333333325</v>
      </c>
      <c r="QGN39" s="117" t="str">
        <f>IF(QGM39&lt;5,"SI","NO")</f>
        <v>NO</v>
      </c>
      <c r="QGO39" s="117" t="str">
        <f>IF(QGM39&lt;5,"Sin Riesgo",IF(QGM39 &lt;=14,"Bajo",IF(QGM39&lt;=35,"Medio",IF(QGM39&lt;=80,"Alto","Inviable Sanitariamente"))))</f>
        <v>Bajo</v>
      </c>
      <c r="QGP39" s="117">
        <v>0</v>
      </c>
      <c r="QGT39" s="117">
        <v>0</v>
      </c>
      <c r="QGV39" s="117">
        <v>23.08</v>
      </c>
      <c r="QHB39" s="117">
        <f>AVERAGE(QGP39:QHA39)</f>
        <v>7.6933333333333325</v>
      </c>
      <c r="QHC39" s="117" t="str">
        <f>IF(QHB39&lt;5,"SI","NO")</f>
        <v>NO</v>
      </c>
      <c r="QHD39" s="117" t="str">
        <f>IF(QHB39&lt;5,"Sin Riesgo",IF(QHB39 &lt;=14,"Bajo",IF(QHB39&lt;=35,"Medio",IF(QHB39&lt;=80,"Alto","Inviable Sanitariamente"))))</f>
        <v>Bajo</v>
      </c>
      <c r="QHE39" s="117">
        <v>0</v>
      </c>
      <c r="QHI39" s="117">
        <v>0</v>
      </c>
      <c r="QHK39" s="117">
        <v>23.08</v>
      </c>
      <c r="QHQ39" s="117">
        <f>AVERAGE(QHE39:QHP39)</f>
        <v>7.6933333333333325</v>
      </c>
      <c r="QHR39" s="117" t="str">
        <f>IF(QHQ39&lt;5,"SI","NO")</f>
        <v>NO</v>
      </c>
      <c r="QHS39" s="117" t="str">
        <f>IF(QHQ39&lt;5,"Sin Riesgo",IF(QHQ39 &lt;=14,"Bajo",IF(QHQ39&lt;=35,"Medio",IF(QHQ39&lt;=80,"Alto","Inviable Sanitariamente"))))</f>
        <v>Bajo</v>
      </c>
      <c r="QHT39" s="117">
        <v>0</v>
      </c>
      <c r="QHX39" s="117">
        <v>0</v>
      </c>
      <c r="QHZ39" s="117">
        <v>23.08</v>
      </c>
      <c r="QIF39" s="117">
        <f>AVERAGE(QHT39:QIE39)</f>
        <v>7.6933333333333325</v>
      </c>
      <c r="QIG39" s="117" t="str">
        <f>IF(QIF39&lt;5,"SI","NO")</f>
        <v>NO</v>
      </c>
      <c r="QIH39" s="117" t="str">
        <f>IF(QIF39&lt;5,"Sin Riesgo",IF(QIF39 &lt;=14,"Bajo",IF(QIF39&lt;=35,"Medio",IF(QIF39&lt;=80,"Alto","Inviable Sanitariamente"))))</f>
        <v>Bajo</v>
      </c>
      <c r="QII39" s="117">
        <v>0</v>
      </c>
      <c r="QIM39" s="117">
        <v>0</v>
      </c>
      <c r="QIO39" s="117">
        <v>23.08</v>
      </c>
      <c r="QIU39" s="117">
        <f>AVERAGE(QII39:QIT39)</f>
        <v>7.6933333333333325</v>
      </c>
      <c r="QIV39" s="117" t="str">
        <f>IF(QIU39&lt;5,"SI","NO")</f>
        <v>NO</v>
      </c>
      <c r="QIW39" s="117" t="str">
        <f>IF(QIU39&lt;5,"Sin Riesgo",IF(QIU39 &lt;=14,"Bajo",IF(QIU39&lt;=35,"Medio",IF(QIU39&lt;=80,"Alto","Inviable Sanitariamente"))))</f>
        <v>Bajo</v>
      </c>
      <c r="QIX39" s="117">
        <v>0</v>
      </c>
      <c r="QJB39" s="117">
        <v>0</v>
      </c>
      <c r="QJD39" s="117">
        <v>23.08</v>
      </c>
      <c r="QJJ39" s="117">
        <f>AVERAGE(QIX39:QJI39)</f>
        <v>7.6933333333333325</v>
      </c>
      <c r="QJK39" s="117" t="str">
        <f>IF(QJJ39&lt;5,"SI","NO")</f>
        <v>NO</v>
      </c>
      <c r="QJL39" s="117" t="str">
        <f>IF(QJJ39&lt;5,"Sin Riesgo",IF(QJJ39 &lt;=14,"Bajo",IF(QJJ39&lt;=35,"Medio",IF(QJJ39&lt;=80,"Alto","Inviable Sanitariamente"))))</f>
        <v>Bajo</v>
      </c>
      <c r="QJM39" s="117">
        <v>0</v>
      </c>
      <c r="QJQ39" s="117">
        <v>0</v>
      </c>
      <c r="QJS39" s="117">
        <v>23.08</v>
      </c>
      <c r="QJY39" s="117">
        <f>AVERAGE(QJM39:QJX39)</f>
        <v>7.6933333333333325</v>
      </c>
      <c r="QJZ39" s="117" t="str">
        <f>IF(QJY39&lt;5,"SI","NO")</f>
        <v>NO</v>
      </c>
      <c r="QKA39" s="117" t="str">
        <f>IF(QJY39&lt;5,"Sin Riesgo",IF(QJY39 &lt;=14,"Bajo",IF(QJY39&lt;=35,"Medio",IF(QJY39&lt;=80,"Alto","Inviable Sanitariamente"))))</f>
        <v>Bajo</v>
      </c>
      <c r="QKB39" s="117">
        <v>0</v>
      </c>
      <c r="QKF39" s="117">
        <v>0</v>
      </c>
      <c r="QKH39" s="117">
        <v>23.08</v>
      </c>
      <c r="QKN39" s="117">
        <f>AVERAGE(QKB39:QKM39)</f>
        <v>7.6933333333333325</v>
      </c>
      <c r="QKO39" s="117" t="str">
        <f>IF(QKN39&lt;5,"SI","NO")</f>
        <v>NO</v>
      </c>
      <c r="QKP39" s="117" t="str">
        <f>IF(QKN39&lt;5,"Sin Riesgo",IF(QKN39 &lt;=14,"Bajo",IF(QKN39&lt;=35,"Medio",IF(QKN39&lt;=80,"Alto","Inviable Sanitariamente"))))</f>
        <v>Bajo</v>
      </c>
      <c r="QKQ39" s="117">
        <v>0</v>
      </c>
      <c r="QKU39" s="117">
        <v>0</v>
      </c>
      <c r="QKW39" s="117">
        <v>23.08</v>
      </c>
      <c r="QLC39" s="117">
        <f>AVERAGE(QKQ39:QLB39)</f>
        <v>7.6933333333333325</v>
      </c>
      <c r="QLD39" s="117" t="str">
        <f>IF(QLC39&lt;5,"SI","NO")</f>
        <v>NO</v>
      </c>
      <c r="QLE39" s="117" t="str">
        <f>IF(QLC39&lt;5,"Sin Riesgo",IF(QLC39 &lt;=14,"Bajo",IF(QLC39&lt;=35,"Medio",IF(QLC39&lt;=80,"Alto","Inviable Sanitariamente"))))</f>
        <v>Bajo</v>
      </c>
      <c r="QLF39" s="117">
        <v>0</v>
      </c>
      <c r="QLJ39" s="117">
        <v>0</v>
      </c>
      <c r="QLL39" s="117">
        <v>23.08</v>
      </c>
      <c r="QLR39" s="117">
        <f>AVERAGE(QLF39:QLQ39)</f>
        <v>7.6933333333333325</v>
      </c>
      <c r="QLS39" s="117" t="str">
        <f>IF(QLR39&lt;5,"SI","NO")</f>
        <v>NO</v>
      </c>
      <c r="QLT39" s="117" t="str">
        <f>IF(QLR39&lt;5,"Sin Riesgo",IF(QLR39 &lt;=14,"Bajo",IF(QLR39&lt;=35,"Medio",IF(QLR39&lt;=80,"Alto","Inviable Sanitariamente"))))</f>
        <v>Bajo</v>
      </c>
      <c r="QLU39" s="117">
        <v>0</v>
      </c>
      <c r="QLY39" s="117">
        <v>0</v>
      </c>
      <c r="QMA39" s="117">
        <v>23.08</v>
      </c>
      <c r="QMG39" s="117">
        <f>AVERAGE(QLU39:QMF39)</f>
        <v>7.6933333333333325</v>
      </c>
      <c r="QMH39" s="117" t="str">
        <f>IF(QMG39&lt;5,"SI","NO")</f>
        <v>NO</v>
      </c>
      <c r="QMI39" s="117" t="str">
        <f>IF(QMG39&lt;5,"Sin Riesgo",IF(QMG39 &lt;=14,"Bajo",IF(QMG39&lt;=35,"Medio",IF(QMG39&lt;=80,"Alto","Inviable Sanitariamente"))))</f>
        <v>Bajo</v>
      </c>
      <c r="QMJ39" s="117">
        <v>0</v>
      </c>
      <c r="QMN39" s="117">
        <v>0</v>
      </c>
      <c r="QMP39" s="117">
        <v>23.08</v>
      </c>
      <c r="QMV39" s="117">
        <f>AVERAGE(QMJ39:QMU39)</f>
        <v>7.6933333333333325</v>
      </c>
      <c r="QMW39" s="117" t="str">
        <f>IF(QMV39&lt;5,"SI","NO")</f>
        <v>NO</v>
      </c>
      <c r="QMX39" s="117" t="str">
        <f>IF(QMV39&lt;5,"Sin Riesgo",IF(QMV39 &lt;=14,"Bajo",IF(QMV39&lt;=35,"Medio",IF(QMV39&lt;=80,"Alto","Inviable Sanitariamente"))))</f>
        <v>Bajo</v>
      </c>
      <c r="QMY39" s="117">
        <v>0</v>
      </c>
      <c r="QNC39" s="117">
        <v>0</v>
      </c>
      <c r="QNE39" s="117">
        <v>23.08</v>
      </c>
      <c r="QNK39" s="117">
        <f>AVERAGE(QMY39:QNJ39)</f>
        <v>7.6933333333333325</v>
      </c>
      <c r="QNL39" s="117" t="str">
        <f>IF(QNK39&lt;5,"SI","NO")</f>
        <v>NO</v>
      </c>
      <c r="QNM39" s="117" t="str">
        <f>IF(QNK39&lt;5,"Sin Riesgo",IF(QNK39 &lt;=14,"Bajo",IF(QNK39&lt;=35,"Medio",IF(QNK39&lt;=80,"Alto","Inviable Sanitariamente"))))</f>
        <v>Bajo</v>
      </c>
      <c r="QNN39" s="117">
        <v>0</v>
      </c>
      <c r="QNR39" s="117">
        <v>0</v>
      </c>
      <c r="QNT39" s="117">
        <v>23.08</v>
      </c>
      <c r="QNZ39" s="117">
        <f>AVERAGE(QNN39:QNY39)</f>
        <v>7.6933333333333325</v>
      </c>
      <c r="QOA39" s="117" t="str">
        <f>IF(QNZ39&lt;5,"SI","NO")</f>
        <v>NO</v>
      </c>
      <c r="QOB39" s="117" t="str">
        <f>IF(QNZ39&lt;5,"Sin Riesgo",IF(QNZ39 &lt;=14,"Bajo",IF(QNZ39&lt;=35,"Medio",IF(QNZ39&lt;=80,"Alto","Inviable Sanitariamente"))))</f>
        <v>Bajo</v>
      </c>
      <c r="QOC39" s="117">
        <v>0</v>
      </c>
      <c r="QOG39" s="117">
        <v>0</v>
      </c>
      <c r="QOI39" s="117">
        <v>23.08</v>
      </c>
      <c r="QOO39" s="117">
        <f>AVERAGE(QOC39:QON39)</f>
        <v>7.6933333333333325</v>
      </c>
      <c r="QOP39" s="117" t="str">
        <f>IF(QOO39&lt;5,"SI","NO")</f>
        <v>NO</v>
      </c>
      <c r="QOQ39" s="117" t="str">
        <f>IF(QOO39&lt;5,"Sin Riesgo",IF(QOO39 &lt;=14,"Bajo",IF(QOO39&lt;=35,"Medio",IF(QOO39&lt;=80,"Alto","Inviable Sanitariamente"))))</f>
        <v>Bajo</v>
      </c>
      <c r="QOR39" s="117">
        <v>0</v>
      </c>
      <c r="QOV39" s="117">
        <v>0</v>
      </c>
      <c r="QOX39" s="117">
        <v>23.08</v>
      </c>
      <c r="QPD39" s="117">
        <f>AVERAGE(QOR39:QPC39)</f>
        <v>7.6933333333333325</v>
      </c>
      <c r="QPE39" s="117" t="str">
        <f>IF(QPD39&lt;5,"SI","NO")</f>
        <v>NO</v>
      </c>
      <c r="QPF39" s="117" t="str">
        <f>IF(QPD39&lt;5,"Sin Riesgo",IF(QPD39 &lt;=14,"Bajo",IF(QPD39&lt;=35,"Medio",IF(QPD39&lt;=80,"Alto","Inviable Sanitariamente"))))</f>
        <v>Bajo</v>
      </c>
      <c r="QPG39" s="117">
        <v>0</v>
      </c>
      <c r="QPK39" s="117">
        <v>0</v>
      </c>
      <c r="QPM39" s="117">
        <v>23.08</v>
      </c>
      <c r="QPS39" s="117">
        <f>AVERAGE(QPG39:QPR39)</f>
        <v>7.6933333333333325</v>
      </c>
      <c r="QPT39" s="117" t="str">
        <f>IF(QPS39&lt;5,"SI","NO")</f>
        <v>NO</v>
      </c>
      <c r="QPU39" s="117" t="str">
        <f>IF(QPS39&lt;5,"Sin Riesgo",IF(QPS39 &lt;=14,"Bajo",IF(QPS39&lt;=35,"Medio",IF(QPS39&lt;=80,"Alto","Inviable Sanitariamente"))))</f>
        <v>Bajo</v>
      </c>
      <c r="QPV39" s="117">
        <v>0</v>
      </c>
      <c r="QPZ39" s="117">
        <v>0</v>
      </c>
      <c r="QQB39" s="117">
        <v>23.08</v>
      </c>
      <c r="QQH39" s="117">
        <f>AVERAGE(QPV39:QQG39)</f>
        <v>7.6933333333333325</v>
      </c>
      <c r="QQI39" s="117" t="str">
        <f>IF(QQH39&lt;5,"SI","NO")</f>
        <v>NO</v>
      </c>
      <c r="QQJ39" s="117" t="str">
        <f>IF(QQH39&lt;5,"Sin Riesgo",IF(QQH39 &lt;=14,"Bajo",IF(QQH39&lt;=35,"Medio",IF(QQH39&lt;=80,"Alto","Inviable Sanitariamente"))))</f>
        <v>Bajo</v>
      </c>
      <c r="QQK39" s="117">
        <v>0</v>
      </c>
      <c r="QQO39" s="117">
        <v>0</v>
      </c>
      <c r="QQQ39" s="117">
        <v>23.08</v>
      </c>
      <c r="QQW39" s="117">
        <f>AVERAGE(QQK39:QQV39)</f>
        <v>7.6933333333333325</v>
      </c>
      <c r="QQX39" s="117" t="str">
        <f>IF(QQW39&lt;5,"SI","NO")</f>
        <v>NO</v>
      </c>
      <c r="QQY39" s="117" t="str">
        <f>IF(QQW39&lt;5,"Sin Riesgo",IF(QQW39 &lt;=14,"Bajo",IF(QQW39&lt;=35,"Medio",IF(QQW39&lt;=80,"Alto","Inviable Sanitariamente"))))</f>
        <v>Bajo</v>
      </c>
      <c r="QQZ39" s="117">
        <v>0</v>
      </c>
      <c r="QRD39" s="117">
        <v>0</v>
      </c>
      <c r="QRF39" s="117">
        <v>23.08</v>
      </c>
      <c r="QRL39" s="117">
        <f>AVERAGE(QQZ39:QRK39)</f>
        <v>7.6933333333333325</v>
      </c>
      <c r="QRM39" s="117" t="str">
        <f>IF(QRL39&lt;5,"SI","NO")</f>
        <v>NO</v>
      </c>
      <c r="QRN39" s="117" t="str">
        <f>IF(QRL39&lt;5,"Sin Riesgo",IF(QRL39 &lt;=14,"Bajo",IF(QRL39&lt;=35,"Medio",IF(QRL39&lt;=80,"Alto","Inviable Sanitariamente"))))</f>
        <v>Bajo</v>
      </c>
      <c r="QRO39" s="117">
        <v>0</v>
      </c>
      <c r="QRS39" s="117">
        <v>0</v>
      </c>
      <c r="QRU39" s="117">
        <v>23.08</v>
      </c>
      <c r="QSA39" s="117">
        <f>AVERAGE(QRO39:QRZ39)</f>
        <v>7.6933333333333325</v>
      </c>
      <c r="QSB39" s="117" t="str">
        <f>IF(QSA39&lt;5,"SI","NO")</f>
        <v>NO</v>
      </c>
      <c r="QSC39" s="117" t="str">
        <f>IF(QSA39&lt;5,"Sin Riesgo",IF(QSA39 &lt;=14,"Bajo",IF(QSA39&lt;=35,"Medio",IF(QSA39&lt;=80,"Alto","Inviable Sanitariamente"))))</f>
        <v>Bajo</v>
      </c>
      <c r="QSD39" s="117">
        <v>0</v>
      </c>
      <c r="QSH39" s="117">
        <v>0</v>
      </c>
      <c r="QSJ39" s="117">
        <v>23.08</v>
      </c>
      <c r="QSP39" s="117">
        <f>AVERAGE(QSD39:QSO39)</f>
        <v>7.6933333333333325</v>
      </c>
      <c r="QSQ39" s="117" t="str">
        <f>IF(QSP39&lt;5,"SI","NO")</f>
        <v>NO</v>
      </c>
      <c r="QSR39" s="117" t="str">
        <f>IF(QSP39&lt;5,"Sin Riesgo",IF(QSP39 &lt;=14,"Bajo",IF(QSP39&lt;=35,"Medio",IF(QSP39&lt;=80,"Alto","Inviable Sanitariamente"))))</f>
        <v>Bajo</v>
      </c>
      <c r="QSS39" s="117">
        <v>0</v>
      </c>
      <c r="QSW39" s="117">
        <v>0</v>
      </c>
      <c r="QSY39" s="117">
        <v>23.08</v>
      </c>
      <c r="QTE39" s="117">
        <f>AVERAGE(QSS39:QTD39)</f>
        <v>7.6933333333333325</v>
      </c>
      <c r="QTF39" s="117" t="str">
        <f>IF(QTE39&lt;5,"SI","NO")</f>
        <v>NO</v>
      </c>
      <c r="QTG39" s="117" t="str">
        <f>IF(QTE39&lt;5,"Sin Riesgo",IF(QTE39 &lt;=14,"Bajo",IF(QTE39&lt;=35,"Medio",IF(QTE39&lt;=80,"Alto","Inviable Sanitariamente"))))</f>
        <v>Bajo</v>
      </c>
      <c r="QTH39" s="117">
        <v>0</v>
      </c>
      <c r="QTL39" s="117">
        <v>0</v>
      </c>
      <c r="QTN39" s="117">
        <v>23.08</v>
      </c>
      <c r="QTT39" s="117">
        <f>AVERAGE(QTH39:QTS39)</f>
        <v>7.6933333333333325</v>
      </c>
      <c r="QTU39" s="117" t="str">
        <f>IF(QTT39&lt;5,"SI","NO")</f>
        <v>NO</v>
      </c>
      <c r="QTV39" s="117" t="str">
        <f>IF(QTT39&lt;5,"Sin Riesgo",IF(QTT39 &lt;=14,"Bajo",IF(QTT39&lt;=35,"Medio",IF(QTT39&lt;=80,"Alto","Inviable Sanitariamente"))))</f>
        <v>Bajo</v>
      </c>
      <c r="QTW39" s="117">
        <v>0</v>
      </c>
      <c r="QUA39" s="117">
        <v>0</v>
      </c>
      <c r="QUC39" s="117">
        <v>23.08</v>
      </c>
      <c r="QUI39" s="117">
        <f>AVERAGE(QTW39:QUH39)</f>
        <v>7.6933333333333325</v>
      </c>
      <c r="QUJ39" s="117" t="str">
        <f>IF(QUI39&lt;5,"SI","NO")</f>
        <v>NO</v>
      </c>
      <c r="QUK39" s="117" t="str">
        <f>IF(QUI39&lt;5,"Sin Riesgo",IF(QUI39 &lt;=14,"Bajo",IF(QUI39&lt;=35,"Medio",IF(QUI39&lt;=80,"Alto","Inviable Sanitariamente"))))</f>
        <v>Bajo</v>
      </c>
      <c r="QUL39" s="117">
        <v>0</v>
      </c>
      <c r="QUP39" s="117">
        <v>0</v>
      </c>
      <c r="QUR39" s="117">
        <v>23.08</v>
      </c>
      <c r="QUX39" s="117">
        <f>AVERAGE(QUL39:QUW39)</f>
        <v>7.6933333333333325</v>
      </c>
      <c r="QUY39" s="117" t="str">
        <f>IF(QUX39&lt;5,"SI","NO")</f>
        <v>NO</v>
      </c>
      <c r="QUZ39" s="117" t="str">
        <f>IF(QUX39&lt;5,"Sin Riesgo",IF(QUX39 &lt;=14,"Bajo",IF(QUX39&lt;=35,"Medio",IF(QUX39&lt;=80,"Alto","Inviable Sanitariamente"))))</f>
        <v>Bajo</v>
      </c>
      <c r="QVA39" s="117">
        <v>0</v>
      </c>
      <c r="QVE39" s="117">
        <v>0</v>
      </c>
      <c r="QVG39" s="117">
        <v>23.08</v>
      </c>
      <c r="QVM39" s="117">
        <f>AVERAGE(QVA39:QVL39)</f>
        <v>7.6933333333333325</v>
      </c>
      <c r="QVN39" s="117" t="str">
        <f>IF(QVM39&lt;5,"SI","NO")</f>
        <v>NO</v>
      </c>
      <c r="QVO39" s="117" t="str">
        <f>IF(QVM39&lt;5,"Sin Riesgo",IF(QVM39 &lt;=14,"Bajo",IF(QVM39&lt;=35,"Medio",IF(QVM39&lt;=80,"Alto","Inviable Sanitariamente"))))</f>
        <v>Bajo</v>
      </c>
      <c r="QVP39" s="117">
        <v>0</v>
      </c>
      <c r="QVT39" s="117">
        <v>0</v>
      </c>
      <c r="QVV39" s="117">
        <v>23.08</v>
      </c>
      <c r="QWB39" s="117">
        <f>AVERAGE(QVP39:QWA39)</f>
        <v>7.6933333333333325</v>
      </c>
      <c r="QWC39" s="117" t="str">
        <f>IF(QWB39&lt;5,"SI","NO")</f>
        <v>NO</v>
      </c>
      <c r="QWD39" s="117" t="str">
        <f>IF(QWB39&lt;5,"Sin Riesgo",IF(QWB39 &lt;=14,"Bajo",IF(QWB39&lt;=35,"Medio",IF(QWB39&lt;=80,"Alto","Inviable Sanitariamente"))))</f>
        <v>Bajo</v>
      </c>
      <c r="QWE39" s="117">
        <v>0</v>
      </c>
      <c r="QWI39" s="117">
        <v>0</v>
      </c>
      <c r="QWK39" s="117">
        <v>23.08</v>
      </c>
      <c r="QWQ39" s="117">
        <f>AVERAGE(QWE39:QWP39)</f>
        <v>7.6933333333333325</v>
      </c>
      <c r="QWR39" s="117" t="str">
        <f>IF(QWQ39&lt;5,"SI","NO")</f>
        <v>NO</v>
      </c>
      <c r="QWS39" s="117" t="str">
        <f>IF(QWQ39&lt;5,"Sin Riesgo",IF(QWQ39 &lt;=14,"Bajo",IF(QWQ39&lt;=35,"Medio",IF(QWQ39&lt;=80,"Alto","Inviable Sanitariamente"))))</f>
        <v>Bajo</v>
      </c>
      <c r="QWT39" s="117">
        <v>0</v>
      </c>
      <c r="QWX39" s="117">
        <v>0</v>
      </c>
      <c r="QWZ39" s="117">
        <v>23.08</v>
      </c>
      <c r="QXF39" s="117">
        <f>AVERAGE(QWT39:QXE39)</f>
        <v>7.6933333333333325</v>
      </c>
      <c r="QXG39" s="117" t="str">
        <f>IF(QXF39&lt;5,"SI","NO")</f>
        <v>NO</v>
      </c>
      <c r="QXH39" s="117" t="str">
        <f>IF(QXF39&lt;5,"Sin Riesgo",IF(QXF39 &lt;=14,"Bajo",IF(QXF39&lt;=35,"Medio",IF(QXF39&lt;=80,"Alto","Inviable Sanitariamente"))))</f>
        <v>Bajo</v>
      </c>
      <c r="QXI39" s="117">
        <v>0</v>
      </c>
      <c r="QXM39" s="117">
        <v>0</v>
      </c>
      <c r="QXO39" s="117">
        <v>23.08</v>
      </c>
      <c r="QXU39" s="117">
        <f>AVERAGE(QXI39:QXT39)</f>
        <v>7.6933333333333325</v>
      </c>
      <c r="QXV39" s="117" t="str">
        <f>IF(QXU39&lt;5,"SI","NO")</f>
        <v>NO</v>
      </c>
      <c r="QXW39" s="117" t="str">
        <f>IF(QXU39&lt;5,"Sin Riesgo",IF(QXU39 &lt;=14,"Bajo",IF(QXU39&lt;=35,"Medio",IF(QXU39&lt;=80,"Alto","Inviable Sanitariamente"))))</f>
        <v>Bajo</v>
      </c>
      <c r="QXX39" s="117">
        <v>0</v>
      </c>
      <c r="QYB39" s="117">
        <v>0</v>
      </c>
      <c r="QYD39" s="117">
        <v>23.08</v>
      </c>
      <c r="QYJ39" s="117">
        <f>AVERAGE(QXX39:QYI39)</f>
        <v>7.6933333333333325</v>
      </c>
      <c r="QYK39" s="117" t="str">
        <f>IF(QYJ39&lt;5,"SI","NO")</f>
        <v>NO</v>
      </c>
      <c r="QYL39" s="117" t="str">
        <f>IF(QYJ39&lt;5,"Sin Riesgo",IF(QYJ39 &lt;=14,"Bajo",IF(QYJ39&lt;=35,"Medio",IF(QYJ39&lt;=80,"Alto","Inviable Sanitariamente"))))</f>
        <v>Bajo</v>
      </c>
      <c r="QYM39" s="117">
        <v>0</v>
      </c>
      <c r="QYQ39" s="117">
        <v>0</v>
      </c>
      <c r="QYS39" s="117">
        <v>23.08</v>
      </c>
      <c r="QYY39" s="117">
        <f>AVERAGE(QYM39:QYX39)</f>
        <v>7.6933333333333325</v>
      </c>
      <c r="QYZ39" s="117" t="str">
        <f>IF(QYY39&lt;5,"SI","NO")</f>
        <v>NO</v>
      </c>
      <c r="QZA39" s="117" t="str">
        <f>IF(QYY39&lt;5,"Sin Riesgo",IF(QYY39 &lt;=14,"Bajo",IF(QYY39&lt;=35,"Medio",IF(QYY39&lt;=80,"Alto","Inviable Sanitariamente"))))</f>
        <v>Bajo</v>
      </c>
      <c r="QZB39" s="117">
        <v>0</v>
      </c>
      <c r="QZF39" s="117">
        <v>0</v>
      </c>
      <c r="QZH39" s="117">
        <v>23.08</v>
      </c>
      <c r="QZN39" s="117">
        <f>AVERAGE(QZB39:QZM39)</f>
        <v>7.6933333333333325</v>
      </c>
      <c r="QZO39" s="117" t="str">
        <f>IF(QZN39&lt;5,"SI","NO")</f>
        <v>NO</v>
      </c>
      <c r="QZP39" s="117" t="str">
        <f>IF(QZN39&lt;5,"Sin Riesgo",IF(QZN39 &lt;=14,"Bajo",IF(QZN39&lt;=35,"Medio",IF(QZN39&lt;=80,"Alto","Inviable Sanitariamente"))))</f>
        <v>Bajo</v>
      </c>
      <c r="QZQ39" s="117">
        <v>0</v>
      </c>
      <c r="QZU39" s="117">
        <v>0</v>
      </c>
      <c r="QZW39" s="117">
        <v>23.08</v>
      </c>
      <c r="RAC39" s="117">
        <f>AVERAGE(QZQ39:RAB39)</f>
        <v>7.6933333333333325</v>
      </c>
      <c r="RAD39" s="117" t="str">
        <f>IF(RAC39&lt;5,"SI","NO")</f>
        <v>NO</v>
      </c>
      <c r="RAE39" s="117" t="str">
        <f>IF(RAC39&lt;5,"Sin Riesgo",IF(RAC39 &lt;=14,"Bajo",IF(RAC39&lt;=35,"Medio",IF(RAC39&lt;=80,"Alto","Inviable Sanitariamente"))))</f>
        <v>Bajo</v>
      </c>
      <c r="RAF39" s="117">
        <v>0</v>
      </c>
      <c r="RAJ39" s="117">
        <v>0</v>
      </c>
      <c r="RAL39" s="117">
        <v>23.08</v>
      </c>
      <c r="RAR39" s="117">
        <f>AVERAGE(RAF39:RAQ39)</f>
        <v>7.6933333333333325</v>
      </c>
      <c r="RAS39" s="117" t="str">
        <f>IF(RAR39&lt;5,"SI","NO")</f>
        <v>NO</v>
      </c>
      <c r="RAT39" s="117" t="str">
        <f>IF(RAR39&lt;5,"Sin Riesgo",IF(RAR39 &lt;=14,"Bajo",IF(RAR39&lt;=35,"Medio",IF(RAR39&lt;=80,"Alto","Inviable Sanitariamente"))))</f>
        <v>Bajo</v>
      </c>
      <c r="RAU39" s="117">
        <v>0</v>
      </c>
      <c r="RAY39" s="117">
        <v>0</v>
      </c>
      <c r="RBA39" s="117">
        <v>23.08</v>
      </c>
      <c r="RBG39" s="117">
        <f>AVERAGE(RAU39:RBF39)</f>
        <v>7.6933333333333325</v>
      </c>
      <c r="RBH39" s="117" t="str">
        <f>IF(RBG39&lt;5,"SI","NO")</f>
        <v>NO</v>
      </c>
      <c r="RBI39" s="117" t="str">
        <f>IF(RBG39&lt;5,"Sin Riesgo",IF(RBG39 &lt;=14,"Bajo",IF(RBG39&lt;=35,"Medio",IF(RBG39&lt;=80,"Alto","Inviable Sanitariamente"))))</f>
        <v>Bajo</v>
      </c>
      <c r="RBJ39" s="117">
        <v>0</v>
      </c>
      <c r="RBN39" s="117">
        <v>0</v>
      </c>
      <c r="RBP39" s="117">
        <v>23.08</v>
      </c>
      <c r="RBV39" s="117">
        <f>AVERAGE(RBJ39:RBU39)</f>
        <v>7.6933333333333325</v>
      </c>
      <c r="RBW39" s="117" t="str">
        <f>IF(RBV39&lt;5,"SI","NO")</f>
        <v>NO</v>
      </c>
      <c r="RBX39" s="117" t="str">
        <f>IF(RBV39&lt;5,"Sin Riesgo",IF(RBV39 &lt;=14,"Bajo",IF(RBV39&lt;=35,"Medio",IF(RBV39&lt;=80,"Alto","Inviable Sanitariamente"))))</f>
        <v>Bajo</v>
      </c>
      <c r="RBY39" s="117">
        <v>0</v>
      </c>
      <c r="RCC39" s="117">
        <v>0</v>
      </c>
      <c r="RCE39" s="117">
        <v>23.08</v>
      </c>
      <c r="RCK39" s="117">
        <f>AVERAGE(RBY39:RCJ39)</f>
        <v>7.6933333333333325</v>
      </c>
      <c r="RCL39" s="117" t="str">
        <f>IF(RCK39&lt;5,"SI","NO")</f>
        <v>NO</v>
      </c>
      <c r="RCM39" s="117" t="str">
        <f>IF(RCK39&lt;5,"Sin Riesgo",IF(RCK39 &lt;=14,"Bajo",IF(RCK39&lt;=35,"Medio",IF(RCK39&lt;=80,"Alto","Inviable Sanitariamente"))))</f>
        <v>Bajo</v>
      </c>
      <c r="RCN39" s="117">
        <v>0</v>
      </c>
      <c r="RCR39" s="117">
        <v>0</v>
      </c>
      <c r="RCT39" s="117">
        <v>23.08</v>
      </c>
      <c r="RCZ39" s="117">
        <f>AVERAGE(RCN39:RCY39)</f>
        <v>7.6933333333333325</v>
      </c>
      <c r="RDA39" s="117" t="str">
        <f>IF(RCZ39&lt;5,"SI","NO")</f>
        <v>NO</v>
      </c>
      <c r="RDB39" s="117" t="str">
        <f>IF(RCZ39&lt;5,"Sin Riesgo",IF(RCZ39 &lt;=14,"Bajo",IF(RCZ39&lt;=35,"Medio",IF(RCZ39&lt;=80,"Alto","Inviable Sanitariamente"))))</f>
        <v>Bajo</v>
      </c>
      <c r="RDC39" s="117">
        <v>0</v>
      </c>
      <c r="RDG39" s="117">
        <v>0</v>
      </c>
      <c r="RDI39" s="117">
        <v>23.08</v>
      </c>
      <c r="RDO39" s="117">
        <f>AVERAGE(RDC39:RDN39)</f>
        <v>7.6933333333333325</v>
      </c>
      <c r="RDP39" s="117" t="str">
        <f>IF(RDO39&lt;5,"SI","NO")</f>
        <v>NO</v>
      </c>
      <c r="RDQ39" s="117" t="str">
        <f>IF(RDO39&lt;5,"Sin Riesgo",IF(RDO39 &lt;=14,"Bajo",IF(RDO39&lt;=35,"Medio",IF(RDO39&lt;=80,"Alto","Inviable Sanitariamente"))))</f>
        <v>Bajo</v>
      </c>
      <c r="RDR39" s="117">
        <v>0</v>
      </c>
      <c r="RDV39" s="117">
        <v>0</v>
      </c>
      <c r="RDX39" s="117">
        <v>23.08</v>
      </c>
      <c r="RED39" s="117">
        <f>AVERAGE(RDR39:REC39)</f>
        <v>7.6933333333333325</v>
      </c>
      <c r="REE39" s="117" t="str">
        <f>IF(RED39&lt;5,"SI","NO")</f>
        <v>NO</v>
      </c>
      <c r="REF39" s="117" t="str">
        <f>IF(RED39&lt;5,"Sin Riesgo",IF(RED39 &lt;=14,"Bajo",IF(RED39&lt;=35,"Medio",IF(RED39&lt;=80,"Alto","Inviable Sanitariamente"))))</f>
        <v>Bajo</v>
      </c>
      <c r="REG39" s="117">
        <v>0</v>
      </c>
      <c r="REK39" s="117">
        <v>0</v>
      </c>
      <c r="REM39" s="117">
        <v>23.08</v>
      </c>
      <c r="RES39" s="117">
        <f>AVERAGE(REG39:RER39)</f>
        <v>7.6933333333333325</v>
      </c>
      <c r="RET39" s="117" t="str">
        <f>IF(RES39&lt;5,"SI","NO")</f>
        <v>NO</v>
      </c>
      <c r="REU39" s="117" t="str">
        <f>IF(RES39&lt;5,"Sin Riesgo",IF(RES39 &lt;=14,"Bajo",IF(RES39&lt;=35,"Medio",IF(RES39&lt;=80,"Alto","Inviable Sanitariamente"))))</f>
        <v>Bajo</v>
      </c>
      <c r="REV39" s="117">
        <v>0</v>
      </c>
      <c r="REZ39" s="117">
        <v>0</v>
      </c>
      <c r="RFB39" s="117">
        <v>23.08</v>
      </c>
      <c r="RFH39" s="117">
        <f>AVERAGE(REV39:RFG39)</f>
        <v>7.6933333333333325</v>
      </c>
      <c r="RFI39" s="117" t="str">
        <f>IF(RFH39&lt;5,"SI","NO")</f>
        <v>NO</v>
      </c>
      <c r="RFJ39" s="117" t="str">
        <f>IF(RFH39&lt;5,"Sin Riesgo",IF(RFH39 &lt;=14,"Bajo",IF(RFH39&lt;=35,"Medio",IF(RFH39&lt;=80,"Alto","Inviable Sanitariamente"))))</f>
        <v>Bajo</v>
      </c>
      <c r="RFK39" s="117">
        <v>0</v>
      </c>
      <c r="RFO39" s="117">
        <v>0</v>
      </c>
      <c r="RFQ39" s="117">
        <v>23.08</v>
      </c>
      <c r="RFW39" s="117">
        <f>AVERAGE(RFK39:RFV39)</f>
        <v>7.6933333333333325</v>
      </c>
      <c r="RFX39" s="117" t="str">
        <f>IF(RFW39&lt;5,"SI","NO")</f>
        <v>NO</v>
      </c>
      <c r="RFY39" s="117" t="str">
        <f>IF(RFW39&lt;5,"Sin Riesgo",IF(RFW39 &lt;=14,"Bajo",IF(RFW39&lt;=35,"Medio",IF(RFW39&lt;=80,"Alto","Inviable Sanitariamente"))))</f>
        <v>Bajo</v>
      </c>
      <c r="RFZ39" s="117">
        <v>0</v>
      </c>
      <c r="RGD39" s="117">
        <v>0</v>
      </c>
      <c r="RGF39" s="117">
        <v>23.08</v>
      </c>
      <c r="RGL39" s="117">
        <f>AVERAGE(RFZ39:RGK39)</f>
        <v>7.6933333333333325</v>
      </c>
      <c r="RGM39" s="117" t="str">
        <f>IF(RGL39&lt;5,"SI","NO")</f>
        <v>NO</v>
      </c>
      <c r="RGN39" s="117" t="str">
        <f>IF(RGL39&lt;5,"Sin Riesgo",IF(RGL39 &lt;=14,"Bajo",IF(RGL39&lt;=35,"Medio",IF(RGL39&lt;=80,"Alto","Inviable Sanitariamente"))))</f>
        <v>Bajo</v>
      </c>
      <c r="RGO39" s="117">
        <v>0</v>
      </c>
      <c r="RGS39" s="117">
        <v>0</v>
      </c>
      <c r="RGU39" s="117">
        <v>23.08</v>
      </c>
      <c r="RHA39" s="117">
        <f>AVERAGE(RGO39:RGZ39)</f>
        <v>7.6933333333333325</v>
      </c>
      <c r="RHB39" s="117" t="str">
        <f>IF(RHA39&lt;5,"SI","NO")</f>
        <v>NO</v>
      </c>
      <c r="RHC39" s="117" t="str">
        <f>IF(RHA39&lt;5,"Sin Riesgo",IF(RHA39 &lt;=14,"Bajo",IF(RHA39&lt;=35,"Medio",IF(RHA39&lt;=80,"Alto","Inviable Sanitariamente"))))</f>
        <v>Bajo</v>
      </c>
      <c r="RHD39" s="117">
        <v>0</v>
      </c>
      <c r="RHH39" s="117">
        <v>0</v>
      </c>
      <c r="RHJ39" s="117">
        <v>23.08</v>
      </c>
      <c r="RHP39" s="117">
        <f>AVERAGE(RHD39:RHO39)</f>
        <v>7.6933333333333325</v>
      </c>
      <c r="RHQ39" s="117" t="str">
        <f>IF(RHP39&lt;5,"SI","NO")</f>
        <v>NO</v>
      </c>
      <c r="RHR39" s="117" t="str">
        <f>IF(RHP39&lt;5,"Sin Riesgo",IF(RHP39 &lt;=14,"Bajo",IF(RHP39&lt;=35,"Medio",IF(RHP39&lt;=80,"Alto","Inviable Sanitariamente"))))</f>
        <v>Bajo</v>
      </c>
      <c r="RHS39" s="117">
        <v>0</v>
      </c>
      <c r="RHW39" s="117">
        <v>0</v>
      </c>
      <c r="RHY39" s="117">
        <v>23.08</v>
      </c>
      <c r="RIE39" s="117">
        <f>AVERAGE(RHS39:RID39)</f>
        <v>7.6933333333333325</v>
      </c>
      <c r="RIF39" s="117" t="str">
        <f>IF(RIE39&lt;5,"SI","NO")</f>
        <v>NO</v>
      </c>
      <c r="RIG39" s="117" t="str">
        <f>IF(RIE39&lt;5,"Sin Riesgo",IF(RIE39 &lt;=14,"Bajo",IF(RIE39&lt;=35,"Medio",IF(RIE39&lt;=80,"Alto","Inviable Sanitariamente"))))</f>
        <v>Bajo</v>
      </c>
      <c r="RIH39" s="117">
        <v>0</v>
      </c>
      <c r="RIL39" s="117">
        <v>0</v>
      </c>
      <c r="RIN39" s="117">
        <v>23.08</v>
      </c>
      <c r="RIT39" s="117">
        <f>AVERAGE(RIH39:RIS39)</f>
        <v>7.6933333333333325</v>
      </c>
      <c r="RIU39" s="117" t="str">
        <f>IF(RIT39&lt;5,"SI","NO")</f>
        <v>NO</v>
      </c>
      <c r="RIV39" s="117" t="str">
        <f>IF(RIT39&lt;5,"Sin Riesgo",IF(RIT39 &lt;=14,"Bajo",IF(RIT39&lt;=35,"Medio",IF(RIT39&lt;=80,"Alto","Inviable Sanitariamente"))))</f>
        <v>Bajo</v>
      </c>
      <c r="RIW39" s="117">
        <v>0</v>
      </c>
      <c r="RJA39" s="117">
        <v>0</v>
      </c>
      <c r="RJC39" s="117">
        <v>23.08</v>
      </c>
      <c r="RJI39" s="117">
        <f>AVERAGE(RIW39:RJH39)</f>
        <v>7.6933333333333325</v>
      </c>
      <c r="RJJ39" s="117" t="str">
        <f>IF(RJI39&lt;5,"SI","NO")</f>
        <v>NO</v>
      </c>
      <c r="RJK39" s="117" t="str">
        <f>IF(RJI39&lt;5,"Sin Riesgo",IF(RJI39 &lt;=14,"Bajo",IF(RJI39&lt;=35,"Medio",IF(RJI39&lt;=80,"Alto","Inviable Sanitariamente"))))</f>
        <v>Bajo</v>
      </c>
      <c r="RJL39" s="117">
        <v>0</v>
      </c>
      <c r="RJP39" s="117">
        <v>0</v>
      </c>
      <c r="RJR39" s="117">
        <v>23.08</v>
      </c>
      <c r="RJX39" s="117">
        <f>AVERAGE(RJL39:RJW39)</f>
        <v>7.6933333333333325</v>
      </c>
      <c r="RJY39" s="117" t="str">
        <f>IF(RJX39&lt;5,"SI","NO")</f>
        <v>NO</v>
      </c>
      <c r="RJZ39" s="117" t="str">
        <f>IF(RJX39&lt;5,"Sin Riesgo",IF(RJX39 &lt;=14,"Bajo",IF(RJX39&lt;=35,"Medio",IF(RJX39&lt;=80,"Alto","Inviable Sanitariamente"))))</f>
        <v>Bajo</v>
      </c>
      <c r="RKA39" s="117">
        <v>0</v>
      </c>
      <c r="RKE39" s="117">
        <v>0</v>
      </c>
      <c r="RKG39" s="117">
        <v>23.08</v>
      </c>
      <c r="RKM39" s="117">
        <f>AVERAGE(RKA39:RKL39)</f>
        <v>7.6933333333333325</v>
      </c>
      <c r="RKN39" s="117" t="str">
        <f>IF(RKM39&lt;5,"SI","NO")</f>
        <v>NO</v>
      </c>
      <c r="RKO39" s="117" t="str">
        <f>IF(RKM39&lt;5,"Sin Riesgo",IF(RKM39 &lt;=14,"Bajo",IF(RKM39&lt;=35,"Medio",IF(RKM39&lt;=80,"Alto","Inviable Sanitariamente"))))</f>
        <v>Bajo</v>
      </c>
      <c r="RKP39" s="117">
        <v>0</v>
      </c>
      <c r="RKT39" s="117">
        <v>0</v>
      </c>
      <c r="RKV39" s="117">
        <v>23.08</v>
      </c>
      <c r="RLB39" s="117">
        <f>AVERAGE(RKP39:RLA39)</f>
        <v>7.6933333333333325</v>
      </c>
      <c r="RLC39" s="117" t="str">
        <f>IF(RLB39&lt;5,"SI","NO")</f>
        <v>NO</v>
      </c>
      <c r="RLD39" s="117" t="str">
        <f>IF(RLB39&lt;5,"Sin Riesgo",IF(RLB39 &lt;=14,"Bajo",IF(RLB39&lt;=35,"Medio",IF(RLB39&lt;=80,"Alto","Inviable Sanitariamente"))))</f>
        <v>Bajo</v>
      </c>
      <c r="RLE39" s="117">
        <v>0</v>
      </c>
      <c r="RLI39" s="117">
        <v>0</v>
      </c>
      <c r="RLK39" s="117">
        <v>23.08</v>
      </c>
      <c r="RLQ39" s="117">
        <f>AVERAGE(RLE39:RLP39)</f>
        <v>7.6933333333333325</v>
      </c>
      <c r="RLR39" s="117" t="str">
        <f>IF(RLQ39&lt;5,"SI","NO")</f>
        <v>NO</v>
      </c>
      <c r="RLS39" s="117" t="str">
        <f>IF(RLQ39&lt;5,"Sin Riesgo",IF(RLQ39 &lt;=14,"Bajo",IF(RLQ39&lt;=35,"Medio",IF(RLQ39&lt;=80,"Alto","Inviable Sanitariamente"))))</f>
        <v>Bajo</v>
      </c>
      <c r="RLT39" s="117">
        <v>0</v>
      </c>
      <c r="RLX39" s="117">
        <v>0</v>
      </c>
      <c r="RLZ39" s="117">
        <v>23.08</v>
      </c>
      <c r="RMF39" s="117">
        <f>AVERAGE(RLT39:RME39)</f>
        <v>7.6933333333333325</v>
      </c>
      <c r="RMG39" s="117" t="str">
        <f>IF(RMF39&lt;5,"SI","NO")</f>
        <v>NO</v>
      </c>
      <c r="RMH39" s="117" t="str">
        <f>IF(RMF39&lt;5,"Sin Riesgo",IF(RMF39 &lt;=14,"Bajo",IF(RMF39&lt;=35,"Medio",IF(RMF39&lt;=80,"Alto","Inviable Sanitariamente"))))</f>
        <v>Bajo</v>
      </c>
      <c r="RMI39" s="117">
        <v>0</v>
      </c>
      <c r="RMM39" s="117">
        <v>0</v>
      </c>
      <c r="RMO39" s="117">
        <v>23.08</v>
      </c>
      <c r="RMU39" s="117">
        <f>AVERAGE(RMI39:RMT39)</f>
        <v>7.6933333333333325</v>
      </c>
      <c r="RMV39" s="117" t="str">
        <f>IF(RMU39&lt;5,"SI","NO")</f>
        <v>NO</v>
      </c>
      <c r="RMW39" s="117" t="str">
        <f>IF(RMU39&lt;5,"Sin Riesgo",IF(RMU39 &lt;=14,"Bajo",IF(RMU39&lt;=35,"Medio",IF(RMU39&lt;=80,"Alto","Inviable Sanitariamente"))))</f>
        <v>Bajo</v>
      </c>
      <c r="RMX39" s="117">
        <v>0</v>
      </c>
      <c r="RNB39" s="117">
        <v>0</v>
      </c>
      <c r="RND39" s="117">
        <v>23.08</v>
      </c>
      <c r="RNJ39" s="117">
        <f>AVERAGE(RMX39:RNI39)</f>
        <v>7.6933333333333325</v>
      </c>
      <c r="RNK39" s="117" t="str">
        <f>IF(RNJ39&lt;5,"SI","NO")</f>
        <v>NO</v>
      </c>
      <c r="RNL39" s="117" t="str">
        <f>IF(RNJ39&lt;5,"Sin Riesgo",IF(RNJ39 &lt;=14,"Bajo",IF(RNJ39&lt;=35,"Medio",IF(RNJ39&lt;=80,"Alto","Inviable Sanitariamente"))))</f>
        <v>Bajo</v>
      </c>
      <c r="RNM39" s="117">
        <v>0</v>
      </c>
      <c r="RNQ39" s="117">
        <v>0</v>
      </c>
      <c r="RNS39" s="117">
        <v>23.08</v>
      </c>
      <c r="RNY39" s="117">
        <f>AVERAGE(RNM39:RNX39)</f>
        <v>7.6933333333333325</v>
      </c>
      <c r="RNZ39" s="117" t="str">
        <f>IF(RNY39&lt;5,"SI","NO")</f>
        <v>NO</v>
      </c>
      <c r="ROA39" s="117" t="str">
        <f>IF(RNY39&lt;5,"Sin Riesgo",IF(RNY39 &lt;=14,"Bajo",IF(RNY39&lt;=35,"Medio",IF(RNY39&lt;=80,"Alto","Inviable Sanitariamente"))))</f>
        <v>Bajo</v>
      </c>
      <c r="ROB39" s="117">
        <v>0</v>
      </c>
      <c r="ROF39" s="117">
        <v>0</v>
      </c>
      <c r="ROH39" s="117">
        <v>23.08</v>
      </c>
      <c r="RON39" s="117">
        <f>AVERAGE(ROB39:ROM39)</f>
        <v>7.6933333333333325</v>
      </c>
      <c r="ROO39" s="117" t="str">
        <f>IF(RON39&lt;5,"SI","NO")</f>
        <v>NO</v>
      </c>
      <c r="ROP39" s="117" t="str">
        <f>IF(RON39&lt;5,"Sin Riesgo",IF(RON39 &lt;=14,"Bajo",IF(RON39&lt;=35,"Medio",IF(RON39&lt;=80,"Alto","Inviable Sanitariamente"))))</f>
        <v>Bajo</v>
      </c>
      <c r="ROQ39" s="117">
        <v>0</v>
      </c>
      <c r="ROU39" s="117">
        <v>0</v>
      </c>
      <c r="ROW39" s="117">
        <v>23.08</v>
      </c>
      <c r="RPC39" s="117">
        <f>AVERAGE(ROQ39:RPB39)</f>
        <v>7.6933333333333325</v>
      </c>
      <c r="RPD39" s="117" t="str">
        <f>IF(RPC39&lt;5,"SI","NO")</f>
        <v>NO</v>
      </c>
      <c r="RPE39" s="117" t="str">
        <f>IF(RPC39&lt;5,"Sin Riesgo",IF(RPC39 &lt;=14,"Bajo",IF(RPC39&lt;=35,"Medio",IF(RPC39&lt;=80,"Alto","Inviable Sanitariamente"))))</f>
        <v>Bajo</v>
      </c>
      <c r="RPF39" s="117">
        <v>0</v>
      </c>
      <c r="RPJ39" s="117">
        <v>0</v>
      </c>
      <c r="RPL39" s="117">
        <v>23.08</v>
      </c>
      <c r="RPR39" s="117">
        <f>AVERAGE(RPF39:RPQ39)</f>
        <v>7.6933333333333325</v>
      </c>
      <c r="RPS39" s="117" t="str">
        <f>IF(RPR39&lt;5,"SI","NO")</f>
        <v>NO</v>
      </c>
      <c r="RPT39" s="117" t="str">
        <f>IF(RPR39&lt;5,"Sin Riesgo",IF(RPR39 &lt;=14,"Bajo",IF(RPR39&lt;=35,"Medio",IF(RPR39&lt;=80,"Alto","Inviable Sanitariamente"))))</f>
        <v>Bajo</v>
      </c>
      <c r="RPU39" s="117">
        <v>0</v>
      </c>
      <c r="RPY39" s="117">
        <v>0</v>
      </c>
      <c r="RQA39" s="117">
        <v>23.08</v>
      </c>
      <c r="RQG39" s="117">
        <f>AVERAGE(RPU39:RQF39)</f>
        <v>7.6933333333333325</v>
      </c>
      <c r="RQH39" s="117" t="str">
        <f>IF(RQG39&lt;5,"SI","NO")</f>
        <v>NO</v>
      </c>
      <c r="RQI39" s="117" t="str">
        <f>IF(RQG39&lt;5,"Sin Riesgo",IF(RQG39 &lt;=14,"Bajo",IF(RQG39&lt;=35,"Medio",IF(RQG39&lt;=80,"Alto","Inviable Sanitariamente"))))</f>
        <v>Bajo</v>
      </c>
      <c r="RQJ39" s="117">
        <v>0</v>
      </c>
      <c r="RQN39" s="117">
        <v>0</v>
      </c>
      <c r="RQP39" s="117">
        <v>23.08</v>
      </c>
      <c r="RQV39" s="117">
        <f>AVERAGE(RQJ39:RQU39)</f>
        <v>7.6933333333333325</v>
      </c>
      <c r="RQW39" s="117" t="str">
        <f>IF(RQV39&lt;5,"SI","NO")</f>
        <v>NO</v>
      </c>
      <c r="RQX39" s="117" t="str">
        <f>IF(RQV39&lt;5,"Sin Riesgo",IF(RQV39 &lt;=14,"Bajo",IF(RQV39&lt;=35,"Medio",IF(RQV39&lt;=80,"Alto","Inviable Sanitariamente"))))</f>
        <v>Bajo</v>
      </c>
      <c r="RQY39" s="117">
        <v>0</v>
      </c>
      <c r="RRC39" s="117">
        <v>0</v>
      </c>
      <c r="RRE39" s="117">
        <v>23.08</v>
      </c>
      <c r="RRK39" s="117">
        <f>AVERAGE(RQY39:RRJ39)</f>
        <v>7.6933333333333325</v>
      </c>
      <c r="RRL39" s="117" t="str">
        <f>IF(RRK39&lt;5,"SI","NO")</f>
        <v>NO</v>
      </c>
      <c r="RRM39" s="117" t="str">
        <f>IF(RRK39&lt;5,"Sin Riesgo",IF(RRK39 &lt;=14,"Bajo",IF(RRK39&lt;=35,"Medio",IF(RRK39&lt;=80,"Alto","Inviable Sanitariamente"))))</f>
        <v>Bajo</v>
      </c>
      <c r="RRN39" s="117">
        <v>0</v>
      </c>
      <c r="RRR39" s="117">
        <v>0</v>
      </c>
      <c r="RRT39" s="117">
        <v>23.08</v>
      </c>
      <c r="RRZ39" s="117">
        <f>AVERAGE(RRN39:RRY39)</f>
        <v>7.6933333333333325</v>
      </c>
      <c r="RSA39" s="117" t="str">
        <f>IF(RRZ39&lt;5,"SI","NO")</f>
        <v>NO</v>
      </c>
      <c r="RSB39" s="117" t="str">
        <f>IF(RRZ39&lt;5,"Sin Riesgo",IF(RRZ39 &lt;=14,"Bajo",IF(RRZ39&lt;=35,"Medio",IF(RRZ39&lt;=80,"Alto","Inviable Sanitariamente"))))</f>
        <v>Bajo</v>
      </c>
      <c r="RSC39" s="117">
        <v>0</v>
      </c>
      <c r="RSG39" s="117">
        <v>0</v>
      </c>
      <c r="RSI39" s="117">
        <v>23.08</v>
      </c>
      <c r="RSO39" s="117">
        <f>AVERAGE(RSC39:RSN39)</f>
        <v>7.6933333333333325</v>
      </c>
      <c r="RSP39" s="117" t="str">
        <f>IF(RSO39&lt;5,"SI","NO")</f>
        <v>NO</v>
      </c>
      <c r="RSQ39" s="117" t="str">
        <f>IF(RSO39&lt;5,"Sin Riesgo",IF(RSO39 &lt;=14,"Bajo",IF(RSO39&lt;=35,"Medio",IF(RSO39&lt;=80,"Alto","Inviable Sanitariamente"))))</f>
        <v>Bajo</v>
      </c>
      <c r="RSR39" s="117">
        <v>0</v>
      </c>
      <c r="RSV39" s="117">
        <v>0</v>
      </c>
      <c r="RSX39" s="117">
        <v>23.08</v>
      </c>
      <c r="RTD39" s="117">
        <f>AVERAGE(RSR39:RTC39)</f>
        <v>7.6933333333333325</v>
      </c>
      <c r="RTE39" s="117" t="str">
        <f>IF(RTD39&lt;5,"SI","NO")</f>
        <v>NO</v>
      </c>
      <c r="RTF39" s="117" t="str">
        <f>IF(RTD39&lt;5,"Sin Riesgo",IF(RTD39 &lt;=14,"Bajo",IF(RTD39&lt;=35,"Medio",IF(RTD39&lt;=80,"Alto","Inviable Sanitariamente"))))</f>
        <v>Bajo</v>
      </c>
      <c r="RTG39" s="117">
        <v>0</v>
      </c>
      <c r="RTK39" s="117">
        <v>0</v>
      </c>
      <c r="RTM39" s="117">
        <v>23.08</v>
      </c>
      <c r="RTS39" s="117">
        <f>AVERAGE(RTG39:RTR39)</f>
        <v>7.6933333333333325</v>
      </c>
      <c r="RTT39" s="117" t="str">
        <f>IF(RTS39&lt;5,"SI","NO")</f>
        <v>NO</v>
      </c>
      <c r="RTU39" s="117" t="str">
        <f>IF(RTS39&lt;5,"Sin Riesgo",IF(RTS39 &lt;=14,"Bajo",IF(RTS39&lt;=35,"Medio",IF(RTS39&lt;=80,"Alto","Inviable Sanitariamente"))))</f>
        <v>Bajo</v>
      </c>
      <c r="RTV39" s="117">
        <v>0</v>
      </c>
      <c r="RTZ39" s="117">
        <v>0</v>
      </c>
      <c r="RUB39" s="117">
        <v>23.08</v>
      </c>
      <c r="RUH39" s="117">
        <f>AVERAGE(RTV39:RUG39)</f>
        <v>7.6933333333333325</v>
      </c>
      <c r="RUI39" s="117" t="str">
        <f>IF(RUH39&lt;5,"SI","NO")</f>
        <v>NO</v>
      </c>
      <c r="RUJ39" s="117" t="str">
        <f>IF(RUH39&lt;5,"Sin Riesgo",IF(RUH39 &lt;=14,"Bajo",IF(RUH39&lt;=35,"Medio",IF(RUH39&lt;=80,"Alto","Inviable Sanitariamente"))))</f>
        <v>Bajo</v>
      </c>
      <c r="RUK39" s="117">
        <v>0</v>
      </c>
      <c r="RUO39" s="117">
        <v>0</v>
      </c>
      <c r="RUQ39" s="117">
        <v>23.08</v>
      </c>
      <c r="RUW39" s="117">
        <f>AVERAGE(RUK39:RUV39)</f>
        <v>7.6933333333333325</v>
      </c>
      <c r="RUX39" s="117" t="str">
        <f>IF(RUW39&lt;5,"SI","NO")</f>
        <v>NO</v>
      </c>
      <c r="RUY39" s="117" t="str">
        <f>IF(RUW39&lt;5,"Sin Riesgo",IF(RUW39 &lt;=14,"Bajo",IF(RUW39&lt;=35,"Medio",IF(RUW39&lt;=80,"Alto","Inviable Sanitariamente"))))</f>
        <v>Bajo</v>
      </c>
      <c r="RUZ39" s="117">
        <v>0</v>
      </c>
      <c r="RVD39" s="117">
        <v>0</v>
      </c>
      <c r="RVF39" s="117">
        <v>23.08</v>
      </c>
      <c r="RVL39" s="117">
        <f>AVERAGE(RUZ39:RVK39)</f>
        <v>7.6933333333333325</v>
      </c>
      <c r="RVM39" s="117" t="str">
        <f>IF(RVL39&lt;5,"SI","NO")</f>
        <v>NO</v>
      </c>
      <c r="RVN39" s="117" t="str">
        <f>IF(RVL39&lt;5,"Sin Riesgo",IF(RVL39 &lt;=14,"Bajo",IF(RVL39&lt;=35,"Medio",IF(RVL39&lt;=80,"Alto","Inviable Sanitariamente"))))</f>
        <v>Bajo</v>
      </c>
      <c r="RVO39" s="117">
        <v>0</v>
      </c>
      <c r="RVS39" s="117">
        <v>0</v>
      </c>
      <c r="RVU39" s="117">
        <v>23.08</v>
      </c>
      <c r="RWA39" s="117">
        <f>AVERAGE(RVO39:RVZ39)</f>
        <v>7.6933333333333325</v>
      </c>
      <c r="RWB39" s="117" t="str">
        <f>IF(RWA39&lt;5,"SI","NO")</f>
        <v>NO</v>
      </c>
      <c r="RWC39" s="117" t="str">
        <f>IF(RWA39&lt;5,"Sin Riesgo",IF(RWA39 &lt;=14,"Bajo",IF(RWA39&lt;=35,"Medio",IF(RWA39&lt;=80,"Alto","Inviable Sanitariamente"))))</f>
        <v>Bajo</v>
      </c>
      <c r="RWD39" s="117">
        <v>0</v>
      </c>
      <c r="RWH39" s="117">
        <v>0</v>
      </c>
      <c r="RWJ39" s="117">
        <v>23.08</v>
      </c>
      <c r="RWP39" s="117">
        <f>AVERAGE(RWD39:RWO39)</f>
        <v>7.6933333333333325</v>
      </c>
      <c r="RWQ39" s="117" t="str">
        <f>IF(RWP39&lt;5,"SI","NO")</f>
        <v>NO</v>
      </c>
      <c r="RWR39" s="117" t="str">
        <f>IF(RWP39&lt;5,"Sin Riesgo",IF(RWP39 &lt;=14,"Bajo",IF(RWP39&lt;=35,"Medio",IF(RWP39&lt;=80,"Alto","Inviable Sanitariamente"))))</f>
        <v>Bajo</v>
      </c>
      <c r="RWS39" s="117">
        <v>0</v>
      </c>
      <c r="RWW39" s="117">
        <v>0</v>
      </c>
      <c r="RWY39" s="117">
        <v>23.08</v>
      </c>
      <c r="RXE39" s="117">
        <f>AVERAGE(RWS39:RXD39)</f>
        <v>7.6933333333333325</v>
      </c>
      <c r="RXF39" s="117" t="str">
        <f>IF(RXE39&lt;5,"SI","NO")</f>
        <v>NO</v>
      </c>
      <c r="RXG39" s="117" t="str">
        <f>IF(RXE39&lt;5,"Sin Riesgo",IF(RXE39 &lt;=14,"Bajo",IF(RXE39&lt;=35,"Medio",IF(RXE39&lt;=80,"Alto","Inviable Sanitariamente"))))</f>
        <v>Bajo</v>
      </c>
      <c r="RXH39" s="117">
        <v>0</v>
      </c>
      <c r="RXL39" s="117">
        <v>0</v>
      </c>
      <c r="RXN39" s="117">
        <v>23.08</v>
      </c>
      <c r="RXT39" s="117">
        <f>AVERAGE(RXH39:RXS39)</f>
        <v>7.6933333333333325</v>
      </c>
      <c r="RXU39" s="117" t="str">
        <f>IF(RXT39&lt;5,"SI","NO")</f>
        <v>NO</v>
      </c>
      <c r="RXV39" s="117" t="str">
        <f>IF(RXT39&lt;5,"Sin Riesgo",IF(RXT39 &lt;=14,"Bajo",IF(RXT39&lt;=35,"Medio",IF(RXT39&lt;=80,"Alto","Inviable Sanitariamente"))))</f>
        <v>Bajo</v>
      </c>
      <c r="RXW39" s="117">
        <v>0</v>
      </c>
      <c r="RYA39" s="117">
        <v>0</v>
      </c>
      <c r="RYC39" s="117">
        <v>23.08</v>
      </c>
      <c r="RYI39" s="117">
        <f>AVERAGE(RXW39:RYH39)</f>
        <v>7.6933333333333325</v>
      </c>
      <c r="RYJ39" s="117" t="str">
        <f>IF(RYI39&lt;5,"SI","NO")</f>
        <v>NO</v>
      </c>
      <c r="RYK39" s="117" t="str">
        <f>IF(RYI39&lt;5,"Sin Riesgo",IF(RYI39 &lt;=14,"Bajo",IF(RYI39&lt;=35,"Medio",IF(RYI39&lt;=80,"Alto","Inviable Sanitariamente"))))</f>
        <v>Bajo</v>
      </c>
      <c r="RYL39" s="117">
        <v>0</v>
      </c>
      <c r="RYP39" s="117">
        <v>0</v>
      </c>
      <c r="RYR39" s="117">
        <v>23.08</v>
      </c>
      <c r="RYX39" s="117">
        <f>AVERAGE(RYL39:RYW39)</f>
        <v>7.6933333333333325</v>
      </c>
      <c r="RYY39" s="117" t="str">
        <f>IF(RYX39&lt;5,"SI","NO")</f>
        <v>NO</v>
      </c>
      <c r="RYZ39" s="117" t="str">
        <f>IF(RYX39&lt;5,"Sin Riesgo",IF(RYX39 &lt;=14,"Bajo",IF(RYX39&lt;=35,"Medio",IF(RYX39&lt;=80,"Alto","Inviable Sanitariamente"))))</f>
        <v>Bajo</v>
      </c>
      <c r="RZA39" s="117">
        <v>0</v>
      </c>
      <c r="RZE39" s="117">
        <v>0</v>
      </c>
      <c r="RZG39" s="117">
        <v>23.08</v>
      </c>
      <c r="RZM39" s="117">
        <f>AVERAGE(RZA39:RZL39)</f>
        <v>7.6933333333333325</v>
      </c>
      <c r="RZN39" s="117" t="str">
        <f>IF(RZM39&lt;5,"SI","NO")</f>
        <v>NO</v>
      </c>
      <c r="RZO39" s="117" t="str">
        <f>IF(RZM39&lt;5,"Sin Riesgo",IF(RZM39 &lt;=14,"Bajo",IF(RZM39&lt;=35,"Medio",IF(RZM39&lt;=80,"Alto","Inviable Sanitariamente"))))</f>
        <v>Bajo</v>
      </c>
      <c r="RZP39" s="117">
        <v>0</v>
      </c>
      <c r="RZT39" s="117">
        <v>0</v>
      </c>
      <c r="RZV39" s="117">
        <v>23.08</v>
      </c>
      <c r="SAB39" s="117">
        <f>AVERAGE(RZP39:SAA39)</f>
        <v>7.6933333333333325</v>
      </c>
      <c r="SAC39" s="117" t="str">
        <f>IF(SAB39&lt;5,"SI","NO")</f>
        <v>NO</v>
      </c>
      <c r="SAD39" s="117" t="str">
        <f>IF(SAB39&lt;5,"Sin Riesgo",IF(SAB39 &lt;=14,"Bajo",IF(SAB39&lt;=35,"Medio",IF(SAB39&lt;=80,"Alto","Inviable Sanitariamente"))))</f>
        <v>Bajo</v>
      </c>
      <c r="SAE39" s="117">
        <v>0</v>
      </c>
      <c r="SAI39" s="117">
        <v>0</v>
      </c>
      <c r="SAK39" s="117">
        <v>23.08</v>
      </c>
      <c r="SAQ39" s="117">
        <f>AVERAGE(SAE39:SAP39)</f>
        <v>7.6933333333333325</v>
      </c>
      <c r="SAR39" s="117" t="str">
        <f>IF(SAQ39&lt;5,"SI","NO")</f>
        <v>NO</v>
      </c>
      <c r="SAS39" s="117" t="str">
        <f>IF(SAQ39&lt;5,"Sin Riesgo",IF(SAQ39 &lt;=14,"Bajo",IF(SAQ39&lt;=35,"Medio",IF(SAQ39&lt;=80,"Alto","Inviable Sanitariamente"))))</f>
        <v>Bajo</v>
      </c>
      <c r="SAT39" s="117">
        <v>0</v>
      </c>
      <c r="SAX39" s="117">
        <v>0</v>
      </c>
      <c r="SAZ39" s="117">
        <v>23.08</v>
      </c>
      <c r="SBF39" s="117">
        <f>AVERAGE(SAT39:SBE39)</f>
        <v>7.6933333333333325</v>
      </c>
      <c r="SBG39" s="117" t="str">
        <f>IF(SBF39&lt;5,"SI","NO")</f>
        <v>NO</v>
      </c>
      <c r="SBH39" s="117" t="str">
        <f>IF(SBF39&lt;5,"Sin Riesgo",IF(SBF39 &lt;=14,"Bajo",IF(SBF39&lt;=35,"Medio",IF(SBF39&lt;=80,"Alto","Inviable Sanitariamente"))))</f>
        <v>Bajo</v>
      </c>
      <c r="SBI39" s="117">
        <v>0</v>
      </c>
      <c r="SBM39" s="117">
        <v>0</v>
      </c>
      <c r="SBO39" s="117">
        <v>23.08</v>
      </c>
      <c r="SBU39" s="117">
        <f>AVERAGE(SBI39:SBT39)</f>
        <v>7.6933333333333325</v>
      </c>
      <c r="SBV39" s="117" t="str">
        <f>IF(SBU39&lt;5,"SI","NO")</f>
        <v>NO</v>
      </c>
      <c r="SBW39" s="117" t="str">
        <f>IF(SBU39&lt;5,"Sin Riesgo",IF(SBU39 &lt;=14,"Bajo",IF(SBU39&lt;=35,"Medio",IF(SBU39&lt;=80,"Alto","Inviable Sanitariamente"))))</f>
        <v>Bajo</v>
      </c>
      <c r="SBX39" s="117">
        <v>0</v>
      </c>
      <c r="SCB39" s="117">
        <v>0</v>
      </c>
      <c r="SCD39" s="117">
        <v>23.08</v>
      </c>
      <c r="SCJ39" s="117">
        <f>AVERAGE(SBX39:SCI39)</f>
        <v>7.6933333333333325</v>
      </c>
      <c r="SCK39" s="117" t="str">
        <f>IF(SCJ39&lt;5,"SI","NO")</f>
        <v>NO</v>
      </c>
      <c r="SCL39" s="117" t="str">
        <f>IF(SCJ39&lt;5,"Sin Riesgo",IF(SCJ39 &lt;=14,"Bajo",IF(SCJ39&lt;=35,"Medio",IF(SCJ39&lt;=80,"Alto","Inviable Sanitariamente"))))</f>
        <v>Bajo</v>
      </c>
      <c r="SCM39" s="117">
        <v>0</v>
      </c>
      <c r="SCQ39" s="117">
        <v>0</v>
      </c>
      <c r="SCS39" s="117">
        <v>23.08</v>
      </c>
      <c r="SCY39" s="117">
        <f>AVERAGE(SCM39:SCX39)</f>
        <v>7.6933333333333325</v>
      </c>
      <c r="SCZ39" s="117" t="str">
        <f>IF(SCY39&lt;5,"SI","NO")</f>
        <v>NO</v>
      </c>
      <c r="SDA39" s="117" t="str">
        <f>IF(SCY39&lt;5,"Sin Riesgo",IF(SCY39 &lt;=14,"Bajo",IF(SCY39&lt;=35,"Medio",IF(SCY39&lt;=80,"Alto","Inviable Sanitariamente"))))</f>
        <v>Bajo</v>
      </c>
      <c r="SDB39" s="117">
        <v>0</v>
      </c>
      <c r="SDF39" s="117">
        <v>0</v>
      </c>
      <c r="SDH39" s="117">
        <v>23.08</v>
      </c>
      <c r="SDN39" s="117">
        <f>AVERAGE(SDB39:SDM39)</f>
        <v>7.6933333333333325</v>
      </c>
      <c r="SDO39" s="117" t="str">
        <f>IF(SDN39&lt;5,"SI","NO")</f>
        <v>NO</v>
      </c>
      <c r="SDP39" s="117" t="str">
        <f>IF(SDN39&lt;5,"Sin Riesgo",IF(SDN39 &lt;=14,"Bajo",IF(SDN39&lt;=35,"Medio",IF(SDN39&lt;=80,"Alto","Inviable Sanitariamente"))))</f>
        <v>Bajo</v>
      </c>
      <c r="SDQ39" s="117">
        <v>0</v>
      </c>
      <c r="SDU39" s="117">
        <v>0</v>
      </c>
      <c r="SDW39" s="117">
        <v>23.08</v>
      </c>
      <c r="SEC39" s="117">
        <f>AVERAGE(SDQ39:SEB39)</f>
        <v>7.6933333333333325</v>
      </c>
      <c r="SED39" s="117" t="str">
        <f>IF(SEC39&lt;5,"SI","NO")</f>
        <v>NO</v>
      </c>
      <c r="SEE39" s="117" t="str">
        <f>IF(SEC39&lt;5,"Sin Riesgo",IF(SEC39 &lt;=14,"Bajo",IF(SEC39&lt;=35,"Medio",IF(SEC39&lt;=80,"Alto","Inviable Sanitariamente"))))</f>
        <v>Bajo</v>
      </c>
      <c r="SEF39" s="117">
        <v>0</v>
      </c>
      <c r="SEJ39" s="117">
        <v>0</v>
      </c>
      <c r="SEL39" s="117">
        <v>23.08</v>
      </c>
      <c r="SER39" s="117">
        <f>AVERAGE(SEF39:SEQ39)</f>
        <v>7.6933333333333325</v>
      </c>
      <c r="SES39" s="117" t="str">
        <f>IF(SER39&lt;5,"SI","NO")</f>
        <v>NO</v>
      </c>
      <c r="SET39" s="117" t="str">
        <f>IF(SER39&lt;5,"Sin Riesgo",IF(SER39 &lt;=14,"Bajo",IF(SER39&lt;=35,"Medio",IF(SER39&lt;=80,"Alto","Inviable Sanitariamente"))))</f>
        <v>Bajo</v>
      </c>
      <c r="SEU39" s="117">
        <v>0</v>
      </c>
      <c r="SEY39" s="117">
        <v>0</v>
      </c>
      <c r="SFA39" s="117">
        <v>23.08</v>
      </c>
      <c r="SFG39" s="117">
        <f>AVERAGE(SEU39:SFF39)</f>
        <v>7.6933333333333325</v>
      </c>
      <c r="SFH39" s="117" t="str">
        <f>IF(SFG39&lt;5,"SI","NO")</f>
        <v>NO</v>
      </c>
      <c r="SFI39" s="117" t="str">
        <f>IF(SFG39&lt;5,"Sin Riesgo",IF(SFG39 &lt;=14,"Bajo",IF(SFG39&lt;=35,"Medio",IF(SFG39&lt;=80,"Alto","Inviable Sanitariamente"))))</f>
        <v>Bajo</v>
      </c>
      <c r="SFJ39" s="117">
        <v>0</v>
      </c>
      <c r="SFN39" s="117">
        <v>0</v>
      </c>
      <c r="SFP39" s="117">
        <v>23.08</v>
      </c>
      <c r="SFV39" s="117">
        <f>AVERAGE(SFJ39:SFU39)</f>
        <v>7.6933333333333325</v>
      </c>
      <c r="SFW39" s="117" t="str">
        <f>IF(SFV39&lt;5,"SI","NO")</f>
        <v>NO</v>
      </c>
      <c r="SFX39" s="117" t="str">
        <f>IF(SFV39&lt;5,"Sin Riesgo",IF(SFV39 &lt;=14,"Bajo",IF(SFV39&lt;=35,"Medio",IF(SFV39&lt;=80,"Alto","Inviable Sanitariamente"))))</f>
        <v>Bajo</v>
      </c>
      <c r="SFY39" s="117">
        <v>0</v>
      </c>
      <c r="SGC39" s="117">
        <v>0</v>
      </c>
      <c r="SGE39" s="117">
        <v>23.08</v>
      </c>
      <c r="SGK39" s="117">
        <f>AVERAGE(SFY39:SGJ39)</f>
        <v>7.6933333333333325</v>
      </c>
      <c r="SGL39" s="117" t="str">
        <f>IF(SGK39&lt;5,"SI","NO")</f>
        <v>NO</v>
      </c>
      <c r="SGM39" s="117" t="str">
        <f>IF(SGK39&lt;5,"Sin Riesgo",IF(SGK39 &lt;=14,"Bajo",IF(SGK39&lt;=35,"Medio",IF(SGK39&lt;=80,"Alto","Inviable Sanitariamente"))))</f>
        <v>Bajo</v>
      </c>
      <c r="SGN39" s="117">
        <v>0</v>
      </c>
      <c r="SGR39" s="117">
        <v>0</v>
      </c>
      <c r="SGT39" s="117">
        <v>23.08</v>
      </c>
      <c r="SGZ39" s="117">
        <f>AVERAGE(SGN39:SGY39)</f>
        <v>7.6933333333333325</v>
      </c>
      <c r="SHA39" s="117" t="str">
        <f>IF(SGZ39&lt;5,"SI","NO")</f>
        <v>NO</v>
      </c>
      <c r="SHB39" s="117" t="str">
        <f>IF(SGZ39&lt;5,"Sin Riesgo",IF(SGZ39 &lt;=14,"Bajo",IF(SGZ39&lt;=35,"Medio",IF(SGZ39&lt;=80,"Alto","Inviable Sanitariamente"))))</f>
        <v>Bajo</v>
      </c>
      <c r="SHC39" s="117">
        <v>0</v>
      </c>
      <c r="SHG39" s="117">
        <v>0</v>
      </c>
      <c r="SHI39" s="117">
        <v>23.08</v>
      </c>
      <c r="SHO39" s="117">
        <f>AVERAGE(SHC39:SHN39)</f>
        <v>7.6933333333333325</v>
      </c>
      <c r="SHP39" s="117" t="str">
        <f>IF(SHO39&lt;5,"SI","NO")</f>
        <v>NO</v>
      </c>
      <c r="SHQ39" s="117" t="str">
        <f>IF(SHO39&lt;5,"Sin Riesgo",IF(SHO39 &lt;=14,"Bajo",IF(SHO39&lt;=35,"Medio",IF(SHO39&lt;=80,"Alto","Inviable Sanitariamente"))))</f>
        <v>Bajo</v>
      </c>
      <c r="SHR39" s="117">
        <v>0</v>
      </c>
      <c r="SHV39" s="117">
        <v>0</v>
      </c>
      <c r="SHX39" s="117">
        <v>23.08</v>
      </c>
      <c r="SID39" s="117">
        <f>AVERAGE(SHR39:SIC39)</f>
        <v>7.6933333333333325</v>
      </c>
      <c r="SIE39" s="117" t="str">
        <f>IF(SID39&lt;5,"SI","NO")</f>
        <v>NO</v>
      </c>
      <c r="SIF39" s="117" t="str">
        <f>IF(SID39&lt;5,"Sin Riesgo",IF(SID39 &lt;=14,"Bajo",IF(SID39&lt;=35,"Medio",IF(SID39&lt;=80,"Alto","Inviable Sanitariamente"))))</f>
        <v>Bajo</v>
      </c>
      <c r="SIG39" s="117">
        <v>0</v>
      </c>
      <c r="SIK39" s="117">
        <v>0</v>
      </c>
      <c r="SIM39" s="117">
        <v>23.08</v>
      </c>
      <c r="SIS39" s="117">
        <f>AVERAGE(SIG39:SIR39)</f>
        <v>7.6933333333333325</v>
      </c>
      <c r="SIT39" s="117" t="str">
        <f>IF(SIS39&lt;5,"SI","NO")</f>
        <v>NO</v>
      </c>
      <c r="SIU39" s="117" t="str">
        <f>IF(SIS39&lt;5,"Sin Riesgo",IF(SIS39 &lt;=14,"Bajo",IF(SIS39&lt;=35,"Medio",IF(SIS39&lt;=80,"Alto","Inviable Sanitariamente"))))</f>
        <v>Bajo</v>
      </c>
      <c r="SIV39" s="117">
        <v>0</v>
      </c>
      <c r="SIZ39" s="117">
        <v>0</v>
      </c>
      <c r="SJB39" s="117">
        <v>23.08</v>
      </c>
      <c r="SJH39" s="117">
        <f>AVERAGE(SIV39:SJG39)</f>
        <v>7.6933333333333325</v>
      </c>
      <c r="SJI39" s="117" t="str">
        <f>IF(SJH39&lt;5,"SI","NO")</f>
        <v>NO</v>
      </c>
      <c r="SJJ39" s="117" t="str">
        <f>IF(SJH39&lt;5,"Sin Riesgo",IF(SJH39 &lt;=14,"Bajo",IF(SJH39&lt;=35,"Medio",IF(SJH39&lt;=80,"Alto","Inviable Sanitariamente"))))</f>
        <v>Bajo</v>
      </c>
      <c r="SJK39" s="117">
        <v>0</v>
      </c>
      <c r="SJO39" s="117">
        <v>0</v>
      </c>
      <c r="SJQ39" s="117">
        <v>23.08</v>
      </c>
      <c r="SJW39" s="117">
        <f>AVERAGE(SJK39:SJV39)</f>
        <v>7.6933333333333325</v>
      </c>
      <c r="SJX39" s="117" t="str">
        <f>IF(SJW39&lt;5,"SI","NO")</f>
        <v>NO</v>
      </c>
      <c r="SJY39" s="117" t="str">
        <f>IF(SJW39&lt;5,"Sin Riesgo",IF(SJW39 &lt;=14,"Bajo",IF(SJW39&lt;=35,"Medio",IF(SJW39&lt;=80,"Alto","Inviable Sanitariamente"))))</f>
        <v>Bajo</v>
      </c>
      <c r="SJZ39" s="117">
        <v>0</v>
      </c>
      <c r="SKD39" s="117">
        <v>0</v>
      </c>
      <c r="SKF39" s="117">
        <v>23.08</v>
      </c>
      <c r="SKL39" s="117">
        <f>AVERAGE(SJZ39:SKK39)</f>
        <v>7.6933333333333325</v>
      </c>
      <c r="SKM39" s="117" t="str">
        <f>IF(SKL39&lt;5,"SI","NO")</f>
        <v>NO</v>
      </c>
      <c r="SKN39" s="117" t="str">
        <f>IF(SKL39&lt;5,"Sin Riesgo",IF(SKL39 &lt;=14,"Bajo",IF(SKL39&lt;=35,"Medio",IF(SKL39&lt;=80,"Alto","Inviable Sanitariamente"))))</f>
        <v>Bajo</v>
      </c>
      <c r="SKO39" s="117">
        <v>0</v>
      </c>
      <c r="SKS39" s="117">
        <v>0</v>
      </c>
      <c r="SKU39" s="117">
        <v>23.08</v>
      </c>
      <c r="SLA39" s="117">
        <f>AVERAGE(SKO39:SKZ39)</f>
        <v>7.6933333333333325</v>
      </c>
      <c r="SLB39" s="117" t="str">
        <f>IF(SLA39&lt;5,"SI","NO")</f>
        <v>NO</v>
      </c>
      <c r="SLC39" s="117" t="str">
        <f>IF(SLA39&lt;5,"Sin Riesgo",IF(SLA39 &lt;=14,"Bajo",IF(SLA39&lt;=35,"Medio",IF(SLA39&lt;=80,"Alto","Inviable Sanitariamente"))))</f>
        <v>Bajo</v>
      </c>
      <c r="SLD39" s="117">
        <v>0</v>
      </c>
      <c r="SLH39" s="117">
        <v>0</v>
      </c>
      <c r="SLJ39" s="117">
        <v>23.08</v>
      </c>
      <c r="SLP39" s="117">
        <f>AVERAGE(SLD39:SLO39)</f>
        <v>7.6933333333333325</v>
      </c>
      <c r="SLQ39" s="117" t="str">
        <f>IF(SLP39&lt;5,"SI","NO")</f>
        <v>NO</v>
      </c>
      <c r="SLR39" s="117" t="str">
        <f>IF(SLP39&lt;5,"Sin Riesgo",IF(SLP39 &lt;=14,"Bajo",IF(SLP39&lt;=35,"Medio",IF(SLP39&lt;=80,"Alto","Inviable Sanitariamente"))))</f>
        <v>Bajo</v>
      </c>
      <c r="SLS39" s="117">
        <v>0</v>
      </c>
      <c r="SLW39" s="117">
        <v>0</v>
      </c>
      <c r="SLY39" s="117">
        <v>23.08</v>
      </c>
      <c r="SME39" s="117">
        <f>AVERAGE(SLS39:SMD39)</f>
        <v>7.6933333333333325</v>
      </c>
      <c r="SMF39" s="117" t="str">
        <f>IF(SME39&lt;5,"SI","NO")</f>
        <v>NO</v>
      </c>
      <c r="SMG39" s="117" t="str">
        <f>IF(SME39&lt;5,"Sin Riesgo",IF(SME39 &lt;=14,"Bajo",IF(SME39&lt;=35,"Medio",IF(SME39&lt;=80,"Alto","Inviable Sanitariamente"))))</f>
        <v>Bajo</v>
      </c>
      <c r="SMH39" s="117">
        <v>0</v>
      </c>
      <c r="SML39" s="117">
        <v>0</v>
      </c>
      <c r="SMN39" s="117">
        <v>23.08</v>
      </c>
      <c r="SMT39" s="117">
        <f>AVERAGE(SMH39:SMS39)</f>
        <v>7.6933333333333325</v>
      </c>
      <c r="SMU39" s="117" t="str">
        <f>IF(SMT39&lt;5,"SI","NO")</f>
        <v>NO</v>
      </c>
      <c r="SMV39" s="117" t="str">
        <f>IF(SMT39&lt;5,"Sin Riesgo",IF(SMT39 &lt;=14,"Bajo",IF(SMT39&lt;=35,"Medio",IF(SMT39&lt;=80,"Alto","Inviable Sanitariamente"))))</f>
        <v>Bajo</v>
      </c>
      <c r="SMW39" s="117">
        <v>0</v>
      </c>
      <c r="SNA39" s="117">
        <v>0</v>
      </c>
      <c r="SNC39" s="117">
        <v>23.08</v>
      </c>
      <c r="SNI39" s="117">
        <f>AVERAGE(SMW39:SNH39)</f>
        <v>7.6933333333333325</v>
      </c>
      <c r="SNJ39" s="117" t="str">
        <f>IF(SNI39&lt;5,"SI","NO")</f>
        <v>NO</v>
      </c>
      <c r="SNK39" s="117" t="str">
        <f>IF(SNI39&lt;5,"Sin Riesgo",IF(SNI39 &lt;=14,"Bajo",IF(SNI39&lt;=35,"Medio",IF(SNI39&lt;=80,"Alto","Inviable Sanitariamente"))))</f>
        <v>Bajo</v>
      </c>
      <c r="SNL39" s="117">
        <v>0</v>
      </c>
      <c r="SNP39" s="117">
        <v>0</v>
      </c>
      <c r="SNR39" s="117">
        <v>23.08</v>
      </c>
      <c r="SNX39" s="117">
        <f>AVERAGE(SNL39:SNW39)</f>
        <v>7.6933333333333325</v>
      </c>
      <c r="SNY39" s="117" t="str">
        <f>IF(SNX39&lt;5,"SI","NO")</f>
        <v>NO</v>
      </c>
      <c r="SNZ39" s="117" t="str">
        <f>IF(SNX39&lt;5,"Sin Riesgo",IF(SNX39 &lt;=14,"Bajo",IF(SNX39&lt;=35,"Medio",IF(SNX39&lt;=80,"Alto","Inviable Sanitariamente"))))</f>
        <v>Bajo</v>
      </c>
      <c r="SOA39" s="117">
        <v>0</v>
      </c>
      <c r="SOE39" s="117">
        <v>0</v>
      </c>
      <c r="SOG39" s="117">
        <v>23.08</v>
      </c>
      <c r="SOM39" s="117">
        <f>AVERAGE(SOA39:SOL39)</f>
        <v>7.6933333333333325</v>
      </c>
      <c r="SON39" s="117" t="str">
        <f>IF(SOM39&lt;5,"SI","NO")</f>
        <v>NO</v>
      </c>
      <c r="SOO39" s="117" t="str">
        <f>IF(SOM39&lt;5,"Sin Riesgo",IF(SOM39 &lt;=14,"Bajo",IF(SOM39&lt;=35,"Medio",IF(SOM39&lt;=80,"Alto","Inviable Sanitariamente"))))</f>
        <v>Bajo</v>
      </c>
      <c r="SOP39" s="117">
        <v>0</v>
      </c>
      <c r="SOT39" s="117">
        <v>0</v>
      </c>
      <c r="SOV39" s="117">
        <v>23.08</v>
      </c>
      <c r="SPB39" s="117">
        <f>AVERAGE(SOP39:SPA39)</f>
        <v>7.6933333333333325</v>
      </c>
      <c r="SPC39" s="117" t="str">
        <f>IF(SPB39&lt;5,"SI","NO")</f>
        <v>NO</v>
      </c>
      <c r="SPD39" s="117" t="str">
        <f>IF(SPB39&lt;5,"Sin Riesgo",IF(SPB39 &lt;=14,"Bajo",IF(SPB39&lt;=35,"Medio",IF(SPB39&lt;=80,"Alto","Inviable Sanitariamente"))))</f>
        <v>Bajo</v>
      </c>
      <c r="SPE39" s="117">
        <v>0</v>
      </c>
      <c r="SPI39" s="117">
        <v>0</v>
      </c>
      <c r="SPK39" s="117">
        <v>23.08</v>
      </c>
      <c r="SPQ39" s="117">
        <f>AVERAGE(SPE39:SPP39)</f>
        <v>7.6933333333333325</v>
      </c>
      <c r="SPR39" s="117" t="str">
        <f>IF(SPQ39&lt;5,"SI","NO")</f>
        <v>NO</v>
      </c>
      <c r="SPS39" s="117" t="str">
        <f>IF(SPQ39&lt;5,"Sin Riesgo",IF(SPQ39 &lt;=14,"Bajo",IF(SPQ39&lt;=35,"Medio",IF(SPQ39&lt;=80,"Alto","Inviable Sanitariamente"))))</f>
        <v>Bajo</v>
      </c>
      <c r="SPT39" s="117">
        <v>0</v>
      </c>
      <c r="SPX39" s="117">
        <v>0</v>
      </c>
      <c r="SPZ39" s="117">
        <v>23.08</v>
      </c>
      <c r="SQF39" s="117">
        <f>AVERAGE(SPT39:SQE39)</f>
        <v>7.6933333333333325</v>
      </c>
      <c r="SQG39" s="117" t="str">
        <f>IF(SQF39&lt;5,"SI","NO")</f>
        <v>NO</v>
      </c>
      <c r="SQH39" s="117" t="str">
        <f>IF(SQF39&lt;5,"Sin Riesgo",IF(SQF39 &lt;=14,"Bajo",IF(SQF39&lt;=35,"Medio",IF(SQF39&lt;=80,"Alto","Inviable Sanitariamente"))))</f>
        <v>Bajo</v>
      </c>
      <c r="SQI39" s="117">
        <v>0</v>
      </c>
      <c r="SQM39" s="117">
        <v>0</v>
      </c>
      <c r="SQO39" s="117">
        <v>23.08</v>
      </c>
      <c r="SQU39" s="117">
        <f>AVERAGE(SQI39:SQT39)</f>
        <v>7.6933333333333325</v>
      </c>
      <c r="SQV39" s="117" t="str">
        <f>IF(SQU39&lt;5,"SI","NO")</f>
        <v>NO</v>
      </c>
      <c r="SQW39" s="117" t="str">
        <f>IF(SQU39&lt;5,"Sin Riesgo",IF(SQU39 &lt;=14,"Bajo",IF(SQU39&lt;=35,"Medio",IF(SQU39&lt;=80,"Alto","Inviable Sanitariamente"))))</f>
        <v>Bajo</v>
      </c>
      <c r="SQX39" s="117">
        <v>0</v>
      </c>
      <c r="SRB39" s="117">
        <v>0</v>
      </c>
      <c r="SRD39" s="117">
        <v>23.08</v>
      </c>
      <c r="SRJ39" s="117">
        <f>AVERAGE(SQX39:SRI39)</f>
        <v>7.6933333333333325</v>
      </c>
      <c r="SRK39" s="117" t="str">
        <f>IF(SRJ39&lt;5,"SI","NO")</f>
        <v>NO</v>
      </c>
      <c r="SRL39" s="117" t="str">
        <f>IF(SRJ39&lt;5,"Sin Riesgo",IF(SRJ39 &lt;=14,"Bajo",IF(SRJ39&lt;=35,"Medio",IF(SRJ39&lt;=80,"Alto","Inviable Sanitariamente"))))</f>
        <v>Bajo</v>
      </c>
      <c r="SRM39" s="117">
        <v>0</v>
      </c>
      <c r="SRQ39" s="117">
        <v>0</v>
      </c>
      <c r="SRS39" s="117">
        <v>23.08</v>
      </c>
      <c r="SRY39" s="117">
        <f>AVERAGE(SRM39:SRX39)</f>
        <v>7.6933333333333325</v>
      </c>
      <c r="SRZ39" s="117" t="str">
        <f>IF(SRY39&lt;5,"SI","NO")</f>
        <v>NO</v>
      </c>
      <c r="SSA39" s="117" t="str">
        <f>IF(SRY39&lt;5,"Sin Riesgo",IF(SRY39 &lt;=14,"Bajo",IF(SRY39&lt;=35,"Medio",IF(SRY39&lt;=80,"Alto","Inviable Sanitariamente"))))</f>
        <v>Bajo</v>
      </c>
      <c r="SSB39" s="117">
        <v>0</v>
      </c>
      <c r="SSF39" s="117">
        <v>0</v>
      </c>
      <c r="SSH39" s="117">
        <v>23.08</v>
      </c>
      <c r="SSN39" s="117">
        <f>AVERAGE(SSB39:SSM39)</f>
        <v>7.6933333333333325</v>
      </c>
      <c r="SSO39" s="117" t="str">
        <f>IF(SSN39&lt;5,"SI","NO")</f>
        <v>NO</v>
      </c>
      <c r="SSP39" s="117" t="str">
        <f>IF(SSN39&lt;5,"Sin Riesgo",IF(SSN39 &lt;=14,"Bajo",IF(SSN39&lt;=35,"Medio",IF(SSN39&lt;=80,"Alto","Inviable Sanitariamente"))))</f>
        <v>Bajo</v>
      </c>
      <c r="SSQ39" s="117">
        <v>0</v>
      </c>
      <c r="SSU39" s="117">
        <v>0</v>
      </c>
      <c r="SSW39" s="117">
        <v>23.08</v>
      </c>
      <c r="STC39" s="117">
        <f>AVERAGE(SSQ39:STB39)</f>
        <v>7.6933333333333325</v>
      </c>
      <c r="STD39" s="117" t="str">
        <f>IF(STC39&lt;5,"SI","NO")</f>
        <v>NO</v>
      </c>
      <c r="STE39" s="117" t="str">
        <f>IF(STC39&lt;5,"Sin Riesgo",IF(STC39 &lt;=14,"Bajo",IF(STC39&lt;=35,"Medio",IF(STC39&lt;=80,"Alto","Inviable Sanitariamente"))))</f>
        <v>Bajo</v>
      </c>
      <c r="STF39" s="117">
        <v>0</v>
      </c>
      <c r="STJ39" s="117">
        <v>0</v>
      </c>
      <c r="STL39" s="117">
        <v>23.08</v>
      </c>
      <c r="STR39" s="117">
        <f>AVERAGE(STF39:STQ39)</f>
        <v>7.6933333333333325</v>
      </c>
      <c r="STS39" s="117" t="str">
        <f>IF(STR39&lt;5,"SI","NO")</f>
        <v>NO</v>
      </c>
      <c r="STT39" s="117" t="str">
        <f>IF(STR39&lt;5,"Sin Riesgo",IF(STR39 &lt;=14,"Bajo",IF(STR39&lt;=35,"Medio",IF(STR39&lt;=80,"Alto","Inviable Sanitariamente"))))</f>
        <v>Bajo</v>
      </c>
      <c r="STU39" s="117">
        <v>0</v>
      </c>
      <c r="STY39" s="117">
        <v>0</v>
      </c>
      <c r="SUA39" s="117">
        <v>23.08</v>
      </c>
      <c r="SUG39" s="117">
        <f>AVERAGE(STU39:SUF39)</f>
        <v>7.6933333333333325</v>
      </c>
      <c r="SUH39" s="117" t="str">
        <f>IF(SUG39&lt;5,"SI","NO")</f>
        <v>NO</v>
      </c>
      <c r="SUI39" s="117" t="str">
        <f>IF(SUG39&lt;5,"Sin Riesgo",IF(SUG39 &lt;=14,"Bajo",IF(SUG39&lt;=35,"Medio",IF(SUG39&lt;=80,"Alto","Inviable Sanitariamente"))))</f>
        <v>Bajo</v>
      </c>
      <c r="SUJ39" s="117">
        <v>0</v>
      </c>
      <c r="SUN39" s="117">
        <v>0</v>
      </c>
      <c r="SUP39" s="117">
        <v>23.08</v>
      </c>
      <c r="SUV39" s="117">
        <f>AVERAGE(SUJ39:SUU39)</f>
        <v>7.6933333333333325</v>
      </c>
      <c r="SUW39" s="117" t="str">
        <f>IF(SUV39&lt;5,"SI","NO")</f>
        <v>NO</v>
      </c>
      <c r="SUX39" s="117" t="str">
        <f>IF(SUV39&lt;5,"Sin Riesgo",IF(SUV39 &lt;=14,"Bajo",IF(SUV39&lt;=35,"Medio",IF(SUV39&lt;=80,"Alto","Inviable Sanitariamente"))))</f>
        <v>Bajo</v>
      </c>
      <c r="SUY39" s="117">
        <v>0</v>
      </c>
      <c r="SVC39" s="117">
        <v>0</v>
      </c>
      <c r="SVE39" s="117">
        <v>23.08</v>
      </c>
      <c r="SVK39" s="117">
        <f>AVERAGE(SUY39:SVJ39)</f>
        <v>7.6933333333333325</v>
      </c>
      <c r="SVL39" s="117" t="str">
        <f>IF(SVK39&lt;5,"SI","NO")</f>
        <v>NO</v>
      </c>
      <c r="SVM39" s="117" t="str">
        <f>IF(SVK39&lt;5,"Sin Riesgo",IF(SVK39 &lt;=14,"Bajo",IF(SVK39&lt;=35,"Medio",IF(SVK39&lt;=80,"Alto","Inviable Sanitariamente"))))</f>
        <v>Bajo</v>
      </c>
      <c r="SVN39" s="117">
        <v>0</v>
      </c>
      <c r="SVR39" s="117">
        <v>0</v>
      </c>
      <c r="SVT39" s="117">
        <v>23.08</v>
      </c>
      <c r="SVZ39" s="117">
        <f>AVERAGE(SVN39:SVY39)</f>
        <v>7.6933333333333325</v>
      </c>
      <c r="SWA39" s="117" t="str">
        <f>IF(SVZ39&lt;5,"SI","NO")</f>
        <v>NO</v>
      </c>
      <c r="SWB39" s="117" t="str">
        <f>IF(SVZ39&lt;5,"Sin Riesgo",IF(SVZ39 &lt;=14,"Bajo",IF(SVZ39&lt;=35,"Medio",IF(SVZ39&lt;=80,"Alto","Inviable Sanitariamente"))))</f>
        <v>Bajo</v>
      </c>
      <c r="SWC39" s="117">
        <v>0</v>
      </c>
      <c r="SWG39" s="117">
        <v>0</v>
      </c>
      <c r="SWI39" s="117">
        <v>23.08</v>
      </c>
      <c r="SWO39" s="117">
        <f>AVERAGE(SWC39:SWN39)</f>
        <v>7.6933333333333325</v>
      </c>
      <c r="SWP39" s="117" t="str">
        <f>IF(SWO39&lt;5,"SI","NO")</f>
        <v>NO</v>
      </c>
      <c r="SWQ39" s="117" t="str">
        <f>IF(SWO39&lt;5,"Sin Riesgo",IF(SWO39 &lt;=14,"Bajo",IF(SWO39&lt;=35,"Medio",IF(SWO39&lt;=80,"Alto","Inviable Sanitariamente"))))</f>
        <v>Bajo</v>
      </c>
      <c r="SWR39" s="117">
        <v>0</v>
      </c>
      <c r="SWV39" s="117">
        <v>0</v>
      </c>
      <c r="SWX39" s="117">
        <v>23.08</v>
      </c>
      <c r="SXD39" s="117">
        <f>AVERAGE(SWR39:SXC39)</f>
        <v>7.6933333333333325</v>
      </c>
      <c r="SXE39" s="117" t="str">
        <f>IF(SXD39&lt;5,"SI","NO")</f>
        <v>NO</v>
      </c>
      <c r="SXF39" s="117" t="str">
        <f>IF(SXD39&lt;5,"Sin Riesgo",IF(SXD39 &lt;=14,"Bajo",IF(SXD39&lt;=35,"Medio",IF(SXD39&lt;=80,"Alto","Inviable Sanitariamente"))))</f>
        <v>Bajo</v>
      </c>
      <c r="SXG39" s="117">
        <v>0</v>
      </c>
      <c r="SXK39" s="117">
        <v>0</v>
      </c>
      <c r="SXM39" s="117">
        <v>23.08</v>
      </c>
      <c r="SXS39" s="117">
        <f>AVERAGE(SXG39:SXR39)</f>
        <v>7.6933333333333325</v>
      </c>
      <c r="SXT39" s="117" t="str">
        <f>IF(SXS39&lt;5,"SI","NO")</f>
        <v>NO</v>
      </c>
      <c r="SXU39" s="117" t="str">
        <f>IF(SXS39&lt;5,"Sin Riesgo",IF(SXS39 &lt;=14,"Bajo",IF(SXS39&lt;=35,"Medio",IF(SXS39&lt;=80,"Alto","Inviable Sanitariamente"))))</f>
        <v>Bajo</v>
      </c>
      <c r="SXV39" s="117">
        <v>0</v>
      </c>
      <c r="SXZ39" s="117">
        <v>0</v>
      </c>
      <c r="SYB39" s="117">
        <v>23.08</v>
      </c>
      <c r="SYH39" s="117">
        <f>AVERAGE(SXV39:SYG39)</f>
        <v>7.6933333333333325</v>
      </c>
      <c r="SYI39" s="117" t="str">
        <f>IF(SYH39&lt;5,"SI","NO")</f>
        <v>NO</v>
      </c>
      <c r="SYJ39" s="117" t="str">
        <f>IF(SYH39&lt;5,"Sin Riesgo",IF(SYH39 &lt;=14,"Bajo",IF(SYH39&lt;=35,"Medio",IF(SYH39&lt;=80,"Alto","Inviable Sanitariamente"))))</f>
        <v>Bajo</v>
      </c>
      <c r="SYK39" s="117">
        <v>0</v>
      </c>
      <c r="SYO39" s="117">
        <v>0</v>
      </c>
      <c r="SYQ39" s="117">
        <v>23.08</v>
      </c>
      <c r="SYW39" s="117">
        <f>AVERAGE(SYK39:SYV39)</f>
        <v>7.6933333333333325</v>
      </c>
      <c r="SYX39" s="117" t="str">
        <f>IF(SYW39&lt;5,"SI","NO")</f>
        <v>NO</v>
      </c>
      <c r="SYY39" s="117" t="str">
        <f>IF(SYW39&lt;5,"Sin Riesgo",IF(SYW39 &lt;=14,"Bajo",IF(SYW39&lt;=35,"Medio",IF(SYW39&lt;=80,"Alto","Inviable Sanitariamente"))))</f>
        <v>Bajo</v>
      </c>
      <c r="SYZ39" s="117">
        <v>0</v>
      </c>
      <c r="SZD39" s="117">
        <v>0</v>
      </c>
      <c r="SZF39" s="117">
        <v>23.08</v>
      </c>
      <c r="SZL39" s="117">
        <f>AVERAGE(SYZ39:SZK39)</f>
        <v>7.6933333333333325</v>
      </c>
      <c r="SZM39" s="117" t="str">
        <f>IF(SZL39&lt;5,"SI","NO")</f>
        <v>NO</v>
      </c>
      <c r="SZN39" s="117" t="str">
        <f>IF(SZL39&lt;5,"Sin Riesgo",IF(SZL39 &lt;=14,"Bajo",IF(SZL39&lt;=35,"Medio",IF(SZL39&lt;=80,"Alto","Inviable Sanitariamente"))))</f>
        <v>Bajo</v>
      </c>
      <c r="SZO39" s="117">
        <v>0</v>
      </c>
      <c r="SZS39" s="117">
        <v>0</v>
      </c>
      <c r="SZU39" s="117">
        <v>23.08</v>
      </c>
      <c r="TAA39" s="117">
        <f>AVERAGE(SZO39:SZZ39)</f>
        <v>7.6933333333333325</v>
      </c>
      <c r="TAB39" s="117" t="str">
        <f>IF(TAA39&lt;5,"SI","NO")</f>
        <v>NO</v>
      </c>
      <c r="TAC39" s="117" t="str">
        <f>IF(TAA39&lt;5,"Sin Riesgo",IF(TAA39 &lt;=14,"Bajo",IF(TAA39&lt;=35,"Medio",IF(TAA39&lt;=80,"Alto","Inviable Sanitariamente"))))</f>
        <v>Bajo</v>
      </c>
      <c r="TAD39" s="117">
        <v>0</v>
      </c>
      <c r="TAH39" s="117">
        <v>0</v>
      </c>
      <c r="TAJ39" s="117">
        <v>23.08</v>
      </c>
      <c r="TAP39" s="117">
        <f>AVERAGE(TAD39:TAO39)</f>
        <v>7.6933333333333325</v>
      </c>
      <c r="TAQ39" s="117" t="str">
        <f>IF(TAP39&lt;5,"SI","NO")</f>
        <v>NO</v>
      </c>
      <c r="TAR39" s="117" t="str">
        <f>IF(TAP39&lt;5,"Sin Riesgo",IF(TAP39 &lt;=14,"Bajo",IF(TAP39&lt;=35,"Medio",IF(TAP39&lt;=80,"Alto","Inviable Sanitariamente"))))</f>
        <v>Bajo</v>
      </c>
      <c r="TAS39" s="117">
        <v>0</v>
      </c>
      <c r="TAW39" s="117">
        <v>0</v>
      </c>
      <c r="TAY39" s="117">
        <v>23.08</v>
      </c>
      <c r="TBE39" s="117">
        <f>AVERAGE(TAS39:TBD39)</f>
        <v>7.6933333333333325</v>
      </c>
      <c r="TBF39" s="117" t="str">
        <f>IF(TBE39&lt;5,"SI","NO")</f>
        <v>NO</v>
      </c>
      <c r="TBG39" s="117" t="str">
        <f>IF(TBE39&lt;5,"Sin Riesgo",IF(TBE39 &lt;=14,"Bajo",IF(TBE39&lt;=35,"Medio",IF(TBE39&lt;=80,"Alto","Inviable Sanitariamente"))))</f>
        <v>Bajo</v>
      </c>
      <c r="TBH39" s="117">
        <v>0</v>
      </c>
      <c r="TBL39" s="117">
        <v>0</v>
      </c>
      <c r="TBN39" s="117">
        <v>23.08</v>
      </c>
      <c r="TBT39" s="117">
        <f>AVERAGE(TBH39:TBS39)</f>
        <v>7.6933333333333325</v>
      </c>
      <c r="TBU39" s="117" t="str">
        <f>IF(TBT39&lt;5,"SI","NO")</f>
        <v>NO</v>
      </c>
      <c r="TBV39" s="117" t="str">
        <f>IF(TBT39&lt;5,"Sin Riesgo",IF(TBT39 &lt;=14,"Bajo",IF(TBT39&lt;=35,"Medio",IF(TBT39&lt;=80,"Alto","Inviable Sanitariamente"))))</f>
        <v>Bajo</v>
      </c>
      <c r="TBW39" s="117">
        <v>0</v>
      </c>
      <c r="TCA39" s="117">
        <v>0</v>
      </c>
      <c r="TCC39" s="117">
        <v>23.08</v>
      </c>
      <c r="TCI39" s="117">
        <f>AVERAGE(TBW39:TCH39)</f>
        <v>7.6933333333333325</v>
      </c>
      <c r="TCJ39" s="117" t="str">
        <f>IF(TCI39&lt;5,"SI","NO")</f>
        <v>NO</v>
      </c>
      <c r="TCK39" s="117" t="str">
        <f>IF(TCI39&lt;5,"Sin Riesgo",IF(TCI39 &lt;=14,"Bajo",IF(TCI39&lt;=35,"Medio",IF(TCI39&lt;=80,"Alto","Inviable Sanitariamente"))))</f>
        <v>Bajo</v>
      </c>
      <c r="TCL39" s="117">
        <v>0</v>
      </c>
      <c r="TCP39" s="117">
        <v>0</v>
      </c>
      <c r="TCR39" s="117">
        <v>23.08</v>
      </c>
      <c r="TCX39" s="117">
        <f>AVERAGE(TCL39:TCW39)</f>
        <v>7.6933333333333325</v>
      </c>
      <c r="TCY39" s="117" t="str">
        <f>IF(TCX39&lt;5,"SI","NO")</f>
        <v>NO</v>
      </c>
      <c r="TCZ39" s="117" t="str">
        <f>IF(TCX39&lt;5,"Sin Riesgo",IF(TCX39 &lt;=14,"Bajo",IF(TCX39&lt;=35,"Medio",IF(TCX39&lt;=80,"Alto","Inviable Sanitariamente"))))</f>
        <v>Bajo</v>
      </c>
      <c r="TDA39" s="117">
        <v>0</v>
      </c>
      <c r="TDE39" s="117">
        <v>0</v>
      </c>
      <c r="TDG39" s="117">
        <v>23.08</v>
      </c>
      <c r="TDM39" s="117">
        <f>AVERAGE(TDA39:TDL39)</f>
        <v>7.6933333333333325</v>
      </c>
      <c r="TDN39" s="117" t="str">
        <f>IF(TDM39&lt;5,"SI","NO")</f>
        <v>NO</v>
      </c>
      <c r="TDO39" s="117" t="str">
        <f>IF(TDM39&lt;5,"Sin Riesgo",IF(TDM39 &lt;=14,"Bajo",IF(TDM39&lt;=35,"Medio",IF(TDM39&lt;=80,"Alto","Inviable Sanitariamente"))))</f>
        <v>Bajo</v>
      </c>
      <c r="TDP39" s="117">
        <v>0</v>
      </c>
      <c r="TDT39" s="117">
        <v>0</v>
      </c>
      <c r="TDV39" s="117">
        <v>23.08</v>
      </c>
      <c r="TEB39" s="117">
        <f>AVERAGE(TDP39:TEA39)</f>
        <v>7.6933333333333325</v>
      </c>
      <c r="TEC39" s="117" t="str">
        <f>IF(TEB39&lt;5,"SI","NO")</f>
        <v>NO</v>
      </c>
      <c r="TED39" s="117" t="str">
        <f>IF(TEB39&lt;5,"Sin Riesgo",IF(TEB39 &lt;=14,"Bajo",IF(TEB39&lt;=35,"Medio",IF(TEB39&lt;=80,"Alto","Inviable Sanitariamente"))))</f>
        <v>Bajo</v>
      </c>
      <c r="TEE39" s="117">
        <v>0</v>
      </c>
      <c r="TEI39" s="117">
        <v>0</v>
      </c>
      <c r="TEK39" s="117">
        <v>23.08</v>
      </c>
      <c r="TEQ39" s="117">
        <f>AVERAGE(TEE39:TEP39)</f>
        <v>7.6933333333333325</v>
      </c>
      <c r="TER39" s="117" t="str">
        <f>IF(TEQ39&lt;5,"SI","NO")</f>
        <v>NO</v>
      </c>
      <c r="TES39" s="117" t="str">
        <f>IF(TEQ39&lt;5,"Sin Riesgo",IF(TEQ39 &lt;=14,"Bajo",IF(TEQ39&lt;=35,"Medio",IF(TEQ39&lt;=80,"Alto","Inviable Sanitariamente"))))</f>
        <v>Bajo</v>
      </c>
      <c r="TET39" s="117">
        <v>0</v>
      </c>
      <c r="TEX39" s="117">
        <v>0</v>
      </c>
      <c r="TEZ39" s="117">
        <v>23.08</v>
      </c>
      <c r="TFF39" s="117">
        <f>AVERAGE(TET39:TFE39)</f>
        <v>7.6933333333333325</v>
      </c>
      <c r="TFG39" s="117" t="str">
        <f>IF(TFF39&lt;5,"SI","NO")</f>
        <v>NO</v>
      </c>
      <c r="TFH39" s="117" t="str">
        <f>IF(TFF39&lt;5,"Sin Riesgo",IF(TFF39 &lt;=14,"Bajo",IF(TFF39&lt;=35,"Medio",IF(TFF39&lt;=80,"Alto","Inviable Sanitariamente"))))</f>
        <v>Bajo</v>
      </c>
      <c r="TFI39" s="117">
        <v>0</v>
      </c>
      <c r="TFM39" s="117">
        <v>0</v>
      </c>
      <c r="TFO39" s="117">
        <v>23.08</v>
      </c>
      <c r="TFU39" s="117">
        <f>AVERAGE(TFI39:TFT39)</f>
        <v>7.6933333333333325</v>
      </c>
      <c r="TFV39" s="117" t="str">
        <f>IF(TFU39&lt;5,"SI","NO")</f>
        <v>NO</v>
      </c>
      <c r="TFW39" s="117" t="str">
        <f>IF(TFU39&lt;5,"Sin Riesgo",IF(TFU39 &lt;=14,"Bajo",IF(TFU39&lt;=35,"Medio",IF(TFU39&lt;=80,"Alto","Inviable Sanitariamente"))))</f>
        <v>Bajo</v>
      </c>
      <c r="TFX39" s="117">
        <v>0</v>
      </c>
      <c r="TGB39" s="117">
        <v>0</v>
      </c>
      <c r="TGD39" s="117">
        <v>23.08</v>
      </c>
      <c r="TGJ39" s="117">
        <f>AVERAGE(TFX39:TGI39)</f>
        <v>7.6933333333333325</v>
      </c>
      <c r="TGK39" s="117" t="str">
        <f>IF(TGJ39&lt;5,"SI","NO")</f>
        <v>NO</v>
      </c>
      <c r="TGL39" s="117" t="str">
        <f>IF(TGJ39&lt;5,"Sin Riesgo",IF(TGJ39 &lt;=14,"Bajo",IF(TGJ39&lt;=35,"Medio",IF(TGJ39&lt;=80,"Alto","Inviable Sanitariamente"))))</f>
        <v>Bajo</v>
      </c>
      <c r="TGM39" s="117">
        <v>0</v>
      </c>
      <c r="TGQ39" s="117">
        <v>0</v>
      </c>
      <c r="TGS39" s="117">
        <v>23.08</v>
      </c>
      <c r="TGY39" s="117">
        <f>AVERAGE(TGM39:TGX39)</f>
        <v>7.6933333333333325</v>
      </c>
      <c r="TGZ39" s="117" t="str">
        <f>IF(TGY39&lt;5,"SI","NO")</f>
        <v>NO</v>
      </c>
      <c r="THA39" s="117" t="str">
        <f>IF(TGY39&lt;5,"Sin Riesgo",IF(TGY39 &lt;=14,"Bajo",IF(TGY39&lt;=35,"Medio",IF(TGY39&lt;=80,"Alto","Inviable Sanitariamente"))))</f>
        <v>Bajo</v>
      </c>
      <c r="THB39" s="117">
        <v>0</v>
      </c>
      <c r="THF39" s="117">
        <v>0</v>
      </c>
      <c r="THH39" s="117">
        <v>23.08</v>
      </c>
      <c r="THN39" s="117">
        <f>AVERAGE(THB39:THM39)</f>
        <v>7.6933333333333325</v>
      </c>
      <c r="THO39" s="117" t="str">
        <f>IF(THN39&lt;5,"SI","NO")</f>
        <v>NO</v>
      </c>
      <c r="THP39" s="117" t="str">
        <f>IF(THN39&lt;5,"Sin Riesgo",IF(THN39 &lt;=14,"Bajo",IF(THN39&lt;=35,"Medio",IF(THN39&lt;=80,"Alto","Inviable Sanitariamente"))))</f>
        <v>Bajo</v>
      </c>
      <c r="THQ39" s="117">
        <v>0</v>
      </c>
      <c r="THU39" s="117">
        <v>0</v>
      </c>
      <c r="THW39" s="117">
        <v>23.08</v>
      </c>
      <c r="TIC39" s="117">
        <f>AVERAGE(THQ39:TIB39)</f>
        <v>7.6933333333333325</v>
      </c>
      <c r="TID39" s="117" t="str">
        <f>IF(TIC39&lt;5,"SI","NO")</f>
        <v>NO</v>
      </c>
      <c r="TIE39" s="117" t="str">
        <f>IF(TIC39&lt;5,"Sin Riesgo",IF(TIC39 &lt;=14,"Bajo",IF(TIC39&lt;=35,"Medio",IF(TIC39&lt;=80,"Alto","Inviable Sanitariamente"))))</f>
        <v>Bajo</v>
      </c>
      <c r="TIF39" s="117">
        <v>0</v>
      </c>
      <c r="TIJ39" s="117">
        <v>0</v>
      </c>
      <c r="TIL39" s="117">
        <v>23.08</v>
      </c>
      <c r="TIR39" s="117">
        <f>AVERAGE(TIF39:TIQ39)</f>
        <v>7.6933333333333325</v>
      </c>
      <c r="TIS39" s="117" t="str">
        <f>IF(TIR39&lt;5,"SI","NO")</f>
        <v>NO</v>
      </c>
      <c r="TIT39" s="117" t="str">
        <f>IF(TIR39&lt;5,"Sin Riesgo",IF(TIR39 &lt;=14,"Bajo",IF(TIR39&lt;=35,"Medio",IF(TIR39&lt;=80,"Alto","Inviable Sanitariamente"))))</f>
        <v>Bajo</v>
      </c>
      <c r="TIU39" s="117">
        <v>0</v>
      </c>
      <c r="TIY39" s="117">
        <v>0</v>
      </c>
      <c r="TJA39" s="117">
        <v>23.08</v>
      </c>
      <c r="TJG39" s="117">
        <f>AVERAGE(TIU39:TJF39)</f>
        <v>7.6933333333333325</v>
      </c>
      <c r="TJH39" s="117" t="str">
        <f>IF(TJG39&lt;5,"SI","NO")</f>
        <v>NO</v>
      </c>
      <c r="TJI39" s="117" t="str">
        <f>IF(TJG39&lt;5,"Sin Riesgo",IF(TJG39 &lt;=14,"Bajo",IF(TJG39&lt;=35,"Medio",IF(TJG39&lt;=80,"Alto","Inviable Sanitariamente"))))</f>
        <v>Bajo</v>
      </c>
      <c r="TJJ39" s="117">
        <v>0</v>
      </c>
      <c r="TJN39" s="117">
        <v>0</v>
      </c>
      <c r="TJP39" s="117">
        <v>23.08</v>
      </c>
      <c r="TJV39" s="117">
        <f>AVERAGE(TJJ39:TJU39)</f>
        <v>7.6933333333333325</v>
      </c>
      <c r="TJW39" s="117" t="str">
        <f>IF(TJV39&lt;5,"SI","NO")</f>
        <v>NO</v>
      </c>
      <c r="TJX39" s="117" t="str">
        <f>IF(TJV39&lt;5,"Sin Riesgo",IF(TJV39 &lt;=14,"Bajo",IF(TJV39&lt;=35,"Medio",IF(TJV39&lt;=80,"Alto","Inviable Sanitariamente"))))</f>
        <v>Bajo</v>
      </c>
      <c r="TJY39" s="117">
        <v>0</v>
      </c>
      <c r="TKC39" s="117">
        <v>0</v>
      </c>
      <c r="TKE39" s="117">
        <v>23.08</v>
      </c>
      <c r="TKK39" s="117">
        <f>AVERAGE(TJY39:TKJ39)</f>
        <v>7.6933333333333325</v>
      </c>
      <c r="TKL39" s="117" t="str">
        <f>IF(TKK39&lt;5,"SI","NO")</f>
        <v>NO</v>
      </c>
      <c r="TKM39" s="117" t="str">
        <f>IF(TKK39&lt;5,"Sin Riesgo",IF(TKK39 &lt;=14,"Bajo",IF(TKK39&lt;=35,"Medio",IF(TKK39&lt;=80,"Alto","Inviable Sanitariamente"))))</f>
        <v>Bajo</v>
      </c>
      <c r="TKN39" s="117">
        <v>0</v>
      </c>
      <c r="TKR39" s="117">
        <v>0</v>
      </c>
      <c r="TKT39" s="117">
        <v>23.08</v>
      </c>
      <c r="TKZ39" s="117">
        <f>AVERAGE(TKN39:TKY39)</f>
        <v>7.6933333333333325</v>
      </c>
      <c r="TLA39" s="117" t="str">
        <f>IF(TKZ39&lt;5,"SI","NO")</f>
        <v>NO</v>
      </c>
      <c r="TLB39" s="117" t="str">
        <f>IF(TKZ39&lt;5,"Sin Riesgo",IF(TKZ39 &lt;=14,"Bajo",IF(TKZ39&lt;=35,"Medio",IF(TKZ39&lt;=80,"Alto","Inviable Sanitariamente"))))</f>
        <v>Bajo</v>
      </c>
      <c r="TLC39" s="117">
        <v>0</v>
      </c>
      <c r="TLG39" s="117">
        <v>0</v>
      </c>
      <c r="TLI39" s="117">
        <v>23.08</v>
      </c>
      <c r="TLO39" s="117">
        <f>AVERAGE(TLC39:TLN39)</f>
        <v>7.6933333333333325</v>
      </c>
      <c r="TLP39" s="117" t="str">
        <f>IF(TLO39&lt;5,"SI","NO")</f>
        <v>NO</v>
      </c>
      <c r="TLQ39" s="117" t="str">
        <f>IF(TLO39&lt;5,"Sin Riesgo",IF(TLO39 &lt;=14,"Bajo",IF(TLO39&lt;=35,"Medio",IF(TLO39&lt;=80,"Alto","Inviable Sanitariamente"))))</f>
        <v>Bajo</v>
      </c>
      <c r="TLR39" s="117">
        <v>0</v>
      </c>
      <c r="TLV39" s="117">
        <v>0</v>
      </c>
      <c r="TLX39" s="117">
        <v>23.08</v>
      </c>
      <c r="TMD39" s="117">
        <f>AVERAGE(TLR39:TMC39)</f>
        <v>7.6933333333333325</v>
      </c>
      <c r="TME39" s="117" t="str">
        <f>IF(TMD39&lt;5,"SI","NO")</f>
        <v>NO</v>
      </c>
      <c r="TMF39" s="117" t="str">
        <f>IF(TMD39&lt;5,"Sin Riesgo",IF(TMD39 &lt;=14,"Bajo",IF(TMD39&lt;=35,"Medio",IF(TMD39&lt;=80,"Alto","Inviable Sanitariamente"))))</f>
        <v>Bajo</v>
      </c>
      <c r="TMG39" s="117">
        <v>0</v>
      </c>
      <c r="TMK39" s="117">
        <v>0</v>
      </c>
      <c r="TMM39" s="117">
        <v>23.08</v>
      </c>
      <c r="TMS39" s="117">
        <f>AVERAGE(TMG39:TMR39)</f>
        <v>7.6933333333333325</v>
      </c>
      <c r="TMT39" s="117" t="str">
        <f>IF(TMS39&lt;5,"SI","NO")</f>
        <v>NO</v>
      </c>
      <c r="TMU39" s="117" t="str">
        <f>IF(TMS39&lt;5,"Sin Riesgo",IF(TMS39 &lt;=14,"Bajo",IF(TMS39&lt;=35,"Medio",IF(TMS39&lt;=80,"Alto","Inviable Sanitariamente"))))</f>
        <v>Bajo</v>
      </c>
      <c r="TMV39" s="117">
        <v>0</v>
      </c>
      <c r="TMZ39" s="117">
        <v>0</v>
      </c>
      <c r="TNB39" s="117">
        <v>23.08</v>
      </c>
      <c r="TNH39" s="117">
        <f>AVERAGE(TMV39:TNG39)</f>
        <v>7.6933333333333325</v>
      </c>
      <c r="TNI39" s="117" t="str">
        <f>IF(TNH39&lt;5,"SI","NO")</f>
        <v>NO</v>
      </c>
      <c r="TNJ39" s="117" t="str">
        <f>IF(TNH39&lt;5,"Sin Riesgo",IF(TNH39 &lt;=14,"Bajo",IF(TNH39&lt;=35,"Medio",IF(TNH39&lt;=80,"Alto","Inviable Sanitariamente"))))</f>
        <v>Bajo</v>
      </c>
      <c r="TNK39" s="117">
        <v>0</v>
      </c>
      <c r="TNO39" s="117">
        <v>0</v>
      </c>
      <c r="TNQ39" s="117">
        <v>23.08</v>
      </c>
      <c r="TNW39" s="117">
        <f>AVERAGE(TNK39:TNV39)</f>
        <v>7.6933333333333325</v>
      </c>
      <c r="TNX39" s="117" t="str">
        <f>IF(TNW39&lt;5,"SI","NO")</f>
        <v>NO</v>
      </c>
      <c r="TNY39" s="117" t="str">
        <f>IF(TNW39&lt;5,"Sin Riesgo",IF(TNW39 &lt;=14,"Bajo",IF(TNW39&lt;=35,"Medio",IF(TNW39&lt;=80,"Alto","Inviable Sanitariamente"))))</f>
        <v>Bajo</v>
      </c>
      <c r="TNZ39" s="117">
        <v>0</v>
      </c>
      <c r="TOD39" s="117">
        <v>0</v>
      </c>
      <c r="TOF39" s="117">
        <v>23.08</v>
      </c>
      <c r="TOL39" s="117">
        <f>AVERAGE(TNZ39:TOK39)</f>
        <v>7.6933333333333325</v>
      </c>
      <c r="TOM39" s="117" t="str">
        <f>IF(TOL39&lt;5,"SI","NO")</f>
        <v>NO</v>
      </c>
      <c r="TON39" s="117" t="str">
        <f>IF(TOL39&lt;5,"Sin Riesgo",IF(TOL39 &lt;=14,"Bajo",IF(TOL39&lt;=35,"Medio",IF(TOL39&lt;=80,"Alto","Inviable Sanitariamente"))))</f>
        <v>Bajo</v>
      </c>
      <c r="TOO39" s="117">
        <v>0</v>
      </c>
      <c r="TOS39" s="117">
        <v>0</v>
      </c>
      <c r="TOU39" s="117">
        <v>23.08</v>
      </c>
      <c r="TPA39" s="117">
        <f>AVERAGE(TOO39:TOZ39)</f>
        <v>7.6933333333333325</v>
      </c>
      <c r="TPB39" s="117" t="str">
        <f>IF(TPA39&lt;5,"SI","NO")</f>
        <v>NO</v>
      </c>
      <c r="TPC39" s="117" t="str">
        <f>IF(TPA39&lt;5,"Sin Riesgo",IF(TPA39 &lt;=14,"Bajo",IF(TPA39&lt;=35,"Medio",IF(TPA39&lt;=80,"Alto","Inviable Sanitariamente"))))</f>
        <v>Bajo</v>
      </c>
      <c r="TPD39" s="117">
        <v>0</v>
      </c>
      <c r="TPH39" s="117">
        <v>0</v>
      </c>
      <c r="TPJ39" s="117">
        <v>23.08</v>
      </c>
      <c r="TPP39" s="117">
        <f>AVERAGE(TPD39:TPO39)</f>
        <v>7.6933333333333325</v>
      </c>
      <c r="TPQ39" s="117" t="str">
        <f>IF(TPP39&lt;5,"SI","NO")</f>
        <v>NO</v>
      </c>
      <c r="TPR39" s="117" t="str">
        <f>IF(TPP39&lt;5,"Sin Riesgo",IF(TPP39 &lt;=14,"Bajo",IF(TPP39&lt;=35,"Medio",IF(TPP39&lt;=80,"Alto","Inviable Sanitariamente"))))</f>
        <v>Bajo</v>
      </c>
      <c r="TPS39" s="117">
        <v>0</v>
      </c>
      <c r="TPW39" s="117">
        <v>0</v>
      </c>
      <c r="TPY39" s="117">
        <v>23.08</v>
      </c>
      <c r="TQE39" s="117">
        <f>AVERAGE(TPS39:TQD39)</f>
        <v>7.6933333333333325</v>
      </c>
      <c r="TQF39" s="117" t="str">
        <f>IF(TQE39&lt;5,"SI","NO")</f>
        <v>NO</v>
      </c>
      <c r="TQG39" s="117" t="str">
        <f>IF(TQE39&lt;5,"Sin Riesgo",IF(TQE39 &lt;=14,"Bajo",IF(TQE39&lt;=35,"Medio",IF(TQE39&lt;=80,"Alto","Inviable Sanitariamente"))))</f>
        <v>Bajo</v>
      </c>
      <c r="TQH39" s="117">
        <v>0</v>
      </c>
      <c r="TQL39" s="117">
        <v>0</v>
      </c>
      <c r="TQN39" s="117">
        <v>23.08</v>
      </c>
      <c r="TQT39" s="117">
        <f>AVERAGE(TQH39:TQS39)</f>
        <v>7.6933333333333325</v>
      </c>
      <c r="TQU39" s="117" t="str">
        <f>IF(TQT39&lt;5,"SI","NO")</f>
        <v>NO</v>
      </c>
      <c r="TQV39" s="117" t="str">
        <f>IF(TQT39&lt;5,"Sin Riesgo",IF(TQT39 &lt;=14,"Bajo",IF(TQT39&lt;=35,"Medio",IF(TQT39&lt;=80,"Alto","Inviable Sanitariamente"))))</f>
        <v>Bajo</v>
      </c>
      <c r="TQW39" s="117">
        <v>0</v>
      </c>
      <c r="TRA39" s="117">
        <v>0</v>
      </c>
      <c r="TRC39" s="117">
        <v>23.08</v>
      </c>
      <c r="TRI39" s="117">
        <f>AVERAGE(TQW39:TRH39)</f>
        <v>7.6933333333333325</v>
      </c>
      <c r="TRJ39" s="117" t="str">
        <f>IF(TRI39&lt;5,"SI","NO")</f>
        <v>NO</v>
      </c>
      <c r="TRK39" s="117" t="str">
        <f>IF(TRI39&lt;5,"Sin Riesgo",IF(TRI39 &lt;=14,"Bajo",IF(TRI39&lt;=35,"Medio",IF(TRI39&lt;=80,"Alto","Inviable Sanitariamente"))))</f>
        <v>Bajo</v>
      </c>
      <c r="TRL39" s="117">
        <v>0</v>
      </c>
      <c r="TRP39" s="117">
        <v>0</v>
      </c>
      <c r="TRR39" s="117">
        <v>23.08</v>
      </c>
      <c r="TRX39" s="117">
        <f>AVERAGE(TRL39:TRW39)</f>
        <v>7.6933333333333325</v>
      </c>
      <c r="TRY39" s="117" t="str">
        <f>IF(TRX39&lt;5,"SI","NO")</f>
        <v>NO</v>
      </c>
      <c r="TRZ39" s="117" t="str">
        <f>IF(TRX39&lt;5,"Sin Riesgo",IF(TRX39 &lt;=14,"Bajo",IF(TRX39&lt;=35,"Medio",IF(TRX39&lt;=80,"Alto","Inviable Sanitariamente"))))</f>
        <v>Bajo</v>
      </c>
      <c r="TSA39" s="117">
        <v>0</v>
      </c>
      <c r="TSE39" s="117">
        <v>0</v>
      </c>
      <c r="TSG39" s="117">
        <v>23.08</v>
      </c>
      <c r="TSM39" s="117">
        <f>AVERAGE(TSA39:TSL39)</f>
        <v>7.6933333333333325</v>
      </c>
      <c r="TSN39" s="117" t="str">
        <f>IF(TSM39&lt;5,"SI","NO")</f>
        <v>NO</v>
      </c>
      <c r="TSO39" s="117" t="str">
        <f>IF(TSM39&lt;5,"Sin Riesgo",IF(TSM39 &lt;=14,"Bajo",IF(TSM39&lt;=35,"Medio",IF(TSM39&lt;=80,"Alto","Inviable Sanitariamente"))))</f>
        <v>Bajo</v>
      </c>
      <c r="TSP39" s="117">
        <v>0</v>
      </c>
      <c r="TST39" s="117">
        <v>0</v>
      </c>
      <c r="TSV39" s="117">
        <v>23.08</v>
      </c>
      <c r="TTB39" s="117">
        <f>AVERAGE(TSP39:TTA39)</f>
        <v>7.6933333333333325</v>
      </c>
      <c r="TTC39" s="117" t="str">
        <f>IF(TTB39&lt;5,"SI","NO")</f>
        <v>NO</v>
      </c>
      <c r="TTD39" s="117" t="str">
        <f>IF(TTB39&lt;5,"Sin Riesgo",IF(TTB39 &lt;=14,"Bajo",IF(TTB39&lt;=35,"Medio",IF(TTB39&lt;=80,"Alto","Inviable Sanitariamente"))))</f>
        <v>Bajo</v>
      </c>
      <c r="TTE39" s="117">
        <v>0</v>
      </c>
      <c r="TTI39" s="117">
        <v>0</v>
      </c>
      <c r="TTK39" s="117">
        <v>23.08</v>
      </c>
      <c r="TTQ39" s="117">
        <f>AVERAGE(TTE39:TTP39)</f>
        <v>7.6933333333333325</v>
      </c>
      <c r="TTR39" s="117" t="str">
        <f>IF(TTQ39&lt;5,"SI","NO")</f>
        <v>NO</v>
      </c>
      <c r="TTS39" s="117" t="str">
        <f>IF(TTQ39&lt;5,"Sin Riesgo",IF(TTQ39 &lt;=14,"Bajo",IF(TTQ39&lt;=35,"Medio",IF(TTQ39&lt;=80,"Alto","Inviable Sanitariamente"))))</f>
        <v>Bajo</v>
      </c>
      <c r="TTT39" s="117">
        <v>0</v>
      </c>
      <c r="TTX39" s="117">
        <v>0</v>
      </c>
      <c r="TTZ39" s="117">
        <v>23.08</v>
      </c>
      <c r="TUF39" s="117">
        <f>AVERAGE(TTT39:TUE39)</f>
        <v>7.6933333333333325</v>
      </c>
      <c r="TUG39" s="117" t="str">
        <f>IF(TUF39&lt;5,"SI","NO")</f>
        <v>NO</v>
      </c>
      <c r="TUH39" s="117" t="str">
        <f>IF(TUF39&lt;5,"Sin Riesgo",IF(TUF39 &lt;=14,"Bajo",IF(TUF39&lt;=35,"Medio",IF(TUF39&lt;=80,"Alto","Inviable Sanitariamente"))))</f>
        <v>Bajo</v>
      </c>
      <c r="TUI39" s="117">
        <v>0</v>
      </c>
      <c r="TUM39" s="117">
        <v>0</v>
      </c>
      <c r="TUO39" s="117">
        <v>23.08</v>
      </c>
      <c r="TUU39" s="117">
        <f>AVERAGE(TUI39:TUT39)</f>
        <v>7.6933333333333325</v>
      </c>
      <c r="TUV39" s="117" t="str">
        <f>IF(TUU39&lt;5,"SI","NO")</f>
        <v>NO</v>
      </c>
      <c r="TUW39" s="117" t="str">
        <f>IF(TUU39&lt;5,"Sin Riesgo",IF(TUU39 &lt;=14,"Bajo",IF(TUU39&lt;=35,"Medio",IF(TUU39&lt;=80,"Alto","Inviable Sanitariamente"))))</f>
        <v>Bajo</v>
      </c>
      <c r="TUX39" s="117">
        <v>0</v>
      </c>
      <c r="TVB39" s="117">
        <v>0</v>
      </c>
      <c r="TVD39" s="117">
        <v>23.08</v>
      </c>
      <c r="TVJ39" s="117">
        <f>AVERAGE(TUX39:TVI39)</f>
        <v>7.6933333333333325</v>
      </c>
      <c r="TVK39" s="117" t="str">
        <f>IF(TVJ39&lt;5,"SI","NO")</f>
        <v>NO</v>
      </c>
      <c r="TVL39" s="117" t="str">
        <f>IF(TVJ39&lt;5,"Sin Riesgo",IF(TVJ39 &lt;=14,"Bajo",IF(TVJ39&lt;=35,"Medio",IF(TVJ39&lt;=80,"Alto","Inviable Sanitariamente"))))</f>
        <v>Bajo</v>
      </c>
      <c r="TVM39" s="117">
        <v>0</v>
      </c>
      <c r="TVQ39" s="117">
        <v>0</v>
      </c>
      <c r="TVS39" s="117">
        <v>23.08</v>
      </c>
      <c r="TVY39" s="117">
        <f>AVERAGE(TVM39:TVX39)</f>
        <v>7.6933333333333325</v>
      </c>
      <c r="TVZ39" s="117" t="str">
        <f>IF(TVY39&lt;5,"SI","NO")</f>
        <v>NO</v>
      </c>
      <c r="TWA39" s="117" t="str">
        <f>IF(TVY39&lt;5,"Sin Riesgo",IF(TVY39 &lt;=14,"Bajo",IF(TVY39&lt;=35,"Medio",IF(TVY39&lt;=80,"Alto","Inviable Sanitariamente"))))</f>
        <v>Bajo</v>
      </c>
      <c r="TWB39" s="117">
        <v>0</v>
      </c>
      <c r="TWF39" s="117">
        <v>0</v>
      </c>
      <c r="TWH39" s="117">
        <v>23.08</v>
      </c>
      <c r="TWN39" s="117">
        <f>AVERAGE(TWB39:TWM39)</f>
        <v>7.6933333333333325</v>
      </c>
      <c r="TWO39" s="117" t="str">
        <f>IF(TWN39&lt;5,"SI","NO")</f>
        <v>NO</v>
      </c>
      <c r="TWP39" s="117" t="str">
        <f>IF(TWN39&lt;5,"Sin Riesgo",IF(TWN39 &lt;=14,"Bajo",IF(TWN39&lt;=35,"Medio",IF(TWN39&lt;=80,"Alto","Inviable Sanitariamente"))))</f>
        <v>Bajo</v>
      </c>
      <c r="TWQ39" s="117">
        <v>0</v>
      </c>
      <c r="TWU39" s="117">
        <v>0</v>
      </c>
      <c r="TWW39" s="117">
        <v>23.08</v>
      </c>
      <c r="TXC39" s="117">
        <f>AVERAGE(TWQ39:TXB39)</f>
        <v>7.6933333333333325</v>
      </c>
      <c r="TXD39" s="117" t="str">
        <f>IF(TXC39&lt;5,"SI","NO")</f>
        <v>NO</v>
      </c>
      <c r="TXE39" s="117" t="str">
        <f>IF(TXC39&lt;5,"Sin Riesgo",IF(TXC39 &lt;=14,"Bajo",IF(TXC39&lt;=35,"Medio",IF(TXC39&lt;=80,"Alto","Inviable Sanitariamente"))))</f>
        <v>Bajo</v>
      </c>
      <c r="TXF39" s="117">
        <v>0</v>
      </c>
      <c r="TXJ39" s="117">
        <v>0</v>
      </c>
      <c r="TXL39" s="117">
        <v>23.08</v>
      </c>
      <c r="TXR39" s="117">
        <f>AVERAGE(TXF39:TXQ39)</f>
        <v>7.6933333333333325</v>
      </c>
      <c r="TXS39" s="117" t="str">
        <f>IF(TXR39&lt;5,"SI","NO")</f>
        <v>NO</v>
      </c>
      <c r="TXT39" s="117" t="str">
        <f>IF(TXR39&lt;5,"Sin Riesgo",IF(TXR39 &lt;=14,"Bajo",IF(TXR39&lt;=35,"Medio",IF(TXR39&lt;=80,"Alto","Inviable Sanitariamente"))))</f>
        <v>Bajo</v>
      </c>
      <c r="TXU39" s="117">
        <v>0</v>
      </c>
      <c r="TXY39" s="117">
        <v>0</v>
      </c>
      <c r="TYA39" s="117">
        <v>23.08</v>
      </c>
      <c r="TYG39" s="117">
        <f>AVERAGE(TXU39:TYF39)</f>
        <v>7.6933333333333325</v>
      </c>
      <c r="TYH39" s="117" t="str">
        <f>IF(TYG39&lt;5,"SI","NO")</f>
        <v>NO</v>
      </c>
      <c r="TYI39" s="117" t="str">
        <f>IF(TYG39&lt;5,"Sin Riesgo",IF(TYG39 &lt;=14,"Bajo",IF(TYG39&lt;=35,"Medio",IF(TYG39&lt;=80,"Alto","Inviable Sanitariamente"))))</f>
        <v>Bajo</v>
      </c>
      <c r="TYJ39" s="117">
        <v>0</v>
      </c>
      <c r="TYN39" s="117">
        <v>0</v>
      </c>
      <c r="TYP39" s="117">
        <v>23.08</v>
      </c>
      <c r="TYV39" s="117">
        <f>AVERAGE(TYJ39:TYU39)</f>
        <v>7.6933333333333325</v>
      </c>
      <c r="TYW39" s="117" t="str">
        <f>IF(TYV39&lt;5,"SI","NO")</f>
        <v>NO</v>
      </c>
      <c r="TYX39" s="117" t="str">
        <f>IF(TYV39&lt;5,"Sin Riesgo",IF(TYV39 &lt;=14,"Bajo",IF(TYV39&lt;=35,"Medio",IF(TYV39&lt;=80,"Alto","Inviable Sanitariamente"))))</f>
        <v>Bajo</v>
      </c>
      <c r="TYY39" s="117">
        <v>0</v>
      </c>
      <c r="TZC39" s="117">
        <v>0</v>
      </c>
      <c r="TZE39" s="117">
        <v>23.08</v>
      </c>
      <c r="TZK39" s="117">
        <f>AVERAGE(TYY39:TZJ39)</f>
        <v>7.6933333333333325</v>
      </c>
      <c r="TZL39" s="117" t="str">
        <f>IF(TZK39&lt;5,"SI","NO")</f>
        <v>NO</v>
      </c>
      <c r="TZM39" s="117" t="str">
        <f>IF(TZK39&lt;5,"Sin Riesgo",IF(TZK39 &lt;=14,"Bajo",IF(TZK39&lt;=35,"Medio",IF(TZK39&lt;=80,"Alto","Inviable Sanitariamente"))))</f>
        <v>Bajo</v>
      </c>
      <c r="TZN39" s="117">
        <v>0</v>
      </c>
      <c r="TZR39" s="117">
        <v>0</v>
      </c>
      <c r="TZT39" s="117">
        <v>23.08</v>
      </c>
      <c r="TZZ39" s="117">
        <f>AVERAGE(TZN39:TZY39)</f>
        <v>7.6933333333333325</v>
      </c>
      <c r="UAA39" s="117" t="str">
        <f>IF(TZZ39&lt;5,"SI","NO")</f>
        <v>NO</v>
      </c>
      <c r="UAB39" s="117" t="str">
        <f>IF(TZZ39&lt;5,"Sin Riesgo",IF(TZZ39 &lt;=14,"Bajo",IF(TZZ39&lt;=35,"Medio",IF(TZZ39&lt;=80,"Alto","Inviable Sanitariamente"))))</f>
        <v>Bajo</v>
      </c>
      <c r="UAC39" s="117">
        <v>0</v>
      </c>
      <c r="UAG39" s="117">
        <v>0</v>
      </c>
      <c r="UAI39" s="117">
        <v>23.08</v>
      </c>
      <c r="UAO39" s="117">
        <f>AVERAGE(UAC39:UAN39)</f>
        <v>7.6933333333333325</v>
      </c>
      <c r="UAP39" s="117" t="str">
        <f>IF(UAO39&lt;5,"SI","NO")</f>
        <v>NO</v>
      </c>
      <c r="UAQ39" s="117" t="str">
        <f>IF(UAO39&lt;5,"Sin Riesgo",IF(UAO39 &lt;=14,"Bajo",IF(UAO39&lt;=35,"Medio",IF(UAO39&lt;=80,"Alto","Inviable Sanitariamente"))))</f>
        <v>Bajo</v>
      </c>
      <c r="UAR39" s="117">
        <v>0</v>
      </c>
      <c r="UAV39" s="117">
        <v>0</v>
      </c>
      <c r="UAX39" s="117">
        <v>23.08</v>
      </c>
      <c r="UBD39" s="117">
        <f>AVERAGE(UAR39:UBC39)</f>
        <v>7.6933333333333325</v>
      </c>
      <c r="UBE39" s="117" t="str">
        <f>IF(UBD39&lt;5,"SI","NO")</f>
        <v>NO</v>
      </c>
      <c r="UBF39" s="117" t="str">
        <f>IF(UBD39&lt;5,"Sin Riesgo",IF(UBD39 &lt;=14,"Bajo",IF(UBD39&lt;=35,"Medio",IF(UBD39&lt;=80,"Alto","Inviable Sanitariamente"))))</f>
        <v>Bajo</v>
      </c>
      <c r="UBG39" s="117">
        <v>0</v>
      </c>
      <c r="UBK39" s="117">
        <v>0</v>
      </c>
      <c r="UBM39" s="117">
        <v>23.08</v>
      </c>
      <c r="UBS39" s="117">
        <f>AVERAGE(UBG39:UBR39)</f>
        <v>7.6933333333333325</v>
      </c>
      <c r="UBT39" s="117" t="str">
        <f>IF(UBS39&lt;5,"SI","NO")</f>
        <v>NO</v>
      </c>
      <c r="UBU39" s="117" t="str">
        <f>IF(UBS39&lt;5,"Sin Riesgo",IF(UBS39 &lt;=14,"Bajo",IF(UBS39&lt;=35,"Medio",IF(UBS39&lt;=80,"Alto","Inviable Sanitariamente"))))</f>
        <v>Bajo</v>
      </c>
      <c r="UBV39" s="117">
        <v>0</v>
      </c>
      <c r="UBZ39" s="117">
        <v>0</v>
      </c>
      <c r="UCB39" s="117">
        <v>23.08</v>
      </c>
      <c r="UCH39" s="117">
        <f>AVERAGE(UBV39:UCG39)</f>
        <v>7.6933333333333325</v>
      </c>
      <c r="UCI39" s="117" t="str">
        <f>IF(UCH39&lt;5,"SI","NO")</f>
        <v>NO</v>
      </c>
      <c r="UCJ39" s="117" t="str">
        <f>IF(UCH39&lt;5,"Sin Riesgo",IF(UCH39 &lt;=14,"Bajo",IF(UCH39&lt;=35,"Medio",IF(UCH39&lt;=80,"Alto","Inviable Sanitariamente"))))</f>
        <v>Bajo</v>
      </c>
      <c r="UCK39" s="117">
        <v>0</v>
      </c>
      <c r="UCO39" s="117">
        <v>0</v>
      </c>
      <c r="UCQ39" s="117">
        <v>23.08</v>
      </c>
      <c r="UCW39" s="117">
        <f>AVERAGE(UCK39:UCV39)</f>
        <v>7.6933333333333325</v>
      </c>
      <c r="UCX39" s="117" t="str">
        <f>IF(UCW39&lt;5,"SI","NO")</f>
        <v>NO</v>
      </c>
      <c r="UCY39" s="117" t="str">
        <f>IF(UCW39&lt;5,"Sin Riesgo",IF(UCW39 &lt;=14,"Bajo",IF(UCW39&lt;=35,"Medio",IF(UCW39&lt;=80,"Alto","Inviable Sanitariamente"))))</f>
        <v>Bajo</v>
      </c>
      <c r="UCZ39" s="117">
        <v>0</v>
      </c>
      <c r="UDD39" s="117">
        <v>0</v>
      </c>
      <c r="UDF39" s="117">
        <v>23.08</v>
      </c>
      <c r="UDL39" s="117">
        <f>AVERAGE(UCZ39:UDK39)</f>
        <v>7.6933333333333325</v>
      </c>
      <c r="UDM39" s="117" t="str">
        <f>IF(UDL39&lt;5,"SI","NO")</f>
        <v>NO</v>
      </c>
      <c r="UDN39" s="117" t="str">
        <f>IF(UDL39&lt;5,"Sin Riesgo",IF(UDL39 &lt;=14,"Bajo",IF(UDL39&lt;=35,"Medio",IF(UDL39&lt;=80,"Alto","Inviable Sanitariamente"))))</f>
        <v>Bajo</v>
      </c>
      <c r="UDO39" s="117">
        <v>0</v>
      </c>
      <c r="UDS39" s="117">
        <v>0</v>
      </c>
      <c r="UDU39" s="117">
        <v>23.08</v>
      </c>
      <c r="UEA39" s="117">
        <f>AVERAGE(UDO39:UDZ39)</f>
        <v>7.6933333333333325</v>
      </c>
      <c r="UEB39" s="117" t="str">
        <f>IF(UEA39&lt;5,"SI","NO")</f>
        <v>NO</v>
      </c>
      <c r="UEC39" s="117" t="str">
        <f>IF(UEA39&lt;5,"Sin Riesgo",IF(UEA39 &lt;=14,"Bajo",IF(UEA39&lt;=35,"Medio",IF(UEA39&lt;=80,"Alto","Inviable Sanitariamente"))))</f>
        <v>Bajo</v>
      </c>
      <c r="UED39" s="117">
        <v>0</v>
      </c>
      <c r="UEH39" s="117">
        <v>0</v>
      </c>
      <c r="UEJ39" s="117">
        <v>23.08</v>
      </c>
      <c r="UEP39" s="117">
        <f>AVERAGE(UED39:UEO39)</f>
        <v>7.6933333333333325</v>
      </c>
      <c r="UEQ39" s="117" t="str">
        <f>IF(UEP39&lt;5,"SI","NO")</f>
        <v>NO</v>
      </c>
      <c r="UER39" s="117" t="str">
        <f>IF(UEP39&lt;5,"Sin Riesgo",IF(UEP39 &lt;=14,"Bajo",IF(UEP39&lt;=35,"Medio",IF(UEP39&lt;=80,"Alto","Inviable Sanitariamente"))))</f>
        <v>Bajo</v>
      </c>
      <c r="UES39" s="117">
        <v>0</v>
      </c>
      <c r="UEW39" s="117">
        <v>0</v>
      </c>
      <c r="UEY39" s="117">
        <v>23.08</v>
      </c>
      <c r="UFE39" s="117">
        <f>AVERAGE(UES39:UFD39)</f>
        <v>7.6933333333333325</v>
      </c>
      <c r="UFF39" s="117" t="str">
        <f>IF(UFE39&lt;5,"SI","NO")</f>
        <v>NO</v>
      </c>
      <c r="UFG39" s="117" t="str">
        <f>IF(UFE39&lt;5,"Sin Riesgo",IF(UFE39 &lt;=14,"Bajo",IF(UFE39&lt;=35,"Medio",IF(UFE39&lt;=80,"Alto","Inviable Sanitariamente"))))</f>
        <v>Bajo</v>
      </c>
      <c r="UFH39" s="117">
        <v>0</v>
      </c>
      <c r="UFL39" s="117">
        <v>0</v>
      </c>
      <c r="UFN39" s="117">
        <v>23.08</v>
      </c>
      <c r="UFT39" s="117">
        <f>AVERAGE(UFH39:UFS39)</f>
        <v>7.6933333333333325</v>
      </c>
      <c r="UFU39" s="117" t="str">
        <f>IF(UFT39&lt;5,"SI","NO")</f>
        <v>NO</v>
      </c>
      <c r="UFV39" s="117" t="str">
        <f>IF(UFT39&lt;5,"Sin Riesgo",IF(UFT39 &lt;=14,"Bajo",IF(UFT39&lt;=35,"Medio",IF(UFT39&lt;=80,"Alto","Inviable Sanitariamente"))))</f>
        <v>Bajo</v>
      </c>
      <c r="UFW39" s="117">
        <v>0</v>
      </c>
      <c r="UGA39" s="117">
        <v>0</v>
      </c>
      <c r="UGC39" s="117">
        <v>23.08</v>
      </c>
      <c r="UGI39" s="117">
        <f>AVERAGE(UFW39:UGH39)</f>
        <v>7.6933333333333325</v>
      </c>
      <c r="UGJ39" s="117" t="str">
        <f>IF(UGI39&lt;5,"SI","NO")</f>
        <v>NO</v>
      </c>
      <c r="UGK39" s="117" t="str">
        <f>IF(UGI39&lt;5,"Sin Riesgo",IF(UGI39 &lt;=14,"Bajo",IF(UGI39&lt;=35,"Medio",IF(UGI39&lt;=80,"Alto","Inviable Sanitariamente"))))</f>
        <v>Bajo</v>
      </c>
      <c r="UGL39" s="117">
        <v>0</v>
      </c>
      <c r="UGP39" s="117">
        <v>0</v>
      </c>
      <c r="UGR39" s="117">
        <v>23.08</v>
      </c>
      <c r="UGX39" s="117">
        <f>AVERAGE(UGL39:UGW39)</f>
        <v>7.6933333333333325</v>
      </c>
      <c r="UGY39" s="117" t="str">
        <f>IF(UGX39&lt;5,"SI","NO")</f>
        <v>NO</v>
      </c>
      <c r="UGZ39" s="117" t="str">
        <f>IF(UGX39&lt;5,"Sin Riesgo",IF(UGX39 &lt;=14,"Bajo",IF(UGX39&lt;=35,"Medio",IF(UGX39&lt;=80,"Alto","Inviable Sanitariamente"))))</f>
        <v>Bajo</v>
      </c>
      <c r="UHA39" s="117">
        <v>0</v>
      </c>
      <c r="UHE39" s="117">
        <v>0</v>
      </c>
      <c r="UHG39" s="117">
        <v>23.08</v>
      </c>
      <c r="UHM39" s="117">
        <f>AVERAGE(UHA39:UHL39)</f>
        <v>7.6933333333333325</v>
      </c>
      <c r="UHN39" s="117" t="str">
        <f>IF(UHM39&lt;5,"SI","NO")</f>
        <v>NO</v>
      </c>
      <c r="UHO39" s="117" t="str">
        <f>IF(UHM39&lt;5,"Sin Riesgo",IF(UHM39 &lt;=14,"Bajo",IF(UHM39&lt;=35,"Medio",IF(UHM39&lt;=80,"Alto","Inviable Sanitariamente"))))</f>
        <v>Bajo</v>
      </c>
      <c r="UHP39" s="117">
        <v>0</v>
      </c>
      <c r="UHT39" s="117">
        <v>0</v>
      </c>
      <c r="UHV39" s="117">
        <v>23.08</v>
      </c>
      <c r="UIB39" s="117">
        <f>AVERAGE(UHP39:UIA39)</f>
        <v>7.6933333333333325</v>
      </c>
      <c r="UIC39" s="117" t="str">
        <f>IF(UIB39&lt;5,"SI","NO")</f>
        <v>NO</v>
      </c>
      <c r="UID39" s="117" t="str">
        <f>IF(UIB39&lt;5,"Sin Riesgo",IF(UIB39 &lt;=14,"Bajo",IF(UIB39&lt;=35,"Medio",IF(UIB39&lt;=80,"Alto","Inviable Sanitariamente"))))</f>
        <v>Bajo</v>
      </c>
      <c r="UIE39" s="117">
        <v>0</v>
      </c>
      <c r="UII39" s="117">
        <v>0</v>
      </c>
      <c r="UIK39" s="117">
        <v>23.08</v>
      </c>
      <c r="UIQ39" s="117">
        <f>AVERAGE(UIE39:UIP39)</f>
        <v>7.6933333333333325</v>
      </c>
      <c r="UIR39" s="117" t="str">
        <f>IF(UIQ39&lt;5,"SI","NO")</f>
        <v>NO</v>
      </c>
      <c r="UIS39" s="117" t="str">
        <f>IF(UIQ39&lt;5,"Sin Riesgo",IF(UIQ39 &lt;=14,"Bajo",IF(UIQ39&lt;=35,"Medio",IF(UIQ39&lt;=80,"Alto","Inviable Sanitariamente"))))</f>
        <v>Bajo</v>
      </c>
      <c r="UIT39" s="117">
        <v>0</v>
      </c>
      <c r="UIX39" s="117">
        <v>0</v>
      </c>
      <c r="UIZ39" s="117">
        <v>23.08</v>
      </c>
      <c r="UJF39" s="117">
        <f>AVERAGE(UIT39:UJE39)</f>
        <v>7.6933333333333325</v>
      </c>
      <c r="UJG39" s="117" t="str">
        <f>IF(UJF39&lt;5,"SI","NO")</f>
        <v>NO</v>
      </c>
      <c r="UJH39" s="117" t="str">
        <f>IF(UJF39&lt;5,"Sin Riesgo",IF(UJF39 &lt;=14,"Bajo",IF(UJF39&lt;=35,"Medio",IF(UJF39&lt;=80,"Alto","Inviable Sanitariamente"))))</f>
        <v>Bajo</v>
      </c>
      <c r="UJI39" s="117">
        <v>0</v>
      </c>
      <c r="UJM39" s="117">
        <v>0</v>
      </c>
      <c r="UJO39" s="117">
        <v>23.08</v>
      </c>
      <c r="UJU39" s="117">
        <f>AVERAGE(UJI39:UJT39)</f>
        <v>7.6933333333333325</v>
      </c>
      <c r="UJV39" s="117" t="str">
        <f>IF(UJU39&lt;5,"SI","NO")</f>
        <v>NO</v>
      </c>
      <c r="UJW39" s="117" t="str">
        <f>IF(UJU39&lt;5,"Sin Riesgo",IF(UJU39 &lt;=14,"Bajo",IF(UJU39&lt;=35,"Medio",IF(UJU39&lt;=80,"Alto","Inviable Sanitariamente"))))</f>
        <v>Bajo</v>
      </c>
      <c r="UJX39" s="117">
        <v>0</v>
      </c>
      <c r="UKB39" s="117">
        <v>0</v>
      </c>
      <c r="UKD39" s="117">
        <v>23.08</v>
      </c>
      <c r="UKJ39" s="117">
        <f>AVERAGE(UJX39:UKI39)</f>
        <v>7.6933333333333325</v>
      </c>
      <c r="UKK39" s="117" t="str">
        <f>IF(UKJ39&lt;5,"SI","NO")</f>
        <v>NO</v>
      </c>
      <c r="UKL39" s="117" t="str">
        <f>IF(UKJ39&lt;5,"Sin Riesgo",IF(UKJ39 &lt;=14,"Bajo",IF(UKJ39&lt;=35,"Medio",IF(UKJ39&lt;=80,"Alto","Inviable Sanitariamente"))))</f>
        <v>Bajo</v>
      </c>
      <c r="UKM39" s="117">
        <v>0</v>
      </c>
      <c r="UKQ39" s="117">
        <v>0</v>
      </c>
      <c r="UKS39" s="117">
        <v>23.08</v>
      </c>
      <c r="UKY39" s="117">
        <f>AVERAGE(UKM39:UKX39)</f>
        <v>7.6933333333333325</v>
      </c>
      <c r="UKZ39" s="117" t="str">
        <f>IF(UKY39&lt;5,"SI","NO")</f>
        <v>NO</v>
      </c>
      <c r="ULA39" s="117" t="str">
        <f>IF(UKY39&lt;5,"Sin Riesgo",IF(UKY39 &lt;=14,"Bajo",IF(UKY39&lt;=35,"Medio",IF(UKY39&lt;=80,"Alto","Inviable Sanitariamente"))))</f>
        <v>Bajo</v>
      </c>
      <c r="ULB39" s="117">
        <v>0</v>
      </c>
      <c r="ULF39" s="117">
        <v>0</v>
      </c>
      <c r="ULH39" s="117">
        <v>23.08</v>
      </c>
      <c r="ULN39" s="117">
        <f>AVERAGE(ULB39:ULM39)</f>
        <v>7.6933333333333325</v>
      </c>
      <c r="ULO39" s="117" t="str">
        <f>IF(ULN39&lt;5,"SI","NO")</f>
        <v>NO</v>
      </c>
      <c r="ULP39" s="117" t="str">
        <f>IF(ULN39&lt;5,"Sin Riesgo",IF(ULN39 &lt;=14,"Bajo",IF(ULN39&lt;=35,"Medio",IF(ULN39&lt;=80,"Alto","Inviable Sanitariamente"))))</f>
        <v>Bajo</v>
      </c>
      <c r="ULQ39" s="117">
        <v>0</v>
      </c>
      <c r="ULU39" s="117">
        <v>0</v>
      </c>
      <c r="ULW39" s="117">
        <v>23.08</v>
      </c>
      <c r="UMC39" s="117">
        <f>AVERAGE(ULQ39:UMB39)</f>
        <v>7.6933333333333325</v>
      </c>
      <c r="UMD39" s="117" t="str">
        <f>IF(UMC39&lt;5,"SI","NO")</f>
        <v>NO</v>
      </c>
      <c r="UME39" s="117" t="str">
        <f>IF(UMC39&lt;5,"Sin Riesgo",IF(UMC39 &lt;=14,"Bajo",IF(UMC39&lt;=35,"Medio",IF(UMC39&lt;=80,"Alto","Inviable Sanitariamente"))))</f>
        <v>Bajo</v>
      </c>
      <c r="UMF39" s="117">
        <v>0</v>
      </c>
      <c r="UMJ39" s="117">
        <v>0</v>
      </c>
      <c r="UML39" s="117">
        <v>23.08</v>
      </c>
      <c r="UMR39" s="117">
        <f>AVERAGE(UMF39:UMQ39)</f>
        <v>7.6933333333333325</v>
      </c>
      <c r="UMS39" s="117" t="str">
        <f>IF(UMR39&lt;5,"SI","NO")</f>
        <v>NO</v>
      </c>
      <c r="UMT39" s="117" t="str">
        <f>IF(UMR39&lt;5,"Sin Riesgo",IF(UMR39 &lt;=14,"Bajo",IF(UMR39&lt;=35,"Medio",IF(UMR39&lt;=80,"Alto","Inviable Sanitariamente"))))</f>
        <v>Bajo</v>
      </c>
      <c r="UMU39" s="117">
        <v>0</v>
      </c>
      <c r="UMY39" s="117">
        <v>0</v>
      </c>
      <c r="UNA39" s="117">
        <v>23.08</v>
      </c>
      <c r="UNG39" s="117">
        <f>AVERAGE(UMU39:UNF39)</f>
        <v>7.6933333333333325</v>
      </c>
      <c r="UNH39" s="117" t="str">
        <f>IF(UNG39&lt;5,"SI","NO")</f>
        <v>NO</v>
      </c>
      <c r="UNI39" s="117" t="str">
        <f>IF(UNG39&lt;5,"Sin Riesgo",IF(UNG39 &lt;=14,"Bajo",IF(UNG39&lt;=35,"Medio",IF(UNG39&lt;=80,"Alto","Inviable Sanitariamente"))))</f>
        <v>Bajo</v>
      </c>
      <c r="UNJ39" s="117">
        <v>0</v>
      </c>
      <c r="UNN39" s="117">
        <v>0</v>
      </c>
      <c r="UNP39" s="117">
        <v>23.08</v>
      </c>
      <c r="UNV39" s="117">
        <f>AVERAGE(UNJ39:UNU39)</f>
        <v>7.6933333333333325</v>
      </c>
      <c r="UNW39" s="117" t="str">
        <f>IF(UNV39&lt;5,"SI","NO")</f>
        <v>NO</v>
      </c>
      <c r="UNX39" s="117" t="str">
        <f>IF(UNV39&lt;5,"Sin Riesgo",IF(UNV39 &lt;=14,"Bajo",IF(UNV39&lt;=35,"Medio",IF(UNV39&lt;=80,"Alto","Inviable Sanitariamente"))))</f>
        <v>Bajo</v>
      </c>
      <c r="UNY39" s="117">
        <v>0</v>
      </c>
      <c r="UOC39" s="117">
        <v>0</v>
      </c>
      <c r="UOE39" s="117">
        <v>23.08</v>
      </c>
      <c r="UOK39" s="117">
        <f>AVERAGE(UNY39:UOJ39)</f>
        <v>7.6933333333333325</v>
      </c>
      <c r="UOL39" s="117" t="str">
        <f>IF(UOK39&lt;5,"SI","NO")</f>
        <v>NO</v>
      </c>
      <c r="UOM39" s="117" t="str">
        <f>IF(UOK39&lt;5,"Sin Riesgo",IF(UOK39 &lt;=14,"Bajo",IF(UOK39&lt;=35,"Medio",IF(UOK39&lt;=80,"Alto","Inviable Sanitariamente"))))</f>
        <v>Bajo</v>
      </c>
      <c r="UON39" s="117">
        <v>0</v>
      </c>
      <c r="UOR39" s="117">
        <v>0</v>
      </c>
      <c r="UOT39" s="117">
        <v>23.08</v>
      </c>
      <c r="UOZ39" s="117">
        <f>AVERAGE(UON39:UOY39)</f>
        <v>7.6933333333333325</v>
      </c>
      <c r="UPA39" s="117" t="str">
        <f>IF(UOZ39&lt;5,"SI","NO")</f>
        <v>NO</v>
      </c>
      <c r="UPB39" s="117" t="str">
        <f>IF(UOZ39&lt;5,"Sin Riesgo",IF(UOZ39 &lt;=14,"Bajo",IF(UOZ39&lt;=35,"Medio",IF(UOZ39&lt;=80,"Alto","Inviable Sanitariamente"))))</f>
        <v>Bajo</v>
      </c>
      <c r="UPC39" s="117">
        <v>0</v>
      </c>
      <c r="UPG39" s="117">
        <v>0</v>
      </c>
      <c r="UPI39" s="117">
        <v>23.08</v>
      </c>
      <c r="UPO39" s="117">
        <f>AVERAGE(UPC39:UPN39)</f>
        <v>7.6933333333333325</v>
      </c>
      <c r="UPP39" s="117" t="str">
        <f>IF(UPO39&lt;5,"SI","NO")</f>
        <v>NO</v>
      </c>
      <c r="UPQ39" s="117" t="str">
        <f>IF(UPO39&lt;5,"Sin Riesgo",IF(UPO39 &lt;=14,"Bajo",IF(UPO39&lt;=35,"Medio",IF(UPO39&lt;=80,"Alto","Inviable Sanitariamente"))))</f>
        <v>Bajo</v>
      </c>
      <c r="UPR39" s="117">
        <v>0</v>
      </c>
      <c r="UPV39" s="117">
        <v>0</v>
      </c>
      <c r="UPX39" s="117">
        <v>23.08</v>
      </c>
      <c r="UQD39" s="117">
        <f>AVERAGE(UPR39:UQC39)</f>
        <v>7.6933333333333325</v>
      </c>
      <c r="UQE39" s="117" t="str">
        <f>IF(UQD39&lt;5,"SI","NO")</f>
        <v>NO</v>
      </c>
      <c r="UQF39" s="117" t="str">
        <f>IF(UQD39&lt;5,"Sin Riesgo",IF(UQD39 &lt;=14,"Bajo",IF(UQD39&lt;=35,"Medio",IF(UQD39&lt;=80,"Alto","Inviable Sanitariamente"))))</f>
        <v>Bajo</v>
      </c>
      <c r="UQG39" s="117">
        <v>0</v>
      </c>
      <c r="UQK39" s="117">
        <v>0</v>
      </c>
      <c r="UQM39" s="117">
        <v>23.08</v>
      </c>
      <c r="UQS39" s="117">
        <f>AVERAGE(UQG39:UQR39)</f>
        <v>7.6933333333333325</v>
      </c>
      <c r="UQT39" s="117" t="str">
        <f>IF(UQS39&lt;5,"SI","NO")</f>
        <v>NO</v>
      </c>
      <c r="UQU39" s="117" t="str">
        <f>IF(UQS39&lt;5,"Sin Riesgo",IF(UQS39 &lt;=14,"Bajo",IF(UQS39&lt;=35,"Medio",IF(UQS39&lt;=80,"Alto","Inviable Sanitariamente"))))</f>
        <v>Bajo</v>
      </c>
      <c r="UQV39" s="117">
        <v>0</v>
      </c>
      <c r="UQZ39" s="117">
        <v>0</v>
      </c>
      <c r="URB39" s="117">
        <v>23.08</v>
      </c>
      <c r="URH39" s="117">
        <f>AVERAGE(UQV39:URG39)</f>
        <v>7.6933333333333325</v>
      </c>
      <c r="URI39" s="117" t="str">
        <f>IF(URH39&lt;5,"SI","NO")</f>
        <v>NO</v>
      </c>
      <c r="URJ39" s="117" t="str">
        <f>IF(URH39&lt;5,"Sin Riesgo",IF(URH39 &lt;=14,"Bajo",IF(URH39&lt;=35,"Medio",IF(URH39&lt;=80,"Alto","Inviable Sanitariamente"))))</f>
        <v>Bajo</v>
      </c>
      <c r="URK39" s="117">
        <v>0</v>
      </c>
      <c r="URO39" s="117">
        <v>0</v>
      </c>
      <c r="URQ39" s="117">
        <v>23.08</v>
      </c>
      <c r="URW39" s="117">
        <f>AVERAGE(URK39:URV39)</f>
        <v>7.6933333333333325</v>
      </c>
      <c r="URX39" s="117" t="str">
        <f>IF(URW39&lt;5,"SI","NO")</f>
        <v>NO</v>
      </c>
      <c r="URY39" s="117" t="str">
        <f>IF(URW39&lt;5,"Sin Riesgo",IF(URW39 &lt;=14,"Bajo",IF(URW39&lt;=35,"Medio",IF(URW39&lt;=80,"Alto","Inviable Sanitariamente"))))</f>
        <v>Bajo</v>
      </c>
      <c r="URZ39" s="117">
        <v>0</v>
      </c>
      <c r="USD39" s="117">
        <v>0</v>
      </c>
      <c r="USF39" s="117">
        <v>23.08</v>
      </c>
      <c r="USL39" s="117">
        <f>AVERAGE(URZ39:USK39)</f>
        <v>7.6933333333333325</v>
      </c>
      <c r="USM39" s="117" t="str">
        <f>IF(USL39&lt;5,"SI","NO")</f>
        <v>NO</v>
      </c>
      <c r="USN39" s="117" t="str">
        <f>IF(USL39&lt;5,"Sin Riesgo",IF(USL39 &lt;=14,"Bajo",IF(USL39&lt;=35,"Medio",IF(USL39&lt;=80,"Alto","Inviable Sanitariamente"))))</f>
        <v>Bajo</v>
      </c>
      <c r="USO39" s="117">
        <v>0</v>
      </c>
      <c r="USS39" s="117">
        <v>0</v>
      </c>
      <c r="USU39" s="117">
        <v>23.08</v>
      </c>
      <c r="UTA39" s="117">
        <f>AVERAGE(USO39:USZ39)</f>
        <v>7.6933333333333325</v>
      </c>
      <c r="UTB39" s="117" t="str">
        <f>IF(UTA39&lt;5,"SI","NO")</f>
        <v>NO</v>
      </c>
      <c r="UTC39" s="117" t="str">
        <f>IF(UTA39&lt;5,"Sin Riesgo",IF(UTA39 &lt;=14,"Bajo",IF(UTA39&lt;=35,"Medio",IF(UTA39&lt;=80,"Alto","Inviable Sanitariamente"))))</f>
        <v>Bajo</v>
      </c>
      <c r="UTD39" s="117">
        <v>0</v>
      </c>
      <c r="UTH39" s="117">
        <v>0</v>
      </c>
      <c r="UTJ39" s="117">
        <v>23.08</v>
      </c>
      <c r="UTP39" s="117">
        <f>AVERAGE(UTD39:UTO39)</f>
        <v>7.6933333333333325</v>
      </c>
      <c r="UTQ39" s="117" t="str">
        <f>IF(UTP39&lt;5,"SI","NO")</f>
        <v>NO</v>
      </c>
      <c r="UTR39" s="117" t="str">
        <f>IF(UTP39&lt;5,"Sin Riesgo",IF(UTP39 &lt;=14,"Bajo",IF(UTP39&lt;=35,"Medio",IF(UTP39&lt;=80,"Alto","Inviable Sanitariamente"))))</f>
        <v>Bajo</v>
      </c>
      <c r="UTS39" s="117">
        <v>0</v>
      </c>
      <c r="UTW39" s="117">
        <v>0</v>
      </c>
      <c r="UTY39" s="117">
        <v>23.08</v>
      </c>
      <c r="UUE39" s="117">
        <f>AVERAGE(UTS39:UUD39)</f>
        <v>7.6933333333333325</v>
      </c>
      <c r="UUF39" s="117" t="str">
        <f>IF(UUE39&lt;5,"SI","NO")</f>
        <v>NO</v>
      </c>
      <c r="UUG39" s="117" t="str">
        <f>IF(UUE39&lt;5,"Sin Riesgo",IF(UUE39 &lt;=14,"Bajo",IF(UUE39&lt;=35,"Medio",IF(UUE39&lt;=80,"Alto","Inviable Sanitariamente"))))</f>
        <v>Bajo</v>
      </c>
      <c r="UUH39" s="117">
        <v>0</v>
      </c>
      <c r="UUL39" s="117">
        <v>0</v>
      </c>
      <c r="UUN39" s="117">
        <v>23.08</v>
      </c>
      <c r="UUT39" s="117">
        <f>AVERAGE(UUH39:UUS39)</f>
        <v>7.6933333333333325</v>
      </c>
      <c r="UUU39" s="117" t="str">
        <f>IF(UUT39&lt;5,"SI","NO")</f>
        <v>NO</v>
      </c>
      <c r="UUV39" s="117" t="str">
        <f>IF(UUT39&lt;5,"Sin Riesgo",IF(UUT39 &lt;=14,"Bajo",IF(UUT39&lt;=35,"Medio",IF(UUT39&lt;=80,"Alto","Inviable Sanitariamente"))))</f>
        <v>Bajo</v>
      </c>
      <c r="UUW39" s="117">
        <v>0</v>
      </c>
      <c r="UVA39" s="117">
        <v>0</v>
      </c>
      <c r="UVC39" s="117">
        <v>23.08</v>
      </c>
      <c r="UVI39" s="117">
        <f>AVERAGE(UUW39:UVH39)</f>
        <v>7.6933333333333325</v>
      </c>
      <c r="UVJ39" s="117" t="str">
        <f>IF(UVI39&lt;5,"SI","NO")</f>
        <v>NO</v>
      </c>
      <c r="UVK39" s="117" t="str">
        <f>IF(UVI39&lt;5,"Sin Riesgo",IF(UVI39 &lt;=14,"Bajo",IF(UVI39&lt;=35,"Medio",IF(UVI39&lt;=80,"Alto","Inviable Sanitariamente"))))</f>
        <v>Bajo</v>
      </c>
      <c r="UVL39" s="117">
        <v>0</v>
      </c>
      <c r="UVP39" s="117">
        <v>0</v>
      </c>
      <c r="UVR39" s="117">
        <v>23.08</v>
      </c>
      <c r="UVX39" s="117">
        <f>AVERAGE(UVL39:UVW39)</f>
        <v>7.6933333333333325</v>
      </c>
      <c r="UVY39" s="117" t="str">
        <f>IF(UVX39&lt;5,"SI","NO")</f>
        <v>NO</v>
      </c>
      <c r="UVZ39" s="117" t="str">
        <f>IF(UVX39&lt;5,"Sin Riesgo",IF(UVX39 &lt;=14,"Bajo",IF(UVX39&lt;=35,"Medio",IF(UVX39&lt;=80,"Alto","Inviable Sanitariamente"))))</f>
        <v>Bajo</v>
      </c>
      <c r="UWA39" s="117">
        <v>0</v>
      </c>
      <c r="UWE39" s="117">
        <v>0</v>
      </c>
      <c r="UWG39" s="117">
        <v>23.08</v>
      </c>
      <c r="UWM39" s="117">
        <f>AVERAGE(UWA39:UWL39)</f>
        <v>7.6933333333333325</v>
      </c>
      <c r="UWN39" s="117" t="str">
        <f>IF(UWM39&lt;5,"SI","NO")</f>
        <v>NO</v>
      </c>
      <c r="UWO39" s="117" t="str">
        <f>IF(UWM39&lt;5,"Sin Riesgo",IF(UWM39 &lt;=14,"Bajo",IF(UWM39&lt;=35,"Medio",IF(UWM39&lt;=80,"Alto","Inviable Sanitariamente"))))</f>
        <v>Bajo</v>
      </c>
      <c r="UWP39" s="117">
        <v>0</v>
      </c>
      <c r="UWT39" s="117">
        <v>0</v>
      </c>
      <c r="UWV39" s="117">
        <v>23.08</v>
      </c>
      <c r="UXB39" s="117">
        <f>AVERAGE(UWP39:UXA39)</f>
        <v>7.6933333333333325</v>
      </c>
      <c r="UXC39" s="117" t="str">
        <f>IF(UXB39&lt;5,"SI","NO")</f>
        <v>NO</v>
      </c>
      <c r="UXD39" s="117" t="str">
        <f>IF(UXB39&lt;5,"Sin Riesgo",IF(UXB39 &lt;=14,"Bajo",IF(UXB39&lt;=35,"Medio",IF(UXB39&lt;=80,"Alto","Inviable Sanitariamente"))))</f>
        <v>Bajo</v>
      </c>
      <c r="UXE39" s="117">
        <v>0</v>
      </c>
      <c r="UXI39" s="117">
        <v>0</v>
      </c>
      <c r="UXK39" s="117">
        <v>23.08</v>
      </c>
      <c r="UXQ39" s="117">
        <f>AVERAGE(UXE39:UXP39)</f>
        <v>7.6933333333333325</v>
      </c>
      <c r="UXR39" s="117" t="str">
        <f>IF(UXQ39&lt;5,"SI","NO")</f>
        <v>NO</v>
      </c>
      <c r="UXS39" s="117" t="str">
        <f>IF(UXQ39&lt;5,"Sin Riesgo",IF(UXQ39 &lt;=14,"Bajo",IF(UXQ39&lt;=35,"Medio",IF(UXQ39&lt;=80,"Alto","Inviable Sanitariamente"))))</f>
        <v>Bajo</v>
      </c>
      <c r="UXT39" s="117">
        <v>0</v>
      </c>
      <c r="UXX39" s="117">
        <v>0</v>
      </c>
      <c r="UXZ39" s="117">
        <v>23.08</v>
      </c>
      <c r="UYF39" s="117">
        <f>AVERAGE(UXT39:UYE39)</f>
        <v>7.6933333333333325</v>
      </c>
      <c r="UYG39" s="117" t="str">
        <f>IF(UYF39&lt;5,"SI","NO")</f>
        <v>NO</v>
      </c>
      <c r="UYH39" s="117" t="str">
        <f>IF(UYF39&lt;5,"Sin Riesgo",IF(UYF39 &lt;=14,"Bajo",IF(UYF39&lt;=35,"Medio",IF(UYF39&lt;=80,"Alto","Inviable Sanitariamente"))))</f>
        <v>Bajo</v>
      </c>
      <c r="UYI39" s="117">
        <v>0</v>
      </c>
      <c r="UYM39" s="117">
        <v>0</v>
      </c>
      <c r="UYO39" s="117">
        <v>23.08</v>
      </c>
      <c r="UYU39" s="117">
        <f>AVERAGE(UYI39:UYT39)</f>
        <v>7.6933333333333325</v>
      </c>
      <c r="UYV39" s="117" t="str">
        <f>IF(UYU39&lt;5,"SI","NO")</f>
        <v>NO</v>
      </c>
      <c r="UYW39" s="117" t="str">
        <f>IF(UYU39&lt;5,"Sin Riesgo",IF(UYU39 &lt;=14,"Bajo",IF(UYU39&lt;=35,"Medio",IF(UYU39&lt;=80,"Alto","Inviable Sanitariamente"))))</f>
        <v>Bajo</v>
      </c>
      <c r="UYX39" s="117">
        <v>0</v>
      </c>
      <c r="UZB39" s="117">
        <v>0</v>
      </c>
      <c r="UZD39" s="117">
        <v>23.08</v>
      </c>
      <c r="UZJ39" s="117">
        <f>AVERAGE(UYX39:UZI39)</f>
        <v>7.6933333333333325</v>
      </c>
      <c r="UZK39" s="117" t="str">
        <f>IF(UZJ39&lt;5,"SI","NO")</f>
        <v>NO</v>
      </c>
      <c r="UZL39" s="117" t="str">
        <f>IF(UZJ39&lt;5,"Sin Riesgo",IF(UZJ39 &lt;=14,"Bajo",IF(UZJ39&lt;=35,"Medio",IF(UZJ39&lt;=80,"Alto","Inviable Sanitariamente"))))</f>
        <v>Bajo</v>
      </c>
      <c r="UZM39" s="117">
        <v>0</v>
      </c>
      <c r="UZQ39" s="117">
        <v>0</v>
      </c>
      <c r="UZS39" s="117">
        <v>23.08</v>
      </c>
      <c r="UZY39" s="117">
        <f>AVERAGE(UZM39:UZX39)</f>
        <v>7.6933333333333325</v>
      </c>
      <c r="UZZ39" s="117" t="str">
        <f>IF(UZY39&lt;5,"SI","NO")</f>
        <v>NO</v>
      </c>
      <c r="VAA39" s="117" t="str">
        <f>IF(UZY39&lt;5,"Sin Riesgo",IF(UZY39 &lt;=14,"Bajo",IF(UZY39&lt;=35,"Medio",IF(UZY39&lt;=80,"Alto","Inviable Sanitariamente"))))</f>
        <v>Bajo</v>
      </c>
      <c r="VAB39" s="117">
        <v>0</v>
      </c>
      <c r="VAF39" s="117">
        <v>0</v>
      </c>
      <c r="VAH39" s="117">
        <v>23.08</v>
      </c>
      <c r="VAN39" s="117">
        <f>AVERAGE(VAB39:VAM39)</f>
        <v>7.6933333333333325</v>
      </c>
      <c r="VAO39" s="117" t="str">
        <f>IF(VAN39&lt;5,"SI","NO")</f>
        <v>NO</v>
      </c>
      <c r="VAP39" s="117" t="str">
        <f>IF(VAN39&lt;5,"Sin Riesgo",IF(VAN39 &lt;=14,"Bajo",IF(VAN39&lt;=35,"Medio",IF(VAN39&lt;=80,"Alto","Inviable Sanitariamente"))))</f>
        <v>Bajo</v>
      </c>
      <c r="VAQ39" s="117">
        <v>0</v>
      </c>
      <c r="VAU39" s="117">
        <v>0</v>
      </c>
      <c r="VAW39" s="117">
        <v>23.08</v>
      </c>
      <c r="VBC39" s="117">
        <f>AVERAGE(VAQ39:VBB39)</f>
        <v>7.6933333333333325</v>
      </c>
      <c r="VBD39" s="117" t="str">
        <f>IF(VBC39&lt;5,"SI","NO")</f>
        <v>NO</v>
      </c>
      <c r="VBE39" s="117" t="str">
        <f>IF(VBC39&lt;5,"Sin Riesgo",IF(VBC39 &lt;=14,"Bajo",IF(VBC39&lt;=35,"Medio",IF(VBC39&lt;=80,"Alto","Inviable Sanitariamente"))))</f>
        <v>Bajo</v>
      </c>
      <c r="VBF39" s="117">
        <v>0</v>
      </c>
      <c r="VBJ39" s="117">
        <v>0</v>
      </c>
      <c r="VBL39" s="117">
        <v>23.08</v>
      </c>
      <c r="VBR39" s="117">
        <f>AVERAGE(VBF39:VBQ39)</f>
        <v>7.6933333333333325</v>
      </c>
      <c r="VBS39" s="117" t="str">
        <f>IF(VBR39&lt;5,"SI","NO")</f>
        <v>NO</v>
      </c>
      <c r="VBT39" s="117" t="str">
        <f>IF(VBR39&lt;5,"Sin Riesgo",IF(VBR39 &lt;=14,"Bajo",IF(VBR39&lt;=35,"Medio",IF(VBR39&lt;=80,"Alto","Inviable Sanitariamente"))))</f>
        <v>Bajo</v>
      </c>
      <c r="VBU39" s="117">
        <v>0</v>
      </c>
      <c r="VBY39" s="117">
        <v>0</v>
      </c>
      <c r="VCA39" s="117">
        <v>23.08</v>
      </c>
      <c r="VCG39" s="117">
        <f>AVERAGE(VBU39:VCF39)</f>
        <v>7.6933333333333325</v>
      </c>
      <c r="VCH39" s="117" t="str">
        <f>IF(VCG39&lt;5,"SI","NO")</f>
        <v>NO</v>
      </c>
      <c r="VCI39" s="117" t="str">
        <f>IF(VCG39&lt;5,"Sin Riesgo",IF(VCG39 &lt;=14,"Bajo",IF(VCG39&lt;=35,"Medio",IF(VCG39&lt;=80,"Alto","Inviable Sanitariamente"))))</f>
        <v>Bajo</v>
      </c>
      <c r="VCJ39" s="117">
        <v>0</v>
      </c>
      <c r="VCN39" s="117">
        <v>0</v>
      </c>
      <c r="VCP39" s="117">
        <v>23.08</v>
      </c>
      <c r="VCV39" s="117">
        <f>AVERAGE(VCJ39:VCU39)</f>
        <v>7.6933333333333325</v>
      </c>
      <c r="VCW39" s="117" t="str">
        <f>IF(VCV39&lt;5,"SI","NO")</f>
        <v>NO</v>
      </c>
      <c r="VCX39" s="117" t="str">
        <f>IF(VCV39&lt;5,"Sin Riesgo",IF(VCV39 &lt;=14,"Bajo",IF(VCV39&lt;=35,"Medio",IF(VCV39&lt;=80,"Alto","Inviable Sanitariamente"))))</f>
        <v>Bajo</v>
      </c>
      <c r="VCY39" s="117">
        <v>0</v>
      </c>
      <c r="VDC39" s="117">
        <v>0</v>
      </c>
      <c r="VDE39" s="117">
        <v>23.08</v>
      </c>
      <c r="VDK39" s="117">
        <f>AVERAGE(VCY39:VDJ39)</f>
        <v>7.6933333333333325</v>
      </c>
      <c r="VDL39" s="117" t="str">
        <f>IF(VDK39&lt;5,"SI","NO")</f>
        <v>NO</v>
      </c>
      <c r="VDM39" s="117" t="str">
        <f>IF(VDK39&lt;5,"Sin Riesgo",IF(VDK39 &lt;=14,"Bajo",IF(VDK39&lt;=35,"Medio",IF(VDK39&lt;=80,"Alto","Inviable Sanitariamente"))))</f>
        <v>Bajo</v>
      </c>
      <c r="VDN39" s="117">
        <v>0</v>
      </c>
      <c r="VDR39" s="117">
        <v>0</v>
      </c>
      <c r="VDT39" s="117">
        <v>23.08</v>
      </c>
      <c r="VDZ39" s="117">
        <f>AVERAGE(VDN39:VDY39)</f>
        <v>7.6933333333333325</v>
      </c>
      <c r="VEA39" s="117" t="str">
        <f>IF(VDZ39&lt;5,"SI","NO")</f>
        <v>NO</v>
      </c>
      <c r="VEB39" s="117" t="str">
        <f>IF(VDZ39&lt;5,"Sin Riesgo",IF(VDZ39 &lt;=14,"Bajo",IF(VDZ39&lt;=35,"Medio",IF(VDZ39&lt;=80,"Alto","Inviable Sanitariamente"))))</f>
        <v>Bajo</v>
      </c>
      <c r="VEC39" s="117">
        <v>0</v>
      </c>
      <c r="VEG39" s="117">
        <v>0</v>
      </c>
      <c r="VEI39" s="117">
        <v>23.08</v>
      </c>
      <c r="VEO39" s="117">
        <f>AVERAGE(VEC39:VEN39)</f>
        <v>7.6933333333333325</v>
      </c>
      <c r="VEP39" s="117" t="str">
        <f>IF(VEO39&lt;5,"SI","NO")</f>
        <v>NO</v>
      </c>
      <c r="VEQ39" s="117" t="str">
        <f>IF(VEO39&lt;5,"Sin Riesgo",IF(VEO39 &lt;=14,"Bajo",IF(VEO39&lt;=35,"Medio",IF(VEO39&lt;=80,"Alto","Inviable Sanitariamente"))))</f>
        <v>Bajo</v>
      </c>
      <c r="VER39" s="117">
        <v>0</v>
      </c>
      <c r="VEV39" s="117">
        <v>0</v>
      </c>
      <c r="VEX39" s="117">
        <v>23.08</v>
      </c>
      <c r="VFD39" s="117">
        <f>AVERAGE(VER39:VFC39)</f>
        <v>7.6933333333333325</v>
      </c>
      <c r="VFE39" s="117" t="str">
        <f>IF(VFD39&lt;5,"SI","NO")</f>
        <v>NO</v>
      </c>
      <c r="VFF39" s="117" t="str">
        <f>IF(VFD39&lt;5,"Sin Riesgo",IF(VFD39 &lt;=14,"Bajo",IF(VFD39&lt;=35,"Medio",IF(VFD39&lt;=80,"Alto","Inviable Sanitariamente"))))</f>
        <v>Bajo</v>
      </c>
      <c r="VFG39" s="117">
        <v>0</v>
      </c>
      <c r="VFK39" s="117">
        <v>0</v>
      </c>
      <c r="VFM39" s="117">
        <v>23.08</v>
      </c>
      <c r="VFS39" s="117">
        <f>AVERAGE(VFG39:VFR39)</f>
        <v>7.6933333333333325</v>
      </c>
      <c r="VFT39" s="117" t="str">
        <f>IF(VFS39&lt;5,"SI","NO")</f>
        <v>NO</v>
      </c>
      <c r="VFU39" s="117" t="str">
        <f>IF(VFS39&lt;5,"Sin Riesgo",IF(VFS39 &lt;=14,"Bajo",IF(VFS39&lt;=35,"Medio",IF(VFS39&lt;=80,"Alto","Inviable Sanitariamente"))))</f>
        <v>Bajo</v>
      </c>
      <c r="VFV39" s="117">
        <v>0</v>
      </c>
      <c r="VFZ39" s="117">
        <v>0</v>
      </c>
      <c r="VGB39" s="117">
        <v>23.08</v>
      </c>
      <c r="VGH39" s="117">
        <f>AVERAGE(VFV39:VGG39)</f>
        <v>7.6933333333333325</v>
      </c>
      <c r="VGI39" s="117" t="str">
        <f>IF(VGH39&lt;5,"SI","NO")</f>
        <v>NO</v>
      </c>
      <c r="VGJ39" s="117" t="str">
        <f>IF(VGH39&lt;5,"Sin Riesgo",IF(VGH39 &lt;=14,"Bajo",IF(VGH39&lt;=35,"Medio",IF(VGH39&lt;=80,"Alto","Inviable Sanitariamente"))))</f>
        <v>Bajo</v>
      </c>
      <c r="VGK39" s="117">
        <v>0</v>
      </c>
      <c r="VGO39" s="117">
        <v>0</v>
      </c>
      <c r="VGQ39" s="117">
        <v>23.08</v>
      </c>
      <c r="VGW39" s="117">
        <f>AVERAGE(VGK39:VGV39)</f>
        <v>7.6933333333333325</v>
      </c>
      <c r="VGX39" s="117" t="str">
        <f>IF(VGW39&lt;5,"SI","NO")</f>
        <v>NO</v>
      </c>
      <c r="VGY39" s="117" t="str">
        <f>IF(VGW39&lt;5,"Sin Riesgo",IF(VGW39 &lt;=14,"Bajo",IF(VGW39&lt;=35,"Medio",IF(VGW39&lt;=80,"Alto","Inviable Sanitariamente"))))</f>
        <v>Bajo</v>
      </c>
      <c r="VGZ39" s="117">
        <v>0</v>
      </c>
      <c r="VHD39" s="117">
        <v>0</v>
      </c>
      <c r="VHF39" s="117">
        <v>23.08</v>
      </c>
      <c r="VHL39" s="117">
        <f>AVERAGE(VGZ39:VHK39)</f>
        <v>7.6933333333333325</v>
      </c>
      <c r="VHM39" s="117" t="str">
        <f>IF(VHL39&lt;5,"SI","NO")</f>
        <v>NO</v>
      </c>
      <c r="VHN39" s="117" t="str">
        <f>IF(VHL39&lt;5,"Sin Riesgo",IF(VHL39 &lt;=14,"Bajo",IF(VHL39&lt;=35,"Medio",IF(VHL39&lt;=80,"Alto","Inviable Sanitariamente"))))</f>
        <v>Bajo</v>
      </c>
      <c r="VHO39" s="117">
        <v>0</v>
      </c>
      <c r="VHS39" s="117">
        <v>0</v>
      </c>
      <c r="VHU39" s="117">
        <v>23.08</v>
      </c>
      <c r="VIA39" s="117">
        <f>AVERAGE(VHO39:VHZ39)</f>
        <v>7.6933333333333325</v>
      </c>
      <c r="VIB39" s="117" t="str">
        <f>IF(VIA39&lt;5,"SI","NO")</f>
        <v>NO</v>
      </c>
      <c r="VIC39" s="117" t="str">
        <f>IF(VIA39&lt;5,"Sin Riesgo",IF(VIA39 &lt;=14,"Bajo",IF(VIA39&lt;=35,"Medio",IF(VIA39&lt;=80,"Alto","Inviable Sanitariamente"))))</f>
        <v>Bajo</v>
      </c>
      <c r="VID39" s="117">
        <v>0</v>
      </c>
      <c r="VIH39" s="117">
        <v>0</v>
      </c>
      <c r="VIJ39" s="117">
        <v>23.08</v>
      </c>
      <c r="VIP39" s="117">
        <f>AVERAGE(VID39:VIO39)</f>
        <v>7.6933333333333325</v>
      </c>
      <c r="VIQ39" s="117" t="str">
        <f>IF(VIP39&lt;5,"SI","NO")</f>
        <v>NO</v>
      </c>
      <c r="VIR39" s="117" t="str">
        <f>IF(VIP39&lt;5,"Sin Riesgo",IF(VIP39 &lt;=14,"Bajo",IF(VIP39&lt;=35,"Medio",IF(VIP39&lt;=80,"Alto","Inviable Sanitariamente"))))</f>
        <v>Bajo</v>
      </c>
      <c r="VIS39" s="117">
        <v>0</v>
      </c>
      <c r="VIW39" s="117">
        <v>0</v>
      </c>
      <c r="VIY39" s="117">
        <v>23.08</v>
      </c>
      <c r="VJE39" s="117">
        <f>AVERAGE(VIS39:VJD39)</f>
        <v>7.6933333333333325</v>
      </c>
      <c r="VJF39" s="117" t="str">
        <f>IF(VJE39&lt;5,"SI","NO")</f>
        <v>NO</v>
      </c>
      <c r="VJG39" s="117" t="str">
        <f>IF(VJE39&lt;5,"Sin Riesgo",IF(VJE39 &lt;=14,"Bajo",IF(VJE39&lt;=35,"Medio",IF(VJE39&lt;=80,"Alto","Inviable Sanitariamente"))))</f>
        <v>Bajo</v>
      </c>
      <c r="VJH39" s="117">
        <v>0</v>
      </c>
      <c r="VJL39" s="117">
        <v>0</v>
      </c>
      <c r="VJN39" s="117">
        <v>23.08</v>
      </c>
      <c r="VJT39" s="117">
        <f>AVERAGE(VJH39:VJS39)</f>
        <v>7.6933333333333325</v>
      </c>
      <c r="VJU39" s="117" t="str">
        <f>IF(VJT39&lt;5,"SI","NO")</f>
        <v>NO</v>
      </c>
      <c r="VJV39" s="117" t="str">
        <f>IF(VJT39&lt;5,"Sin Riesgo",IF(VJT39 &lt;=14,"Bajo",IF(VJT39&lt;=35,"Medio",IF(VJT39&lt;=80,"Alto","Inviable Sanitariamente"))))</f>
        <v>Bajo</v>
      </c>
      <c r="VJW39" s="117">
        <v>0</v>
      </c>
      <c r="VKA39" s="117">
        <v>0</v>
      </c>
      <c r="VKC39" s="117">
        <v>23.08</v>
      </c>
      <c r="VKI39" s="117">
        <f>AVERAGE(VJW39:VKH39)</f>
        <v>7.6933333333333325</v>
      </c>
      <c r="VKJ39" s="117" t="str">
        <f>IF(VKI39&lt;5,"SI","NO")</f>
        <v>NO</v>
      </c>
      <c r="VKK39" s="117" t="str">
        <f>IF(VKI39&lt;5,"Sin Riesgo",IF(VKI39 &lt;=14,"Bajo",IF(VKI39&lt;=35,"Medio",IF(VKI39&lt;=80,"Alto","Inviable Sanitariamente"))))</f>
        <v>Bajo</v>
      </c>
      <c r="VKL39" s="117">
        <v>0</v>
      </c>
      <c r="VKP39" s="117">
        <v>0</v>
      </c>
      <c r="VKR39" s="117">
        <v>23.08</v>
      </c>
      <c r="VKX39" s="117">
        <f>AVERAGE(VKL39:VKW39)</f>
        <v>7.6933333333333325</v>
      </c>
      <c r="VKY39" s="117" t="str">
        <f>IF(VKX39&lt;5,"SI","NO")</f>
        <v>NO</v>
      </c>
      <c r="VKZ39" s="117" t="str">
        <f>IF(VKX39&lt;5,"Sin Riesgo",IF(VKX39 &lt;=14,"Bajo",IF(VKX39&lt;=35,"Medio",IF(VKX39&lt;=80,"Alto","Inviable Sanitariamente"))))</f>
        <v>Bajo</v>
      </c>
      <c r="VLA39" s="117">
        <v>0</v>
      </c>
      <c r="VLE39" s="117">
        <v>0</v>
      </c>
      <c r="VLG39" s="117">
        <v>23.08</v>
      </c>
      <c r="VLM39" s="117">
        <f>AVERAGE(VLA39:VLL39)</f>
        <v>7.6933333333333325</v>
      </c>
      <c r="VLN39" s="117" t="str">
        <f>IF(VLM39&lt;5,"SI","NO")</f>
        <v>NO</v>
      </c>
      <c r="VLO39" s="117" t="str">
        <f>IF(VLM39&lt;5,"Sin Riesgo",IF(VLM39 &lt;=14,"Bajo",IF(VLM39&lt;=35,"Medio",IF(VLM39&lt;=80,"Alto","Inviable Sanitariamente"))))</f>
        <v>Bajo</v>
      </c>
      <c r="VLP39" s="117">
        <v>0</v>
      </c>
      <c r="VLT39" s="117">
        <v>0</v>
      </c>
      <c r="VLV39" s="117">
        <v>23.08</v>
      </c>
      <c r="VMB39" s="117">
        <f>AVERAGE(VLP39:VMA39)</f>
        <v>7.6933333333333325</v>
      </c>
      <c r="VMC39" s="117" t="str">
        <f>IF(VMB39&lt;5,"SI","NO")</f>
        <v>NO</v>
      </c>
      <c r="VMD39" s="117" t="str">
        <f>IF(VMB39&lt;5,"Sin Riesgo",IF(VMB39 &lt;=14,"Bajo",IF(VMB39&lt;=35,"Medio",IF(VMB39&lt;=80,"Alto","Inviable Sanitariamente"))))</f>
        <v>Bajo</v>
      </c>
      <c r="VME39" s="117">
        <v>0</v>
      </c>
      <c r="VMI39" s="117">
        <v>0</v>
      </c>
      <c r="VMK39" s="117">
        <v>23.08</v>
      </c>
      <c r="VMQ39" s="117">
        <f>AVERAGE(VME39:VMP39)</f>
        <v>7.6933333333333325</v>
      </c>
      <c r="VMR39" s="117" t="str">
        <f>IF(VMQ39&lt;5,"SI","NO")</f>
        <v>NO</v>
      </c>
      <c r="VMS39" s="117" t="str">
        <f>IF(VMQ39&lt;5,"Sin Riesgo",IF(VMQ39 &lt;=14,"Bajo",IF(VMQ39&lt;=35,"Medio",IF(VMQ39&lt;=80,"Alto","Inviable Sanitariamente"))))</f>
        <v>Bajo</v>
      </c>
      <c r="VMT39" s="117">
        <v>0</v>
      </c>
      <c r="VMX39" s="117">
        <v>0</v>
      </c>
      <c r="VMZ39" s="117">
        <v>23.08</v>
      </c>
      <c r="VNF39" s="117">
        <f>AVERAGE(VMT39:VNE39)</f>
        <v>7.6933333333333325</v>
      </c>
      <c r="VNG39" s="117" t="str">
        <f>IF(VNF39&lt;5,"SI","NO")</f>
        <v>NO</v>
      </c>
      <c r="VNH39" s="117" t="str">
        <f>IF(VNF39&lt;5,"Sin Riesgo",IF(VNF39 &lt;=14,"Bajo",IF(VNF39&lt;=35,"Medio",IF(VNF39&lt;=80,"Alto","Inviable Sanitariamente"))))</f>
        <v>Bajo</v>
      </c>
      <c r="VNI39" s="117">
        <v>0</v>
      </c>
      <c r="VNM39" s="117">
        <v>0</v>
      </c>
      <c r="VNO39" s="117">
        <v>23.08</v>
      </c>
      <c r="VNU39" s="117">
        <f>AVERAGE(VNI39:VNT39)</f>
        <v>7.6933333333333325</v>
      </c>
      <c r="VNV39" s="117" t="str">
        <f>IF(VNU39&lt;5,"SI","NO")</f>
        <v>NO</v>
      </c>
      <c r="VNW39" s="117" t="str">
        <f>IF(VNU39&lt;5,"Sin Riesgo",IF(VNU39 &lt;=14,"Bajo",IF(VNU39&lt;=35,"Medio",IF(VNU39&lt;=80,"Alto","Inviable Sanitariamente"))))</f>
        <v>Bajo</v>
      </c>
      <c r="VNX39" s="117">
        <v>0</v>
      </c>
      <c r="VOB39" s="117">
        <v>0</v>
      </c>
      <c r="VOD39" s="117">
        <v>23.08</v>
      </c>
      <c r="VOJ39" s="117">
        <f>AVERAGE(VNX39:VOI39)</f>
        <v>7.6933333333333325</v>
      </c>
      <c r="VOK39" s="117" t="str">
        <f>IF(VOJ39&lt;5,"SI","NO")</f>
        <v>NO</v>
      </c>
      <c r="VOL39" s="117" t="str">
        <f>IF(VOJ39&lt;5,"Sin Riesgo",IF(VOJ39 &lt;=14,"Bajo",IF(VOJ39&lt;=35,"Medio",IF(VOJ39&lt;=80,"Alto","Inviable Sanitariamente"))))</f>
        <v>Bajo</v>
      </c>
      <c r="VOM39" s="117">
        <v>0</v>
      </c>
      <c r="VOQ39" s="117">
        <v>0</v>
      </c>
      <c r="VOS39" s="117">
        <v>23.08</v>
      </c>
      <c r="VOY39" s="117">
        <f>AVERAGE(VOM39:VOX39)</f>
        <v>7.6933333333333325</v>
      </c>
      <c r="VOZ39" s="117" t="str">
        <f>IF(VOY39&lt;5,"SI","NO")</f>
        <v>NO</v>
      </c>
      <c r="VPA39" s="117" t="str">
        <f>IF(VOY39&lt;5,"Sin Riesgo",IF(VOY39 &lt;=14,"Bajo",IF(VOY39&lt;=35,"Medio",IF(VOY39&lt;=80,"Alto","Inviable Sanitariamente"))))</f>
        <v>Bajo</v>
      </c>
      <c r="VPB39" s="117">
        <v>0</v>
      </c>
      <c r="VPF39" s="117">
        <v>0</v>
      </c>
      <c r="VPH39" s="117">
        <v>23.08</v>
      </c>
      <c r="VPN39" s="117">
        <f>AVERAGE(VPB39:VPM39)</f>
        <v>7.6933333333333325</v>
      </c>
      <c r="VPO39" s="117" t="str">
        <f>IF(VPN39&lt;5,"SI","NO")</f>
        <v>NO</v>
      </c>
      <c r="VPP39" s="117" t="str">
        <f>IF(VPN39&lt;5,"Sin Riesgo",IF(VPN39 &lt;=14,"Bajo",IF(VPN39&lt;=35,"Medio",IF(VPN39&lt;=80,"Alto","Inviable Sanitariamente"))))</f>
        <v>Bajo</v>
      </c>
      <c r="VPQ39" s="117">
        <v>0</v>
      </c>
      <c r="VPU39" s="117">
        <v>0</v>
      </c>
      <c r="VPW39" s="117">
        <v>23.08</v>
      </c>
      <c r="VQC39" s="117">
        <f>AVERAGE(VPQ39:VQB39)</f>
        <v>7.6933333333333325</v>
      </c>
      <c r="VQD39" s="117" t="str">
        <f>IF(VQC39&lt;5,"SI","NO")</f>
        <v>NO</v>
      </c>
      <c r="VQE39" s="117" t="str">
        <f>IF(VQC39&lt;5,"Sin Riesgo",IF(VQC39 &lt;=14,"Bajo",IF(VQC39&lt;=35,"Medio",IF(VQC39&lt;=80,"Alto","Inviable Sanitariamente"))))</f>
        <v>Bajo</v>
      </c>
      <c r="VQF39" s="117">
        <v>0</v>
      </c>
      <c r="VQJ39" s="117">
        <v>0</v>
      </c>
      <c r="VQL39" s="117">
        <v>23.08</v>
      </c>
      <c r="VQR39" s="117">
        <f>AVERAGE(VQF39:VQQ39)</f>
        <v>7.6933333333333325</v>
      </c>
      <c r="VQS39" s="117" t="str">
        <f>IF(VQR39&lt;5,"SI","NO")</f>
        <v>NO</v>
      </c>
      <c r="VQT39" s="117" t="str">
        <f>IF(VQR39&lt;5,"Sin Riesgo",IF(VQR39 &lt;=14,"Bajo",IF(VQR39&lt;=35,"Medio",IF(VQR39&lt;=80,"Alto","Inviable Sanitariamente"))))</f>
        <v>Bajo</v>
      </c>
      <c r="VQU39" s="117">
        <v>0</v>
      </c>
      <c r="VQY39" s="117">
        <v>0</v>
      </c>
      <c r="VRA39" s="117">
        <v>23.08</v>
      </c>
      <c r="VRG39" s="117">
        <f>AVERAGE(VQU39:VRF39)</f>
        <v>7.6933333333333325</v>
      </c>
      <c r="VRH39" s="117" t="str">
        <f>IF(VRG39&lt;5,"SI","NO")</f>
        <v>NO</v>
      </c>
      <c r="VRI39" s="117" t="str">
        <f>IF(VRG39&lt;5,"Sin Riesgo",IF(VRG39 &lt;=14,"Bajo",IF(VRG39&lt;=35,"Medio",IF(VRG39&lt;=80,"Alto","Inviable Sanitariamente"))))</f>
        <v>Bajo</v>
      </c>
      <c r="VRJ39" s="117">
        <v>0</v>
      </c>
      <c r="VRN39" s="117">
        <v>0</v>
      </c>
      <c r="VRP39" s="117">
        <v>23.08</v>
      </c>
      <c r="VRV39" s="117">
        <f>AVERAGE(VRJ39:VRU39)</f>
        <v>7.6933333333333325</v>
      </c>
      <c r="VRW39" s="117" t="str">
        <f>IF(VRV39&lt;5,"SI","NO")</f>
        <v>NO</v>
      </c>
      <c r="VRX39" s="117" t="str">
        <f>IF(VRV39&lt;5,"Sin Riesgo",IF(VRV39 &lt;=14,"Bajo",IF(VRV39&lt;=35,"Medio",IF(VRV39&lt;=80,"Alto","Inviable Sanitariamente"))))</f>
        <v>Bajo</v>
      </c>
      <c r="VRY39" s="117">
        <v>0</v>
      </c>
      <c r="VSC39" s="117">
        <v>0</v>
      </c>
      <c r="VSE39" s="117">
        <v>23.08</v>
      </c>
      <c r="VSK39" s="117">
        <f>AVERAGE(VRY39:VSJ39)</f>
        <v>7.6933333333333325</v>
      </c>
      <c r="VSL39" s="117" t="str">
        <f>IF(VSK39&lt;5,"SI","NO")</f>
        <v>NO</v>
      </c>
      <c r="VSM39" s="117" t="str">
        <f>IF(VSK39&lt;5,"Sin Riesgo",IF(VSK39 &lt;=14,"Bajo",IF(VSK39&lt;=35,"Medio",IF(VSK39&lt;=80,"Alto","Inviable Sanitariamente"))))</f>
        <v>Bajo</v>
      </c>
      <c r="VSN39" s="117">
        <v>0</v>
      </c>
      <c r="VSR39" s="117">
        <v>0</v>
      </c>
      <c r="VST39" s="117">
        <v>23.08</v>
      </c>
      <c r="VSZ39" s="117">
        <f>AVERAGE(VSN39:VSY39)</f>
        <v>7.6933333333333325</v>
      </c>
      <c r="VTA39" s="117" t="str">
        <f>IF(VSZ39&lt;5,"SI","NO")</f>
        <v>NO</v>
      </c>
      <c r="VTB39" s="117" t="str">
        <f>IF(VSZ39&lt;5,"Sin Riesgo",IF(VSZ39 &lt;=14,"Bajo",IF(VSZ39&lt;=35,"Medio",IF(VSZ39&lt;=80,"Alto","Inviable Sanitariamente"))))</f>
        <v>Bajo</v>
      </c>
      <c r="VTC39" s="117">
        <v>0</v>
      </c>
      <c r="VTG39" s="117">
        <v>0</v>
      </c>
      <c r="VTI39" s="117">
        <v>23.08</v>
      </c>
      <c r="VTO39" s="117">
        <f>AVERAGE(VTC39:VTN39)</f>
        <v>7.6933333333333325</v>
      </c>
      <c r="VTP39" s="117" t="str">
        <f>IF(VTO39&lt;5,"SI","NO")</f>
        <v>NO</v>
      </c>
      <c r="VTQ39" s="117" t="str">
        <f>IF(VTO39&lt;5,"Sin Riesgo",IF(VTO39 &lt;=14,"Bajo",IF(VTO39&lt;=35,"Medio",IF(VTO39&lt;=80,"Alto","Inviable Sanitariamente"))))</f>
        <v>Bajo</v>
      </c>
      <c r="VTR39" s="117">
        <v>0</v>
      </c>
      <c r="VTV39" s="117">
        <v>0</v>
      </c>
      <c r="VTX39" s="117">
        <v>23.08</v>
      </c>
      <c r="VUD39" s="117">
        <f>AVERAGE(VTR39:VUC39)</f>
        <v>7.6933333333333325</v>
      </c>
      <c r="VUE39" s="117" t="str">
        <f>IF(VUD39&lt;5,"SI","NO")</f>
        <v>NO</v>
      </c>
      <c r="VUF39" s="117" t="str">
        <f>IF(VUD39&lt;5,"Sin Riesgo",IF(VUD39 &lt;=14,"Bajo",IF(VUD39&lt;=35,"Medio",IF(VUD39&lt;=80,"Alto","Inviable Sanitariamente"))))</f>
        <v>Bajo</v>
      </c>
      <c r="VUG39" s="117">
        <v>0</v>
      </c>
      <c r="VUK39" s="117">
        <v>0</v>
      </c>
      <c r="VUM39" s="117">
        <v>23.08</v>
      </c>
      <c r="VUS39" s="117">
        <f>AVERAGE(VUG39:VUR39)</f>
        <v>7.6933333333333325</v>
      </c>
      <c r="VUT39" s="117" t="str">
        <f>IF(VUS39&lt;5,"SI","NO")</f>
        <v>NO</v>
      </c>
      <c r="VUU39" s="117" t="str">
        <f>IF(VUS39&lt;5,"Sin Riesgo",IF(VUS39 &lt;=14,"Bajo",IF(VUS39&lt;=35,"Medio",IF(VUS39&lt;=80,"Alto","Inviable Sanitariamente"))))</f>
        <v>Bajo</v>
      </c>
      <c r="VUV39" s="117">
        <v>0</v>
      </c>
      <c r="VUZ39" s="117">
        <v>0</v>
      </c>
      <c r="VVB39" s="117">
        <v>23.08</v>
      </c>
      <c r="VVH39" s="117">
        <f>AVERAGE(VUV39:VVG39)</f>
        <v>7.6933333333333325</v>
      </c>
      <c r="VVI39" s="117" t="str">
        <f>IF(VVH39&lt;5,"SI","NO")</f>
        <v>NO</v>
      </c>
      <c r="VVJ39" s="117" t="str">
        <f>IF(VVH39&lt;5,"Sin Riesgo",IF(VVH39 &lt;=14,"Bajo",IF(VVH39&lt;=35,"Medio",IF(VVH39&lt;=80,"Alto","Inviable Sanitariamente"))))</f>
        <v>Bajo</v>
      </c>
      <c r="VVK39" s="117">
        <v>0</v>
      </c>
      <c r="VVO39" s="117">
        <v>0</v>
      </c>
      <c r="VVQ39" s="117">
        <v>23.08</v>
      </c>
      <c r="VVW39" s="117">
        <f>AVERAGE(VVK39:VVV39)</f>
        <v>7.6933333333333325</v>
      </c>
      <c r="VVX39" s="117" t="str">
        <f>IF(VVW39&lt;5,"SI","NO")</f>
        <v>NO</v>
      </c>
      <c r="VVY39" s="117" t="str">
        <f>IF(VVW39&lt;5,"Sin Riesgo",IF(VVW39 &lt;=14,"Bajo",IF(VVW39&lt;=35,"Medio",IF(VVW39&lt;=80,"Alto","Inviable Sanitariamente"))))</f>
        <v>Bajo</v>
      </c>
      <c r="VVZ39" s="117">
        <v>0</v>
      </c>
      <c r="VWD39" s="117">
        <v>0</v>
      </c>
      <c r="VWF39" s="117">
        <v>23.08</v>
      </c>
      <c r="VWL39" s="117">
        <f>AVERAGE(VVZ39:VWK39)</f>
        <v>7.6933333333333325</v>
      </c>
      <c r="VWM39" s="117" t="str">
        <f>IF(VWL39&lt;5,"SI","NO")</f>
        <v>NO</v>
      </c>
      <c r="VWN39" s="117" t="str">
        <f>IF(VWL39&lt;5,"Sin Riesgo",IF(VWL39 &lt;=14,"Bajo",IF(VWL39&lt;=35,"Medio",IF(VWL39&lt;=80,"Alto","Inviable Sanitariamente"))))</f>
        <v>Bajo</v>
      </c>
      <c r="VWO39" s="117">
        <v>0</v>
      </c>
      <c r="VWS39" s="117">
        <v>0</v>
      </c>
      <c r="VWU39" s="117">
        <v>23.08</v>
      </c>
      <c r="VXA39" s="117">
        <f>AVERAGE(VWO39:VWZ39)</f>
        <v>7.6933333333333325</v>
      </c>
      <c r="VXB39" s="117" t="str">
        <f>IF(VXA39&lt;5,"SI","NO")</f>
        <v>NO</v>
      </c>
      <c r="VXC39" s="117" t="str">
        <f>IF(VXA39&lt;5,"Sin Riesgo",IF(VXA39 &lt;=14,"Bajo",IF(VXA39&lt;=35,"Medio",IF(VXA39&lt;=80,"Alto","Inviable Sanitariamente"))))</f>
        <v>Bajo</v>
      </c>
      <c r="VXD39" s="117">
        <v>0</v>
      </c>
      <c r="VXH39" s="117">
        <v>0</v>
      </c>
      <c r="VXJ39" s="117">
        <v>23.08</v>
      </c>
      <c r="VXP39" s="117">
        <f>AVERAGE(VXD39:VXO39)</f>
        <v>7.6933333333333325</v>
      </c>
      <c r="VXQ39" s="117" t="str">
        <f>IF(VXP39&lt;5,"SI","NO")</f>
        <v>NO</v>
      </c>
      <c r="VXR39" s="117" t="str">
        <f>IF(VXP39&lt;5,"Sin Riesgo",IF(VXP39 &lt;=14,"Bajo",IF(VXP39&lt;=35,"Medio",IF(VXP39&lt;=80,"Alto","Inviable Sanitariamente"))))</f>
        <v>Bajo</v>
      </c>
      <c r="VXS39" s="117">
        <v>0</v>
      </c>
      <c r="VXW39" s="117">
        <v>0</v>
      </c>
      <c r="VXY39" s="117">
        <v>23.08</v>
      </c>
      <c r="VYE39" s="117">
        <f>AVERAGE(VXS39:VYD39)</f>
        <v>7.6933333333333325</v>
      </c>
      <c r="VYF39" s="117" t="str">
        <f>IF(VYE39&lt;5,"SI","NO")</f>
        <v>NO</v>
      </c>
      <c r="VYG39" s="117" t="str">
        <f>IF(VYE39&lt;5,"Sin Riesgo",IF(VYE39 &lt;=14,"Bajo",IF(VYE39&lt;=35,"Medio",IF(VYE39&lt;=80,"Alto","Inviable Sanitariamente"))))</f>
        <v>Bajo</v>
      </c>
      <c r="VYH39" s="117">
        <v>0</v>
      </c>
      <c r="VYL39" s="117">
        <v>0</v>
      </c>
      <c r="VYN39" s="117">
        <v>23.08</v>
      </c>
      <c r="VYT39" s="117">
        <f>AVERAGE(VYH39:VYS39)</f>
        <v>7.6933333333333325</v>
      </c>
      <c r="VYU39" s="117" t="str">
        <f>IF(VYT39&lt;5,"SI","NO")</f>
        <v>NO</v>
      </c>
      <c r="VYV39" s="117" t="str">
        <f>IF(VYT39&lt;5,"Sin Riesgo",IF(VYT39 &lt;=14,"Bajo",IF(VYT39&lt;=35,"Medio",IF(VYT39&lt;=80,"Alto","Inviable Sanitariamente"))))</f>
        <v>Bajo</v>
      </c>
      <c r="VYW39" s="117">
        <v>0</v>
      </c>
      <c r="VZA39" s="117">
        <v>0</v>
      </c>
      <c r="VZC39" s="117">
        <v>23.08</v>
      </c>
      <c r="VZI39" s="117">
        <f>AVERAGE(VYW39:VZH39)</f>
        <v>7.6933333333333325</v>
      </c>
      <c r="VZJ39" s="117" t="str">
        <f>IF(VZI39&lt;5,"SI","NO")</f>
        <v>NO</v>
      </c>
      <c r="VZK39" s="117" t="str">
        <f>IF(VZI39&lt;5,"Sin Riesgo",IF(VZI39 &lt;=14,"Bajo",IF(VZI39&lt;=35,"Medio",IF(VZI39&lt;=80,"Alto","Inviable Sanitariamente"))))</f>
        <v>Bajo</v>
      </c>
      <c r="VZL39" s="117">
        <v>0</v>
      </c>
      <c r="VZP39" s="117">
        <v>0</v>
      </c>
      <c r="VZR39" s="117">
        <v>23.08</v>
      </c>
      <c r="VZX39" s="117">
        <f>AVERAGE(VZL39:VZW39)</f>
        <v>7.6933333333333325</v>
      </c>
      <c r="VZY39" s="117" t="str">
        <f>IF(VZX39&lt;5,"SI","NO")</f>
        <v>NO</v>
      </c>
      <c r="VZZ39" s="117" t="str">
        <f>IF(VZX39&lt;5,"Sin Riesgo",IF(VZX39 &lt;=14,"Bajo",IF(VZX39&lt;=35,"Medio",IF(VZX39&lt;=80,"Alto","Inviable Sanitariamente"))))</f>
        <v>Bajo</v>
      </c>
      <c r="WAA39" s="117">
        <v>0</v>
      </c>
      <c r="WAE39" s="117">
        <v>0</v>
      </c>
      <c r="WAG39" s="117">
        <v>23.08</v>
      </c>
      <c r="WAM39" s="117">
        <f>AVERAGE(WAA39:WAL39)</f>
        <v>7.6933333333333325</v>
      </c>
      <c r="WAN39" s="117" t="str">
        <f>IF(WAM39&lt;5,"SI","NO")</f>
        <v>NO</v>
      </c>
      <c r="WAO39" s="117" t="str">
        <f>IF(WAM39&lt;5,"Sin Riesgo",IF(WAM39 &lt;=14,"Bajo",IF(WAM39&lt;=35,"Medio",IF(WAM39&lt;=80,"Alto","Inviable Sanitariamente"))))</f>
        <v>Bajo</v>
      </c>
      <c r="WAP39" s="117">
        <v>0</v>
      </c>
      <c r="WAT39" s="117">
        <v>0</v>
      </c>
      <c r="WAV39" s="117">
        <v>23.08</v>
      </c>
      <c r="WBB39" s="117">
        <f>AVERAGE(WAP39:WBA39)</f>
        <v>7.6933333333333325</v>
      </c>
      <c r="WBC39" s="117" t="str">
        <f>IF(WBB39&lt;5,"SI","NO")</f>
        <v>NO</v>
      </c>
      <c r="WBD39" s="117" t="str">
        <f>IF(WBB39&lt;5,"Sin Riesgo",IF(WBB39 &lt;=14,"Bajo",IF(WBB39&lt;=35,"Medio",IF(WBB39&lt;=80,"Alto","Inviable Sanitariamente"))))</f>
        <v>Bajo</v>
      </c>
      <c r="WBE39" s="117">
        <v>0</v>
      </c>
      <c r="WBI39" s="117">
        <v>0</v>
      </c>
      <c r="WBK39" s="117">
        <v>23.08</v>
      </c>
      <c r="WBQ39" s="117">
        <f>AVERAGE(WBE39:WBP39)</f>
        <v>7.6933333333333325</v>
      </c>
      <c r="WBR39" s="117" t="str">
        <f>IF(WBQ39&lt;5,"SI","NO")</f>
        <v>NO</v>
      </c>
      <c r="WBS39" s="117" t="str">
        <f>IF(WBQ39&lt;5,"Sin Riesgo",IF(WBQ39 &lt;=14,"Bajo",IF(WBQ39&lt;=35,"Medio",IF(WBQ39&lt;=80,"Alto","Inviable Sanitariamente"))))</f>
        <v>Bajo</v>
      </c>
      <c r="WBT39" s="117">
        <v>0</v>
      </c>
      <c r="WBX39" s="117">
        <v>0</v>
      </c>
      <c r="WBZ39" s="117">
        <v>23.08</v>
      </c>
      <c r="WCF39" s="117">
        <f>AVERAGE(WBT39:WCE39)</f>
        <v>7.6933333333333325</v>
      </c>
      <c r="WCG39" s="117" t="str">
        <f>IF(WCF39&lt;5,"SI","NO")</f>
        <v>NO</v>
      </c>
      <c r="WCH39" s="117" t="str">
        <f>IF(WCF39&lt;5,"Sin Riesgo",IF(WCF39 &lt;=14,"Bajo",IF(WCF39&lt;=35,"Medio",IF(WCF39&lt;=80,"Alto","Inviable Sanitariamente"))))</f>
        <v>Bajo</v>
      </c>
      <c r="WCI39" s="117">
        <v>0</v>
      </c>
      <c r="WCM39" s="117">
        <v>0</v>
      </c>
      <c r="WCO39" s="117">
        <v>23.08</v>
      </c>
      <c r="WCU39" s="117">
        <f>AVERAGE(WCI39:WCT39)</f>
        <v>7.6933333333333325</v>
      </c>
      <c r="WCV39" s="117" t="str">
        <f>IF(WCU39&lt;5,"SI","NO")</f>
        <v>NO</v>
      </c>
      <c r="WCW39" s="117" t="str">
        <f>IF(WCU39&lt;5,"Sin Riesgo",IF(WCU39 &lt;=14,"Bajo",IF(WCU39&lt;=35,"Medio",IF(WCU39&lt;=80,"Alto","Inviable Sanitariamente"))))</f>
        <v>Bajo</v>
      </c>
      <c r="WCX39" s="117">
        <v>0</v>
      </c>
      <c r="WDB39" s="117">
        <v>0</v>
      </c>
      <c r="WDD39" s="117">
        <v>23.08</v>
      </c>
      <c r="WDJ39" s="117">
        <f>AVERAGE(WCX39:WDI39)</f>
        <v>7.6933333333333325</v>
      </c>
      <c r="WDK39" s="117" t="str">
        <f>IF(WDJ39&lt;5,"SI","NO")</f>
        <v>NO</v>
      </c>
      <c r="WDL39" s="117" t="str">
        <f>IF(WDJ39&lt;5,"Sin Riesgo",IF(WDJ39 &lt;=14,"Bajo",IF(WDJ39&lt;=35,"Medio",IF(WDJ39&lt;=80,"Alto","Inviable Sanitariamente"))))</f>
        <v>Bajo</v>
      </c>
      <c r="WDM39" s="117">
        <v>0</v>
      </c>
      <c r="WDQ39" s="117">
        <v>0</v>
      </c>
      <c r="WDS39" s="117">
        <v>23.08</v>
      </c>
      <c r="WDY39" s="117">
        <f>AVERAGE(WDM39:WDX39)</f>
        <v>7.6933333333333325</v>
      </c>
      <c r="WDZ39" s="117" t="str">
        <f>IF(WDY39&lt;5,"SI","NO")</f>
        <v>NO</v>
      </c>
      <c r="WEA39" s="117" t="str">
        <f>IF(WDY39&lt;5,"Sin Riesgo",IF(WDY39 &lt;=14,"Bajo",IF(WDY39&lt;=35,"Medio",IF(WDY39&lt;=80,"Alto","Inviable Sanitariamente"))))</f>
        <v>Bajo</v>
      </c>
      <c r="WEB39" s="117">
        <v>0</v>
      </c>
      <c r="WEF39" s="117">
        <v>0</v>
      </c>
      <c r="WEH39" s="117">
        <v>23.08</v>
      </c>
      <c r="WEN39" s="117">
        <f>AVERAGE(WEB39:WEM39)</f>
        <v>7.6933333333333325</v>
      </c>
      <c r="WEO39" s="117" t="str">
        <f>IF(WEN39&lt;5,"SI","NO")</f>
        <v>NO</v>
      </c>
      <c r="WEP39" s="117" t="str">
        <f>IF(WEN39&lt;5,"Sin Riesgo",IF(WEN39 &lt;=14,"Bajo",IF(WEN39&lt;=35,"Medio",IF(WEN39&lt;=80,"Alto","Inviable Sanitariamente"))))</f>
        <v>Bajo</v>
      </c>
      <c r="WEQ39" s="117">
        <v>0</v>
      </c>
      <c r="WEU39" s="117">
        <v>0</v>
      </c>
      <c r="WEW39" s="117">
        <v>23.08</v>
      </c>
      <c r="WFC39" s="117">
        <f>AVERAGE(WEQ39:WFB39)</f>
        <v>7.6933333333333325</v>
      </c>
      <c r="WFD39" s="117" t="str">
        <f>IF(WFC39&lt;5,"SI","NO")</f>
        <v>NO</v>
      </c>
      <c r="WFE39" s="117" t="str">
        <f>IF(WFC39&lt;5,"Sin Riesgo",IF(WFC39 &lt;=14,"Bajo",IF(WFC39&lt;=35,"Medio",IF(WFC39&lt;=80,"Alto","Inviable Sanitariamente"))))</f>
        <v>Bajo</v>
      </c>
      <c r="WFF39" s="117">
        <v>0</v>
      </c>
      <c r="WFJ39" s="117">
        <v>0</v>
      </c>
      <c r="WFL39" s="117">
        <v>23.08</v>
      </c>
      <c r="WFR39" s="117">
        <f>AVERAGE(WFF39:WFQ39)</f>
        <v>7.6933333333333325</v>
      </c>
      <c r="WFS39" s="117" t="str">
        <f>IF(WFR39&lt;5,"SI","NO")</f>
        <v>NO</v>
      </c>
      <c r="WFT39" s="117" t="str">
        <f>IF(WFR39&lt;5,"Sin Riesgo",IF(WFR39 &lt;=14,"Bajo",IF(WFR39&lt;=35,"Medio",IF(WFR39&lt;=80,"Alto","Inviable Sanitariamente"))))</f>
        <v>Bajo</v>
      </c>
      <c r="WFU39" s="117">
        <v>0</v>
      </c>
      <c r="WFY39" s="117">
        <v>0</v>
      </c>
      <c r="WGA39" s="117">
        <v>23.08</v>
      </c>
      <c r="WGG39" s="117">
        <f>AVERAGE(WFU39:WGF39)</f>
        <v>7.6933333333333325</v>
      </c>
      <c r="WGH39" s="117" t="str">
        <f>IF(WGG39&lt;5,"SI","NO")</f>
        <v>NO</v>
      </c>
      <c r="WGI39" s="117" t="str">
        <f>IF(WGG39&lt;5,"Sin Riesgo",IF(WGG39 &lt;=14,"Bajo",IF(WGG39&lt;=35,"Medio",IF(WGG39&lt;=80,"Alto","Inviable Sanitariamente"))))</f>
        <v>Bajo</v>
      </c>
      <c r="WGJ39" s="117">
        <v>0</v>
      </c>
      <c r="WGN39" s="117">
        <v>0</v>
      </c>
      <c r="WGP39" s="117">
        <v>23.08</v>
      </c>
      <c r="WGV39" s="117">
        <f>AVERAGE(WGJ39:WGU39)</f>
        <v>7.6933333333333325</v>
      </c>
      <c r="WGW39" s="117" t="str">
        <f>IF(WGV39&lt;5,"SI","NO")</f>
        <v>NO</v>
      </c>
      <c r="WGX39" s="117" t="str">
        <f>IF(WGV39&lt;5,"Sin Riesgo",IF(WGV39 &lt;=14,"Bajo",IF(WGV39&lt;=35,"Medio",IF(WGV39&lt;=80,"Alto","Inviable Sanitariamente"))))</f>
        <v>Bajo</v>
      </c>
      <c r="WGY39" s="117">
        <v>0</v>
      </c>
      <c r="WHC39" s="117">
        <v>0</v>
      </c>
      <c r="WHE39" s="117">
        <v>23.08</v>
      </c>
      <c r="WHK39" s="117">
        <f>AVERAGE(WGY39:WHJ39)</f>
        <v>7.6933333333333325</v>
      </c>
      <c r="WHL39" s="117" t="str">
        <f>IF(WHK39&lt;5,"SI","NO")</f>
        <v>NO</v>
      </c>
      <c r="WHM39" s="117" t="str">
        <f>IF(WHK39&lt;5,"Sin Riesgo",IF(WHK39 &lt;=14,"Bajo",IF(WHK39&lt;=35,"Medio",IF(WHK39&lt;=80,"Alto","Inviable Sanitariamente"))))</f>
        <v>Bajo</v>
      </c>
      <c r="WHN39" s="117">
        <v>0</v>
      </c>
      <c r="WHR39" s="117">
        <v>0</v>
      </c>
      <c r="WHT39" s="117">
        <v>23.08</v>
      </c>
      <c r="WHZ39" s="117">
        <f>AVERAGE(WHN39:WHY39)</f>
        <v>7.6933333333333325</v>
      </c>
      <c r="WIA39" s="117" t="str">
        <f>IF(WHZ39&lt;5,"SI","NO")</f>
        <v>NO</v>
      </c>
      <c r="WIB39" s="117" t="str">
        <f>IF(WHZ39&lt;5,"Sin Riesgo",IF(WHZ39 &lt;=14,"Bajo",IF(WHZ39&lt;=35,"Medio",IF(WHZ39&lt;=80,"Alto","Inviable Sanitariamente"))))</f>
        <v>Bajo</v>
      </c>
      <c r="WIC39" s="117">
        <v>0</v>
      </c>
      <c r="WIG39" s="117">
        <v>0</v>
      </c>
      <c r="WII39" s="117">
        <v>23.08</v>
      </c>
      <c r="WIO39" s="117">
        <f>AVERAGE(WIC39:WIN39)</f>
        <v>7.6933333333333325</v>
      </c>
      <c r="WIP39" s="117" t="str">
        <f>IF(WIO39&lt;5,"SI","NO")</f>
        <v>NO</v>
      </c>
      <c r="WIQ39" s="117" t="str">
        <f>IF(WIO39&lt;5,"Sin Riesgo",IF(WIO39 &lt;=14,"Bajo",IF(WIO39&lt;=35,"Medio",IF(WIO39&lt;=80,"Alto","Inviable Sanitariamente"))))</f>
        <v>Bajo</v>
      </c>
      <c r="WIR39" s="117">
        <v>0</v>
      </c>
      <c r="WIV39" s="117">
        <v>0</v>
      </c>
      <c r="WIX39" s="117">
        <v>23.08</v>
      </c>
      <c r="WJD39" s="117">
        <f>AVERAGE(WIR39:WJC39)</f>
        <v>7.6933333333333325</v>
      </c>
      <c r="WJE39" s="117" t="str">
        <f>IF(WJD39&lt;5,"SI","NO")</f>
        <v>NO</v>
      </c>
      <c r="WJF39" s="117" t="str">
        <f>IF(WJD39&lt;5,"Sin Riesgo",IF(WJD39 &lt;=14,"Bajo",IF(WJD39&lt;=35,"Medio",IF(WJD39&lt;=80,"Alto","Inviable Sanitariamente"))))</f>
        <v>Bajo</v>
      </c>
      <c r="WJG39" s="117">
        <v>0</v>
      </c>
      <c r="WJK39" s="117">
        <v>0</v>
      </c>
      <c r="WJM39" s="117">
        <v>23.08</v>
      </c>
      <c r="WJS39" s="117">
        <f>AVERAGE(WJG39:WJR39)</f>
        <v>7.6933333333333325</v>
      </c>
      <c r="WJT39" s="117" t="str">
        <f>IF(WJS39&lt;5,"SI","NO")</f>
        <v>NO</v>
      </c>
      <c r="WJU39" s="117" t="str">
        <f>IF(WJS39&lt;5,"Sin Riesgo",IF(WJS39 &lt;=14,"Bajo",IF(WJS39&lt;=35,"Medio",IF(WJS39&lt;=80,"Alto","Inviable Sanitariamente"))))</f>
        <v>Bajo</v>
      </c>
      <c r="WJV39" s="117">
        <v>0</v>
      </c>
      <c r="WJZ39" s="117">
        <v>0</v>
      </c>
      <c r="WKB39" s="117">
        <v>23.08</v>
      </c>
      <c r="WKH39" s="117">
        <f>AVERAGE(WJV39:WKG39)</f>
        <v>7.6933333333333325</v>
      </c>
      <c r="WKI39" s="117" t="str">
        <f>IF(WKH39&lt;5,"SI","NO")</f>
        <v>NO</v>
      </c>
      <c r="WKJ39" s="117" t="str">
        <f>IF(WKH39&lt;5,"Sin Riesgo",IF(WKH39 &lt;=14,"Bajo",IF(WKH39&lt;=35,"Medio",IF(WKH39&lt;=80,"Alto","Inviable Sanitariamente"))))</f>
        <v>Bajo</v>
      </c>
      <c r="WKK39" s="117">
        <v>0</v>
      </c>
      <c r="WKO39" s="117">
        <v>0</v>
      </c>
      <c r="WKQ39" s="117">
        <v>23.08</v>
      </c>
      <c r="WKW39" s="117">
        <f>AVERAGE(WKK39:WKV39)</f>
        <v>7.6933333333333325</v>
      </c>
      <c r="WKX39" s="117" t="str">
        <f>IF(WKW39&lt;5,"SI","NO")</f>
        <v>NO</v>
      </c>
      <c r="WKY39" s="117" t="str">
        <f>IF(WKW39&lt;5,"Sin Riesgo",IF(WKW39 &lt;=14,"Bajo",IF(WKW39&lt;=35,"Medio",IF(WKW39&lt;=80,"Alto","Inviable Sanitariamente"))))</f>
        <v>Bajo</v>
      </c>
      <c r="WKZ39" s="117">
        <v>0</v>
      </c>
      <c r="WLD39" s="117">
        <v>0</v>
      </c>
      <c r="WLF39" s="117">
        <v>23.08</v>
      </c>
      <c r="WLL39" s="117">
        <f>AVERAGE(WKZ39:WLK39)</f>
        <v>7.6933333333333325</v>
      </c>
      <c r="WLM39" s="117" t="str">
        <f>IF(WLL39&lt;5,"SI","NO")</f>
        <v>NO</v>
      </c>
      <c r="WLN39" s="117" t="str">
        <f>IF(WLL39&lt;5,"Sin Riesgo",IF(WLL39 &lt;=14,"Bajo",IF(WLL39&lt;=35,"Medio",IF(WLL39&lt;=80,"Alto","Inviable Sanitariamente"))))</f>
        <v>Bajo</v>
      </c>
      <c r="WLO39" s="117">
        <v>0</v>
      </c>
      <c r="WLS39" s="117">
        <v>0</v>
      </c>
      <c r="WLU39" s="117">
        <v>23.08</v>
      </c>
      <c r="WMA39" s="117">
        <f>AVERAGE(WLO39:WLZ39)</f>
        <v>7.6933333333333325</v>
      </c>
      <c r="WMB39" s="117" t="str">
        <f>IF(WMA39&lt;5,"SI","NO")</f>
        <v>NO</v>
      </c>
      <c r="WMC39" s="117" t="str">
        <f>IF(WMA39&lt;5,"Sin Riesgo",IF(WMA39 &lt;=14,"Bajo",IF(WMA39&lt;=35,"Medio",IF(WMA39&lt;=80,"Alto","Inviable Sanitariamente"))))</f>
        <v>Bajo</v>
      </c>
      <c r="WMD39" s="117">
        <v>0</v>
      </c>
      <c r="WMH39" s="117">
        <v>0</v>
      </c>
      <c r="WMJ39" s="117">
        <v>23.08</v>
      </c>
      <c r="WMP39" s="117">
        <f>AVERAGE(WMD39:WMO39)</f>
        <v>7.6933333333333325</v>
      </c>
      <c r="WMQ39" s="117" t="str">
        <f>IF(WMP39&lt;5,"SI","NO")</f>
        <v>NO</v>
      </c>
      <c r="WMR39" s="117" t="str">
        <f>IF(WMP39&lt;5,"Sin Riesgo",IF(WMP39 &lt;=14,"Bajo",IF(WMP39&lt;=35,"Medio",IF(WMP39&lt;=80,"Alto","Inviable Sanitariamente"))))</f>
        <v>Bajo</v>
      </c>
      <c r="WMS39" s="117">
        <v>0</v>
      </c>
      <c r="WMW39" s="117">
        <v>0</v>
      </c>
      <c r="WMY39" s="117">
        <v>23.08</v>
      </c>
      <c r="WNE39" s="117">
        <f>AVERAGE(WMS39:WND39)</f>
        <v>7.6933333333333325</v>
      </c>
      <c r="WNF39" s="117" t="str">
        <f>IF(WNE39&lt;5,"SI","NO")</f>
        <v>NO</v>
      </c>
      <c r="WNG39" s="117" t="str">
        <f>IF(WNE39&lt;5,"Sin Riesgo",IF(WNE39 &lt;=14,"Bajo",IF(WNE39&lt;=35,"Medio",IF(WNE39&lt;=80,"Alto","Inviable Sanitariamente"))))</f>
        <v>Bajo</v>
      </c>
      <c r="WNH39" s="117">
        <v>0</v>
      </c>
      <c r="WNL39" s="117">
        <v>0</v>
      </c>
      <c r="WNN39" s="117">
        <v>23.08</v>
      </c>
      <c r="WNT39" s="117">
        <f>AVERAGE(WNH39:WNS39)</f>
        <v>7.6933333333333325</v>
      </c>
      <c r="WNU39" s="117" t="str">
        <f>IF(WNT39&lt;5,"SI","NO")</f>
        <v>NO</v>
      </c>
      <c r="WNV39" s="117" t="str">
        <f>IF(WNT39&lt;5,"Sin Riesgo",IF(WNT39 &lt;=14,"Bajo",IF(WNT39&lt;=35,"Medio",IF(WNT39&lt;=80,"Alto","Inviable Sanitariamente"))))</f>
        <v>Bajo</v>
      </c>
      <c r="WNW39" s="117">
        <v>0</v>
      </c>
      <c r="WOA39" s="117">
        <v>0</v>
      </c>
      <c r="WOC39" s="117">
        <v>23.08</v>
      </c>
      <c r="WOI39" s="117">
        <f>AVERAGE(WNW39:WOH39)</f>
        <v>7.6933333333333325</v>
      </c>
      <c r="WOJ39" s="117" t="str">
        <f>IF(WOI39&lt;5,"SI","NO")</f>
        <v>NO</v>
      </c>
      <c r="WOK39" s="117" t="str">
        <f>IF(WOI39&lt;5,"Sin Riesgo",IF(WOI39 &lt;=14,"Bajo",IF(WOI39&lt;=35,"Medio",IF(WOI39&lt;=80,"Alto","Inviable Sanitariamente"))))</f>
        <v>Bajo</v>
      </c>
      <c r="WOL39" s="117">
        <v>0</v>
      </c>
      <c r="WOP39" s="117">
        <v>0</v>
      </c>
      <c r="WOR39" s="117">
        <v>23.08</v>
      </c>
      <c r="WOX39" s="117">
        <f>AVERAGE(WOL39:WOW39)</f>
        <v>7.6933333333333325</v>
      </c>
      <c r="WOY39" s="117" t="str">
        <f>IF(WOX39&lt;5,"SI","NO")</f>
        <v>NO</v>
      </c>
      <c r="WOZ39" s="117" t="str">
        <f>IF(WOX39&lt;5,"Sin Riesgo",IF(WOX39 &lt;=14,"Bajo",IF(WOX39&lt;=35,"Medio",IF(WOX39&lt;=80,"Alto","Inviable Sanitariamente"))))</f>
        <v>Bajo</v>
      </c>
      <c r="WPA39" s="117">
        <v>0</v>
      </c>
      <c r="WPE39" s="117">
        <v>0</v>
      </c>
      <c r="WPG39" s="117">
        <v>23.08</v>
      </c>
      <c r="WPM39" s="117">
        <f>AVERAGE(WPA39:WPL39)</f>
        <v>7.6933333333333325</v>
      </c>
      <c r="WPN39" s="117" t="str">
        <f>IF(WPM39&lt;5,"SI","NO")</f>
        <v>NO</v>
      </c>
      <c r="WPO39" s="117" t="str">
        <f>IF(WPM39&lt;5,"Sin Riesgo",IF(WPM39 &lt;=14,"Bajo",IF(WPM39&lt;=35,"Medio",IF(WPM39&lt;=80,"Alto","Inviable Sanitariamente"))))</f>
        <v>Bajo</v>
      </c>
      <c r="WPP39" s="117">
        <v>0</v>
      </c>
      <c r="WPT39" s="117">
        <v>0</v>
      </c>
      <c r="WPV39" s="117">
        <v>23.08</v>
      </c>
      <c r="WQB39" s="117">
        <f>AVERAGE(WPP39:WQA39)</f>
        <v>7.6933333333333325</v>
      </c>
      <c r="WQC39" s="117" t="str">
        <f>IF(WQB39&lt;5,"SI","NO")</f>
        <v>NO</v>
      </c>
      <c r="WQD39" s="117" t="str">
        <f>IF(WQB39&lt;5,"Sin Riesgo",IF(WQB39 &lt;=14,"Bajo",IF(WQB39&lt;=35,"Medio",IF(WQB39&lt;=80,"Alto","Inviable Sanitariamente"))))</f>
        <v>Bajo</v>
      </c>
      <c r="WQE39" s="117">
        <v>0</v>
      </c>
      <c r="WQI39" s="117">
        <v>0</v>
      </c>
      <c r="WQK39" s="117">
        <v>23.08</v>
      </c>
      <c r="WQQ39" s="117">
        <f>AVERAGE(WQE39:WQP39)</f>
        <v>7.6933333333333325</v>
      </c>
      <c r="WQR39" s="117" t="str">
        <f>IF(WQQ39&lt;5,"SI","NO")</f>
        <v>NO</v>
      </c>
      <c r="WQS39" s="117" t="str">
        <f>IF(WQQ39&lt;5,"Sin Riesgo",IF(WQQ39 &lt;=14,"Bajo",IF(WQQ39&lt;=35,"Medio",IF(WQQ39&lt;=80,"Alto","Inviable Sanitariamente"))))</f>
        <v>Bajo</v>
      </c>
      <c r="WQT39" s="117">
        <v>0</v>
      </c>
      <c r="WQX39" s="117">
        <v>0</v>
      </c>
      <c r="WQZ39" s="117">
        <v>23.08</v>
      </c>
      <c r="WRF39" s="117">
        <f>AVERAGE(WQT39:WRE39)</f>
        <v>7.6933333333333325</v>
      </c>
      <c r="WRG39" s="117" t="str">
        <f>IF(WRF39&lt;5,"SI","NO")</f>
        <v>NO</v>
      </c>
      <c r="WRH39" s="117" t="str">
        <f>IF(WRF39&lt;5,"Sin Riesgo",IF(WRF39 &lt;=14,"Bajo",IF(WRF39&lt;=35,"Medio",IF(WRF39&lt;=80,"Alto","Inviable Sanitariamente"))))</f>
        <v>Bajo</v>
      </c>
      <c r="WRI39" s="117">
        <v>0</v>
      </c>
      <c r="WRM39" s="117">
        <v>0</v>
      </c>
      <c r="WRO39" s="117">
        <v>23.08</v>
      </c>
      <c r="WRU39" s="117">
        <f>AVERAGE(WRI39:WRT39)</f>
        <v>7.6933333333333325</v>
      </c>
      <c r="WRV39" s="117" t="str">
        <f>IF(WRU39&lt;5,"SI","NO")</f>
        <v>NO</v>
      </c>
      <c r="WRW39" s="117" t="str">
        <f>IF(WRU39&lt;5,"Sin Riesgo",IF(WRU39 &lt;=14,"Bajo",IF(WRU39&lt;=35,"Medio",IF(WRU39&lt;=80,"Alto","Inviable Sanitariamente"))))</f>
        <v>Bajo</v>
      </c>
      <c r="WRX39" s="117">
        <v>0</v>
      </c>
      <c r="WSB39" s="117">
        <v>0</v>
      </c>
      <c r="WSD39" s="117">
        <v>23.08</v>
      </c>
      <c r="WSJ39" s="117">
        <f>AVERAGE(WRX39:WSI39)</f>
        <v>7.6933333333333325</v>
      </c>
      <c r="WSK39" s="117" t="str">
        <f>IF(WSJ39&lt;5,"SI","NO")</f>
        <v>NO</v>
      </c>
      <c r="WSL39" s="117" t="str">
        <f>IF(WSJ39&lt;5,"Sin Riesgo",IF(WSJ39 &lt;=14,"Bajo",IF(WSJ39&lt;=35,"Medio",IF(WSJ39&lt;=80,"Alto","Inviable Sanitariamente"))))</f>
        <v>Bajo</v>
      </c>
      <c r="WSM39" s="117">
        <v>0</v>
      </c>
      <c r="WSQ39" s="117">
        <v>0</v>
      </c>
      <c r="WSS39" s="117">
        <v>23.08</v>
      </c>
      <c r="WSY39" s="117">
        <f>AVERAGE(WSM39:WSX39)</f>
        <v>7.6933333333333325</v>
      </c>
      <c r="WSZ39" s="117" t="str">
        <f>IF(WSY39&lt;5,"SI","NO")</f>
        <v>NO</v>
      </c>
      <c r="WTA39" s="117" t="str">
        <f>IF(WSY39&lt;5,"Sin Riesgo",IF(WSY39 &lt;=14,"Bajo",IF(WSY39&lt;=35,"Medio",IF(WSY39&lt;=80,"Alto","Inviable Sanitariamente"))))</f>
        <v>Bajo</v>
      </c>
      <c r="WTB39" s="117">
        <v>0</v>
      </c>
      <c r="WTF39" s="117">
        <v>0</v>
      </c>
      <c r="WTH39" s="117">
        <v>23.08</v>
      </c>
      <c r="WTN39" s="117">
        <f>AVERAGE(WTB39:WTM39)</f>
        <v>7.6933333333333325</v>
      </c>
      <c r="WTO39" s="117" t="str">
        <f>IF(WTN39&lt;5,"SI","NO")</f>
        <v>NO</v>
      </c>
      <c r="WTP39" s="117" t="str">
        <f>IF(WTN39&lt;5,"Sin Riesgo",IF(WTN39 &lt;=14,"Bajo",IF(WTN39&lt;=35,"Medio",IF(WTN39&lt;=80,"Alto","Inviable Sanitariamente"))))</f>
        <v>Bajo</v>
      </c>
      <c r="WTQ39" s="117">
        <v>0</v>
      </c>
      <c r="WTU39" s="117">
        <v>0</v>
      </c>
      <c r="WTW39" s="117">
        <v>23.08</v>
      </c>
      <c r="WUC39" s="117">
        <f>AVERAGE(WTQ39:WUB39)</f>
        <v>7.6933333333333325</v>
      </c>
      <c r="WUD39" s="117" t="str">
        <f>IF(WUC39&lt;5,"SI","NO")</f>
        <v>NO</v>
      </c>
      <c r="WUE39" s="117" t="str">
        <f>IF(WUC39&lt;5,"Sin Riesgo",IF(WUC39 &lt;=14,"Bajo",IF(WUC39&lt;=35,"Medio",IF(WUC39&lt;=80,"Alto","Inviable Sanitariamente"))))</f>
        <v>Bajo</v>
      </c>
      <c r="WUF39" s="117">
        <v>0</v>
      </c>
      <c r="WUJ39" s="117">
        <v>0</v>
      </c>
      <c r="WUL39" s="117">
        <v>23.08</v>
      </c>
      <c r="WUR39" s="117">
        <f>AVERAGE(WUF39:WUQ39)</f>
        <v>7.6933333333333325</v>
      </c>
      <c r="WUS39" s="117" t="str">
        <f>IF(WUR39&lt;5,"SI","NO")</f>
        <v>NO</v>
      </c>
      <c r="WUT39" s="117" t="str">
        <f>IF(WUR39&lt;5,"Sin Riesgo",IF(WUR39 &lt;=14,"Bajo",IF(WUR39&lt;=35,"Medio",IF(WUR39&lt;=80,"Alto","Inviable Sanitariamente"))))</f>
        <v>Bajo</v>
      </c>
      <c r="WUU39" s="117">
        <v>0</v>
      </c>
      <c r="WUY39" s="117">
        <v>0</v>
      </c>
      <c r="WVA39" s="117">
        <v>23.08</v>
      </c>
      <c r="WVG39" s="117">
        <f>AVERAGE(WUU39:WVF39)</f>
        <v>7.6933333333333325</v>
      </c>
      <c r="WVH39" s="117" t="str">
        <f>IF(WVG39&lt;5,"SI","NO")</f>
        <v>NO</v>
      </c>
      <c r="WVI39" s="117" t="str">
        <f>IF(WVG39&lt;5,"Sin Riesgo",IF(WVG39 &lt;=14,"Bajo",IF(WVG39&lt;=35,"Medio",IF(WVG39&lt;=80,"Alto","Inviable Sanitariamente"))))</f>
        <v>Bajo</v>
      </c>
      <c r="WVJ39" s="117">
        <v>0</v>
      </c>
      <c r="WVN39" s="117">
        <v>0</v>
      </c>
      <c r="WVP39" s="117">
        <v>23.08</v>
      </c>
      <c r="WVV39" s="117">
        <f>AVERAGE(WVJ39:WVU39)</f>
        <v>7.6933333333333325</v>
      </c>
      <c r="WVW39" s="117" t="str">
        <f>IF(WVV39&lt;5,"SI","NO")</f>
        <v>NO</v>
      </c>
      <c r="WVX39" s="117" t="str">
        <f>IF(WVV39&lt;5,"Sin Riesgo",IF(WVV39 &lt;=14,"Bajo",IF(WVV39&lt;=35,"Medio",IF(WVV39&lt;=80,"Alto","Inviable Sanitariamente"))))</f>
        <v>Bajo</v>
      </c>
      <c r="WVY39" s="117">
        <v>0</v>
      </c>
      <c r="WWC39" s="117">
        <v>0</v>
      </c>
      <c r="WWE39" s="117">
        <v>23.08</v>
      </c>
      <c r="WWK39" s="117">
        <f>AVERAGE(WVY39:WWJ39)</f>
        <v>7.6933333333333325</v>
      </c>
      <c r="WWL39" s="117" t="str">
        <f>IF(WWK39&lt;5,"SI","NO")</f>
        <v>NO</v>
      </c>
      <c r="WWM39" s="117" t="str">
        <f>IF(WWK39&lt;5,"Sin Riesgo",IF(WWK39 &lt;=14,"Bajo",IF(WWK39&lt;=35,"Medio",IF(WWK39&lt;=80,"Alto","Inviable Sanitariamente"))))</f>
        <v>Bajo</v>
      </c>
      <c r="WWN39" s="117">
        <v>0</v>
      </c>
      <c r="WWR39" s="117">
        <v>0</v>
      </c>
      <c r="WWT39" s="117">
        <v>23.08</v>
      </c>
      <c r="WWZ39" s="117">
        <f>AVERAGE(WWN39:WWY39)</f>
        <v>7.6933333333333325</v>
      </c>
      <c r="WXA39" s="117" t="str">
        <f>IF(WWZ39&lt;5,"SI","NO")</f>
        <v>NO</v>
      </c>
      <c r="WXB39" s="117" t="str">
        <f>IF(WWZ39&lt;5,"Sin Riesgo",IF(WWZ39 &lt;=14,"Bajo",IF(WWZ39&lt;=35,"Medio",IF(WWZ39&lt;=80,"Alto","Inviable Sanitariamente"))))</f>
        <v>Bajo</v>
      </c>
      <c r="WXC39" s="117">
        <v>0</v>
      </c>
      <c r="WXG39" s="117">
        <v>0</v>
      </c>
      <c r="WXI39" s="117">
        <v>23.08</v>
      </c>
      <c r="WXO39" s="117">
        <f>AVERAGE(WXC39:WXN39)</f>
        <v>7.6933333333333325</v>
      </c>
      <c r="WXP39" s="117" t="str">
        <f>IF(WXO39&lt;5,"SI","NO")</f>
        <v>NO</v>
      </c>
      <c r="WXQ39" s="117" t="str">
        <f>IF(WXO39&lt;5,"Sin Riesgo",IF(WXO39 &lt;=14,"Bajo",IF(WXO39&lt;=35,"Medio",IF(WXO39&lt;=80,"Alto","Inviable Sanitariamente"))))</f>
        <v>Bajo</v>
      </c>
      <c r="WXR39" s="117">
        <v>0</v>
      </c>
      <c r="WXV39" s="117">
        <v>0</v>
      </c>
      <c r="WXX39" s="117">
        <v>23.08</v>
      </c>
      <c r="WYD39" s="117">
        <f>AVERAGE(WXR39:WYC39)</f>
        <v>7.6933333333333325</v>
      </c>
      <c r="WYE39" s="117" t="str">
        <f>IF(WYD39&lt;5,"SI","NO")</f>
        <v>NO</v>
      </c>
      <c r="WYF39" s="117" t="str">
        <f>IF(WYD39&lt;5,"Sin Riesgo",IF(WYD39 &lt;=14,"Bajo",IF(WYD39&lt;=35,"Medio",IF(WYD39&lt;=80,"Alto","Inviable Sanitariamente"))))</f>
        <v>Bajo</v>
      </c>
      <c r="WYG39" s="117">
        <v>0</v>
      </c>
      <c r="WYK39" s="117">
        <v>0</v>
      </c>
      <c r="WYM39" s="117">
        <v>23.08</v>
      </c>
      <c r="WYS39" s="117">
        <f>AVERAGE(WYG39:WYR39)</f>
        <v>7.6933333333333325</v>
      </c>
      <c r="WYT39" s="117" t="str">
        <f>IF(WYS39&lt;5,"SI","NO")</f>
        <v>NO</v>
      </c>
      <c r="WYU39" s="117" t="str">
        <f>IF(WYS39&lt;5,"Sin Riesgo",IF(WYS39 &lt;=14,"Bajo",IF(WYS39&lt;=35,"Medio",IF(WYS39&lt;=80,"Alto","Inviable Sanitariamente"))))</f>
        <v>Bajo</v>
      </c>
      <c r="WYV39" s="117">
        <v>0</v>
      </c>
      <c r="WYZ39" s="117">
        <v>0</v>
      </c>
      <c r="WZB39" s="117">
        <v>23.08</v>
      </c>
      <c r="WZH39" s="117">
        <f>AVERAGE(WYV39:WZG39)</f>
        <v>7.6933333333333325</v>
      </c>
      <c r="WZI39" s="117" t="str">
        <f>IF(WZH39&lt;5,"SI","NO")</f>
        <v>NO</v>
      </c>
      <c r="WZJ39" s="117" t="str">
        <f>IF(WZH39&lt;5,"Sin Riesgo",IF(WZH39 &lt;=14,"Bajo",IF(WZH39&lt;=35,"Medio",IF(WZH39&lt;=80,"Alto","Inviable Sanitariamente"))))</f>
        <v>Bajo</v>
      </c>
      <c r="WZK39" s="117">
        <v>0</v>
      </c>
      <c r="WZO39" s="117">
        <v>0</v>
      </c>
      <c r="WZQ39" s="117">
        <v>23.08</v>
      </c>
      <c r="WZW39" s="117">
        <f>AVERAGE(WZK39:WZV39)</f>
        <v>7.6933333333333325</v>
      </c>
      <c r="WZX39" s="117" t="str">
        <f>IF(WZW39&lt;5,"SI","NO")</f>
        <v>NO</v>
      </c>
      <c r="WZY39" s="117" t="str">
        <f>IF(WZW39&lt;5,"Sin Riesgo",IF(WZW39 &lt;=14,"Bajo",IF(WZW39&lt;=35,"Medio",IF(WZW39&lt;=80,"Alto","Inviable Sanitariamente"))))</f>
        <v>Bajo</v>
      </c>
      <c r="WZZ39" s="117">
        <v>0</v>
      </c>
      <c r="XAD39" s="117">
        <v>0</v>
      </c>
      <c r="XAF39" s="117">
        <v>23.08</v>
      </c>
      <c r="XAL39" s="117">
        <f>AVERAGE(WZZ39:XAK39)</f>
        <v>7.6933333333333325</v>
      </c>
      <c r="XAM39" s="117" t="str">
        <f>IF(XAL39&lt;5,"SI","NO")</f>
        <v>NO</v>
      </c>
      <c r="XAN39" s="117" t="str">
        <f>IF(XAL39&lt;5,"Sin Riesgo",IF(XAL39 &lt;=14,"Bajo",IF(XAL39&lt;=35,"Medio",IF(XAL39&lt;=80,"Alto","Inviable Sanitariamente"))))</f>
        <v>Bajo</v>
      </c>
      <c r="XAO39" s="117">
        <v>0</v>
      </c>
      <c r="XAS39" s="117">
        <v>0</v>
      </c>
      <c r="XAU39" s="117">
        <v>23.08</v>
      </c>
      <c r="XBA39" s="117">
        <f>AVERAGE(XAO39:XAZ39)</f>
        <v>7.6933333333333325</v>
      </c>
      <c r="XBB39" s="117" t="str">
        <f>IF(XBA39&lt;5,"SI","NO")</f>
        <v>NO</v>
      </c>
      <c r="XBC39" s="117" t="str">
        <f>IF(XBA39&lt;5,"Sin Riesgo",IF(XBA39 &lt;=14,"Bajo",IF(XBA39&lt;=35,"Medio",IF(XBA39&lt;=80,"Alto","Inviable Sanitariamente"))))</f>
        <v>Bajo</v>
      </c>
      <c r="XBD39" s="117">
        <v>0</v>
      </c>
      <c r="XBH39" s="117">
        <v>0</v>
      </c>
      <c r="XBJ39" s="117">
        <v>23.08</v>
      </c>
      <c r="XBP39" s="117">
        <f>AVERAGE(XBD39:XBO39)</f>
        <v>7.6933333333333325</v>
      </c>
      <c r="XBQ39" s="117" t="str">
        <f>IF(XBP39&lt;5,"SI","NO")</f>
        <v>NO</v>
      </c>
      <c r="XBR39" s="117" t="str">
        <f>IF(XBP39&lt;5,"Sin Riesgo",IF(XBP39 &lt;=14,"Bajo",IF(XBP39&lt;=35,"Medio",IF(XBP39&lt;=80,"Alto","Inviable Sanitariamente"))))</f>
        <v>Bajo</v>
      </c>
      <c r="XBS39" s="117">
        <v>0</v>
      </c>
      <c r="XBW39" s="117">
        <v>0</v>
      </c>
      <c r="XBY39" s="117">
        <v>23.08</v>
      </c>
      <c r="XCE39" s="117">
        <f>AVERAGE(XBS39:XCD39)</f>
        <v>7.6933333333333325</v>
      </c>
      <c r="XCF39" s="117" t="str">
        <f>IF(XCE39&lt;5,"SI","NO")</f>
        <v>NO</v>
      </c>
      <c r="XCG39" s="117" t="str">
        <f>IF(XCE39&lt;5,"Sin Riesgo",IF(XCE39 &lt;=14,"Bajo",IF(XCE39&lt;=35,"Medio",IF(XCE39&lt;=80,"Alto","Inviable Sanitariamente"))))</f>
        <v>Bajo</v>
      </c>
      <c r="XCH39" s="117">
        <v>0</v>
      </c>
      <c r="XCL39" s="117">
        <v>0</v>
      </c>
      <c r="XCN39" s="117">
        <v>23.08</v>
      </c>
      <c r="XCT39" s="117">
        <f>AVERAGE(XCH39:XCS39)</f>
        <v>7.6933333333333325</v>
      </c>
      <c r="XCU39" s="117" t="str">
        <f>IF(XCT39&lt;5,"SI","NO")</f>
        <v>NO</v>
      </c>
      <c r="XCV39" s="117" t="str">
        <f>IF(XCT39&lt;5,"Sin Riesgo",IF(XCT39 &lt;=14,"Bajo",IF(XCT39&lt;=35,"Medio",IF(XCT39&lt;=80,"Alto","Inviable Sanitariamente"))))</f>
        <v>Bajo</v>
      </c>
      <c r="XCW39" s="117">
        <v>0</v>
      </c>
      <c r="XDA39" s="117">
        <v>0</v>
      </c>
      <c r="XDC39" s="117">
        <v>23.08</v>
      </c>
      <c r="XDI39" s="117">
        <f>AVERAGE(XCW39:XDH39)</f>
        <v>7.6933333333333325</v>
      </c>
      <c r="XDJ39" s="117" t="str">
        <f>IF(XDI39&lt;5,"SI","NO")</f>
        <v>NO</v>
      </c>
      <c r="XDK39" s="117" t="str">
        <f>IF(XDI39&lt;5,"Sin Riesgo",IF(XDI39 &lt;=14,"Bajo",IF(XDI39&lt;=35,"Medio",IF(XDI39&lt;=80,"Alto","Inviable Sanitariamente"))))</f>
        <v>Bajo</v>
      </c>
      <c r="XDL39" s="117">
        <v>0</v>
      </c>
      <c r="XDP39" s="117">
        <v>0</v>
      </c>
      <c r="XDR39" s="117">
        <v>23.08</v>
      </c>
      <c r="XDX39" s="117">
        <f>AVERAGE(XDL39:XDW39)</f>
        <v>7.6933333333333325</v>
      </c>
      <c r="XDY39" s="117" t="str">
        <f>IF(XDX39&lt;5,"SI","NO")</f>
        <v>NO</v>
      </c>
      <c r="XDZ39" s="117" t="str">
        <f>IF(XDX39&lt;5,"Sin Riesgo",IF(XDX39 &lt;=14,"Bajo",IF(XDX39&lt;=35,"Medio",IF(XDX39&lt;=80,"Alto","Inviable Sanitariamente"))))</f>
        <v>Bajo</v>
      </c>
      <c r="XEA39" s="117">
        <v>0</v>
      </c>
      <c r="XEE39" s="117">
        <v>0</v>
      </c>
      <c r="XEG39" s="117">
        <v>23.08</v>
      </c>
      <c r="XEM39" s="117">
        <f>AVERAGE(XEA39:XEL39)</f>
        <v>7.6933333333333325</v>
      </c>
      <c r="XEN39" s="117" t="str">
        <f>IF(XEM39&lt;5,"SI","NO")</f>
        <v>NO</v>
      </c>
      <c r="XEO39" s="117" t="str">
        <f>IF(XEM39&lt;5,"Sin Riesgo",IF(XEM39 &lt;=14,"Bajo",IF(XEM39&lt;=35,"Medio",IF(XEM39&lt;=80,"Alto","Inviable Sanitariamente"))))</f>
        <v>Bajo</v>
      </c>
      <c r="XEP39" s="117">
        <v>0</v>
      </c>
      <c r="XET39" s="117">
        <v>0</v>
      </c>
      <c r="XEV39" s="117">
        <v>23.08</v>
      </c>
      <c r="XFB39" s="117">
        <f>AVERAGE(XEP39:XFA39)</f>
        <v>7.6933333333333325</v>
      </c>
      <c r="XFC39" s="117" t="str">
        <f>IF(XFB39&lt;5,"SI","NO")</f>
        <v>NO</v>
      </c>
      <c r="XFD39" s="117" t="str">
        <f>IF(XFB39&lt;5,"Sin Riesgo",IF(XFB39 &lt;=14,"Bajo",IF(XFB39&lt;=35,"Medio",IF(XFB39&lt;=80,"Alto","Inviable Sanitariamente"))))</f>
        <v>Bajo</v>
      </c>
    </row>
    <row r="40" spans="1:2045 2049:3071 3075:4095 4097:5120 5124:6144 6146:7166 7170:9215 9219:10239 10241:11261 11265:13310 13314:14336 14340:15360 15362:16384" s="117" customFormat="1" ht="32.1" customHeight="1" x14ac:dyDescent="0.2">
      <c r="A40" s="361" t="s">
        <v>78</v>
      </c>
      <c r="B40" s="362" t="s">
        <v>275</v>
      </c>
      <c r="C40" s="362" t="s">
        <v>4325</v>
      </c>
      <c r="D40" s="364"/>
      <c r="E40" s="48"/>
      <c r="F40" s="48"/>
      <c r="G40" s="48"/>
      <c r="H40" s="48"/>
      <c r="I40" s="48"/>
      <c r="J40" s="48"/>
      <c r="K40" s="48"/>
      <c r="L40" s="48"/>
      <c r="M40" s="48"/>
      <c r="N40" s="48"/>
      <c r="O40" s="48"/>
      <c r="P40" s="48">
        <v>97.9</v>
      </c>
      <c r="Q40" s="374">
        <f t="shared" si="3"/>
        <v>97.9</v>
      </c>
      <c r="R40" s="375" t="str">
        <f t="shared" si="4"/>
        <v>NO</v>
      </c>
      <c r="S40" s="376" t="str">
        <f t="shared" si="5"/>
        <v>Inviable Sanitariamente</v>
      </c>
      <c r="T40" s="152"/>
    </row>
    <row r="41" spans="1:2045 2049:3071 3075:4095 4097:5120 5124:6144 6146:7166 7170:9215 9219:10239 10241:11261 11265:13310 13314:14336 14340:15360 15362:16384" s="117" customFormat="1" ht="32.1" customHeight="1" x14ac:dyDescent="0.2">
      <c r="A41" s="361" t="s">
        <v>78</v>
      </c>
      <c r="B41" s="362" t="s">
        <v>275</v>
      </c>
      <c r="C41" s="362" t="s">
        <v>4326</v>
      </c>
      <c r="D41" s="364"/>
      <c r="E41" s="48"/>
      <c r="F41" s="48"/>
      <c r="G41" s="48"/>
      <c r="H41" s="48"/>
      <c r="I41" s="48"/>
      <c r="J41" s="48"/>
      <c r="K41" s="48"/>
      <c r="L41" s="48"/>
      <c r="M41" s="48"/>
      <c r="N41" s="48"/>
      <c r="O41" s="48"/>
      <c r="P41" s="48">
        <v>97.9</v>
      </c>
      <c r="Q41" s="374">
        <f t="shared" si="3"/>
        <v>97.9</v>
      </c>
      <c r="R41" s="375" t="str">
        <f t="shared" si="4"/>
        <v>NO</v>
      </c>
      <c r="S41" s="376" t="str">
        <f t="shared" si="5"/>
        <v>Inviable Sanitariamente</v>
      </c>
      <c r="T41" s="152"/>
      <c r="AD41" s="117">
        <v>97.9</v>
      </c>
      <c r="AF41" s="117">
        <f>AVERAGE(T41:AE41)</f>
        <v>97.9</v>
      </c>
      <c r="AG41" s="117" t="str">
        <f>IF(AF41&lt;5,"SI","NO")</f>
        <v>NO</v>
      </c>
      <c r="AH41" s="117" t="str">
        <f>IF(AF41&lt;5,"Sin Riesgo",IF(AF41 &lt;=14,"Bajo",IF(AF41&lt;=35,"Medio",IF(AF41&lt;=80,"Alto","Inviable Sanitariamente"))))</f>
        <v>Inviable Sanitariamente</v>
      </c>
      <c r="AS41" s="117">
        <v>97.9</v>
      </c>
      <c r="AU41" s="117">
        <f>AVERAGE(AI41:AT41)</f>
        <v>97.9</v>
      </c>
      <c r="AV41" s="117" t="str">
        <f>IF(AU41&lt;5,"SI","NO")</f>
        <v>NO</v>
      </c>
      <c r="AW41" s="117" t="str">
        <f>IF(AU41&lt;5,"Sin Riesgo",IF(AU41 &lt;=14,"Bajo",IF(AU41&lt;=35,"Medio",IF(AU41&lt;=80,"Alto","Inviable Sanitariamente"))))</f>
        <v>Inviable Sanitariamente</v>
      </c>
      <c r="BH41" s="117">
        <v>97.9</v>
      </c>
      <c r="BJ41" s="117">
        <f>AVERAGE(AX41:BI41)</f>
        <v>97.9</v>
      </c>
      <c r="BK41" s="117" t="str">
        <f>IF(BJ41&lt;5,"SI","NO")</f>
        <v>NO</v>
      </c>
      <c r="BL41" s="117" t="str">
        <f>IF(BJ41&lt;5,"Sin Riesgo",IF(BJ41 &lt;=14,"Bajo",IF(BJ41&lt;=35,"Medio",IF(BJ41&lt;=80,"Alto","Inviable Sanitariamente"))))</f>
        <v>Inviable Sanitariamente</v>
      </c>
      <c r="BW41" s="117">
        <v>97.9</v>
      </c>
      <c r="BY41" s="117">
        <f>AVERAGE(BM41:BX41)</f>
        <v>97.9</v>
      </c>
      <c r="BZ41" s="117" t="str">
        <f>IF(BY41&lt;5,"SI","NO")</f>
        <v>NO</v>
      </c>
      <c r="CA41" s="117" t="str">
        <f>IF(BY41&lt;5,"Sin Riesgo",IF(BY41 &lt;=14,"Bajo",IF(BY41&lt;=35,"Medio",IF(BY41&lt;=80,"Alto","Inviable Sanitariamente"))))</f>
        <v>Inviable Sanitariamente</v>
      </c>
      <c r="CL41" s="117">
        <v>97.9</v>
      </c>
      <c r="CN41" s="117">
        <f>AVERAGE(CB41:CM41)</f>
        <v>97.9</v>
      </c>
      <c r="CO41" s="117" t="str">
        <f>IF(CN41&lt;5,"SI","NO")</f>
        <v>NO</v>
      </c>
      <c r="CP41" s="117" t="str">
        <f>IF(CN41&lt;5,"Sin Riesgo",IF(CN41 &lt;=14,"Bajo",IF(CN41&lt;=35,"Medio",IF(CN41&lt;=80,"Alto","Inviable Sanitariamente"))))</f>
        <v>Inviable Sanitariamente</v>
      </c>
      <c r="DA41" s="117">
        <v>97.9</v>
      </c>
      <c r="DC41" s="117">
        <f>AVERAGE(CQ41:DB41)</f>
        <v>97.9</v>
      </c>
      <c r="DD41" s="117" t="str">
        <f>IF(DC41&lt;5,"SI","NO")</f>
        <v>NO</v>
      </c>
      <c r="DE41" s="117" t="str">
        <f>IF(DC41&lt;5,"Sin Riesgo",IF(DC41 &lt;=14,"Bajo",IF(DC41&lt;=35,"Medio",IF(DC41&lt;=80,"Alto","Inviable Sanitariamente"))))</f>
        <v>Inviable Sanitariamente</v>
      </c>
      <c r="DP41" s="117">
        <v>97.9</v>
      </c>
      <c r="DR41" s="117">
        <f>AVERAGE(DF41:DQ41)</f>
        <v>97.9</v>
      </c>
      <c r="DS41" s="117" t="str">
        <f>IF(DR41&lt;5,"SI","NO")</f>
        <v>NO</v>
      </c>
      <c r="DT41" s="117" t="str">
        <f>IF(DR41&lt;5,"Sin Riesgo",IF(DR41 &lt;=14,"Bajo",IF(DR41&lt;=35,"Medio",IF(DR41&lt;=80,"Alto","Inviable Sanitariamente"))))</f>
        <v>Inviable Sanitariamente</v>
      </c>
      <c r="EE41" s="117">
        <v>97.9</v>
      </c>
      <c r="EG41" s="117">
        <f>AVERAGE(DU41:EF41)</f>
        <v>97.9</v>
      </c>
      <c r="EH41" s="117" t="str">
        <f>IF(EG41&lt;5,"SI","NO")</f>
        <v>NO</v>
      </c>
      <c r="EI41" s="117" t="str">
        <f>IF(EG41&lt;5,"Sin Riesgo",IF(EG41 &lt;=14,"Bajo",IF(EG41&lt;=35,"Medio",IF(EG41&lt;=80,"Alto","Inviable Sanitariamente"))))</f>
        <v>Inviable Sanitariamente</v>
      </c>
      <c r="ET41" s="117">
        <v>97.9</v>
      </c>
      <c r="EV41" s="117">
        <f>AVERAGE(EJ41:EU41)</f>
        <v>97.9</v>
      </c>
      <c r="EW41" s="117" t="str">
        <f>IF(EV41&lt;5,"SI","NO")</f>
        <v>NO</v>
      </c>
      <c r="EX41" s="117" t="str">
        <f>IF(EV41&lt;5,"Sin Riesgo",IF(EV41 &lt;=14,"Bajo",IF(EV41&lt;=35,"Medio",IF(EV41&lt;=80,"Alto","Inviable Sanitariamente"))))</f>
        <v>Inviable Sanitariamente</v>
      </c>
      <c r="FI41" s="117">
        <v>97.9</v>
      </c>
      <c r="FK41" s="117">
        <f>AVERAGE(EY41:FJ41)</f>
        <v>97.9</v>
      </c>
      <c r="FL41" s="117" t="str">
        <f>IF(FK41&lt;5,"SI","NO")</f>
        <v>NO</v>
      </c>
      <c r="FM41" s="117" t="str">
        <f>IF(FK41&lt;5,"Sin Riesgo",IF(FK41 &lt;=14,"Bajo",IF(FK41&lt;=35,"Medio",IF(FK41&lt;=80,"Alto","Inviable Sanitariamente"))))</f>
        <v>Inviable Sanitariamente</v>
      </c>
      <c r="FX41" s="117">
        <v>97.9</v>
      </c>
      <c r="FZ41" s="117">
        <f>AVERAGE(FN41:FY41)</f>
        <v>97.9</v>
      </c>
      <c r="GA41" s="117" t="str">
        <f>IF(FZ41&lt;5,"SI","NO")</f>
        <v>NO</v>
      </c>
      <c r="GB41" s="117" t="str">
        <f>IF(FZ41&lt;5,"Sin Riesgo",IF(FZ41 &lt;=14,"Bajo",IF(FZ41&lt;=35,"Medio",IF(FZ41&lt;=80,"Alto","Inviable Sanitariamente"))))</f>
        <v>Inviable Sanitariamente</v>
      </c>
      <c r="GM41" s="117">
        <v>97.9</v>
      </c>
      <c r="GO41" s="117">
        <f>AVERAGE(GC41:GN41)</f>
        <v>97.9</v>
      </c>
      <c r="GP41" s="117" t="str">
        <f>IF(GO41&lt;5,"SI","NO")</f>
        <v>NO</v>
      </c>
      <c r="GQ41" s="117" t="str">
        <f>IF(GO41&lt;5,"Sin Riesgo",IF(GO41 &lt;=14,"Bajo",IF(GO41&lt;=35,"Medio",IF(GO41&lt;=80,"Alto","Inviable Sanitariamente"))))</f>
        <v>Inviable Sanitariamente</v>
      </c>
      <c r="HB41" s="117">
        <v>97.9</v>
      </c>
      <c r="HD41" s="117">
        <f>AVERAGE(GR41:HC41)</f>
        <v>97.9</v>
      </c>
      <c r="HE41" s="117" t="str">
        <f>IF(HD41&lt;5,"SI","NO")</f>
        <v>NO</v>
      </c>
      <c r="HF41" s="117" t="str">
        <f>IF(HD41&lt;5,"Sin Riesgo",IF(HD41 &lt;=14,"Bajo",IF(HD41&lt;=35,"Medio",IF(HD41&lt;=80,"Alto","Inviable Sanitariamente"))))</f>
        <v>Inviable Sanitariamente</v>
      </c>
      <c r="HQ41" s="117">
        <v>97.9</v>
      </c>
      <c r="HS41" s="117">
        <f>AVERAGE(HG41:HR41)</f>
        <v>97.9</v>
      </c>
      <c r="HT41" s="117" t="str">
        <f>IF(HS41&lt;5,"SI","NO")</f>
        <v>NO</v>
      </c>
      <c r="HU41" s="117" t="str">
        <f>IF(HS41&lt;5,"Sin Riesgo",IF(HS41 &lt;=14,"Bajo",IF(HS41&lt;=35,"Medio",IF(HS41&lt;=80,"Alto","Inviable Sanitariamente"))))</f>
        <v>Inviable Sanitariamente</v>
      </c>
      <c r="IF41" s="117">
        <v>97.9</v>
      </c>
      <c r="IH41" s="117">
        <f>AVERAGE(HV41:IG41)</f>
        <v>97.9</v>
      </c>
      <c r="II41" s="117" t="str">
        <f>IF(IH41&lt;5,"SI","NO")</f>
        <v>NO</v>
      </c>
      <c r="IJ41" s="117" t="str">
        <f>IF(IH41&lt;5,"Sin Riesgo",IF(IH41 &lt;=14,"Bajo",IF(IH41&lt;=35,"Medio",IF(IH41&lt;=80,"Alto","Inviable Sanitariamente"))))</f>
        <v>Inviable Sanitariamente</v>
      </c>
      <c r="IU41" s="117">
        <v>97.9</v>
      </c>
      <c r="IW41" s="117">
        <f>AVERAGE(IK41:IV41)</f>
        <v>97.9</v>
      </c>
      <c r="IX41" s="117" t="str">
        <f>IF(IW41&lt;5,"SI","NO")</f>
        <v>NO</v>
      </c>
      <c r="IY41" s="117" t="str">
        <f>IF(IW41&lt;5,"Sin Riesgo",IF(IW41 &lt;=14,"Bajo",IF(IW41&lt;=35,"Medio",IF(IW41&lt;=80,"Alto","Inviable Sanitariamente"))))</f>
        <v>Inviable Sanitariamente</v>
      </c>
      <c r="JJ41" s="117">
        <v>97.9</v>
      </c>
      <c r="JL41" s="117">
        <f>AVERAGE(IZ41:JK41)</f>
        <v>97.9</v>
      </c>
      <c r="JM41" s="117" t="str">
        <f>IF(JL41&lt;5,"SI","NO")</f>
        <v>NO</v>
      </c>
      <c r="JN41" s="117" t="str">
        <f>IF(JL41&lt;5,"Sin Riesgo",IF(JL41 &lt;=14,"Bajo",IF(JL41&lt;=35,"Medio",IF(JL41&lt;=80,"Alto","Inviable Sanitariamente"))))</f>
        <v>Inviable Sanitariamente</v>
      </c>
      <c r="JY41" s="117">
        <v>97.9</v>
      </c>
      <c r="KA41" s="117">
        <f>AVERAGE(JO41:JZ41)</f>
        <v>97.9</v>
      </c>
      <c r="KB41" s="117" t="str">
        <f>IF(KA41&lt;5,"SI","NO")</f>
        <v>NO</v>
      </c>
      <c r="KC41" s="117" t="str">
        <f>IF(KA41&lt;5,"Sin Riesgo",IF(KA41 &lt;=14,"Bajo",IF(KA41&lt;=35,"Medio",IF(KA41&lt;=80,"Alto","Inviable Sanitariamente"))))</f>
        <v>Inviable Sanitariamente</v>
      </c>
      <c r="KN41" s="117">
        <v>97.9</v>
      </c>
      <c r="KP41" s="117">
        <f>AVERAGE(KD41:KO41)</f>
        <v>97.9</v>
      </c>
      <c r="KQ41" s="117" t="str">
        <f>IF(KP41&lt;5,"SI","NO")</f>
        <v>NO</v>
      </c>
      <c r="KR41" s="117" t="str">
        <f>IF(KP41&lt;5,"Sin Riesgo",IF(KP41 &lt;=14,"Bajo",IF(KP41&lt;=35,"Medio",IF(KP41&lt;=80,"Alto","Inviable Sanitariamente"))))</f>
        <v>Inviable Sanitariamente</v>
      </c>
      <c r="LC41" s="117">
        <v>97.9</v>
      </c>
      <c r="LE41" s="117">
        <f>AVERAGE(KS41:LD41)</f>
        <v>97.9</v>
      </c>
      <c r="LF41" s="117" t="str">
        <f>IF(LE41&lt;5,"SI","NO")</f>
        <v>NO</v>
      </c>
      <c r="LG41" s="117" t="str">
        <f>IF(LE41&lt;5,"Sin Riesgo",IF(LE41 &lt;=14,"Bajo",IF(LE41&lt;=35,"Medio",IF(LE41&lt;=80,"Alto","Inviable Sanitariamente"))))</f>
        <v>Inviable Sanitariamente</v>
      </c>
      <c r="LR41" s="117">
        <v>97.9</v>
      </c>
      <c r="LT41" s="117">
        <f>AVERAGE(LH41:LS41)</f>
        <v>97.9</v>
      </c>
      <c r="LU41" s="117" t="str">
        <f>IF(LT41&lt;5,"SI","NO")</f>
        <v>NO</v>
      </c>
      <c r="LV41" s="117" t="str">
        <f>IF(LT41&lt;5,"Sin Riesgo",IF(LT41 &lt;=14,"Bajo",IF(LT41&lt;=35,"Medio",IF(LT41&lt;=80,"Alto","Inviable Sanitariamente"))))</f>
        <v>Inviable Sanitariamente</v>
      </c>
      <c r="MG41" s="117">
        <v>97.9</v>
      </c>
      <c r="MI41" s="117">
        <f>AVERAGE(LW41:MH41)</f>
        <v>97.9</v>
      </c>
      <c r="MJ41" s="117" t="str">
        <f>IF(MI41&lt;5,"SI","NO")</f>
        <v>NO</v>
      </c>
      <c r="MK41" s="117" t="str">
        <f>IF(MI41&lt;5,"Sin Riesgo",IF(MI41 &lt;=14,"Bajo",IF(MI41&lt;=35,"Medio",IF(MI41&lt;=80,"Alto","Inviable Sanitariamente"))))</f>
        <v>Inviable Sanitariamente</v>
      </c>
      <c r="MV41" s="117">
        <v>97.9</v>
      </c>
      <c r="MX41" s="117">
        <f>AVERAGE(ML41:MW41)</f>
        <v>97.9</v>
      </c>
      <c r="MY41" s="117" t="str">
        <f>IF(MX41&lt;5,"SI","NO")</f>
        <v>NO</v>
      </c>
      <c r="MZ41" s="117" t="str">
        <f>IF(MX41&lt;5,"Sin Riesgo",IF(MX41 &lt;=14,"Bajo",IF(MX41&lt;=35,"Medio",IF(MX41&lt;=80,"Alto","Inviable Sanitariamente"))))</f>
        <v>Inviable Sanitariamente</v>
      </c>
      <c r="NK41" s="117">
        <v>97.9</v>
      </c>
      <c r="NM41" s="117">
        <f>AVERAGE(NA41:NL41)</f>
        <v>97.9</v>
      </c>
      <c r="NN41" s="117" t="str">
        <f>IF(NM41&lt;5,"SI","NO")</f>
        <v>NO</v>
      </c>
      <c r="NO41" s="117" t="str">
        <f>IF(NM41&lt;5,"Sin Riesgo",IF(NM41 &lt;=14,"Bajo",IF(NM41&lt;=35,"Medio",IF(NM41&lt;=80,"Alto","Inviable Sanitariamente"))))</f>
        <v>Inviable Sanitariamente</v>
      </c>
      <c r="NZ41" s="117">
        <v>97.9</v>
      </c>
      <c r="OB41" s="117">
        <f>AVERAGE(NP41:OA41)</f>
        <v>97.9</v>
      </c>
      <c r="OC41" s="117" t="str">
        <f>IF(OB41&lt;5,"SI","NO")</f>
        <v>NO</v>
      </c>
      <c r="OD41" s="117" t="str">
        <f>IF(OB41&lt;5,"Sin Riesgo",IF(OB41 &lt;=14,"Bajo",IF(OB41&lt;=35,"Medio",IF(OB41&lt;=80,"Alto","Inviable Sanitariamente"))))</f>
        <v>Inviable Sanitariamente</v>
      </c>
      <c r="OO41" s="117">
        <v>97.9</v>
      </c>
      <c r="OQ41" s="117">
        <f>AVERAGE(OE41:OP41)</f>
        <v>97.9</v>
      </c>
      <c r="OR41" s="117" t="str">
        <f>IF(OQ41&lt;5,"SI","NO")</f>
        <v>NO</v>
      </c>
      <c r="OS41" s="117" t="str">
        <f>IF(OQ41&lt;5,"Sin Riesgo",IF(OQ41 &lt;=14,"Bajo",IF(OQ41&lt;=35,"Medio",IF(OQ41&lt;=80,"Alto","Inviable Sanitariamente"))))</f>
        <v>Inviable Sanitariamente</v>
      </c>
      <c r="PD41" s="117">
        <v>97.9</v>
      </c>
      <c r="PF41" s="117">
        <f>AVERAGE(OT41:PE41)</f>
        <v>97.9</v>
      </c>
      <c r="PG41" s="117" t="str">
        <f>IF(PF41&lt;5,"SI","NO")</f>
        <v>NO</v>
      </c>
      <c r="PH41" s="117" t="str">
        <f>IF(PF41&lt;5,"Sin Riesgo",IF(PF41 &lt;=14,"Bajo",IF(PF41&lt;=35,"Medio",IF(PF41&lt;=80,"Alto","Inviable Sanitariamente"))))</f>
        <v>Inviable Sanitariamente</v>
      </c>
      <c r="PS41" s="117">
        <v>97.9</v>
      </c>
      <c r="PU41" s="117">
        <f>AVERAGE(PI41:PT41)</f>
        <v>97.9</v>
      </c>
      <c r="PV41" s="117" t="str">
        <f>IF(PU41&lt;5,"SI","NO")</f>
        <v>NO</v>
      </c>
      <c r="PW41" s="117" t="str">
        <f>IF(PU41&lt;5,"Sin Riesgo",IF(PU41 &lt;=14,"Bajo",IF(PU41&lt;=35,"Medio",IF(PU41&lt;=80,"Alto","Inviable Sanitariamente"))))</f>
        <v>Inviable Sanitariamente</v>
      </c>
      <c r="QH41" s="117">
        <v>97.9</v>
      </c>
      <c r="QJ41" s="117">
        <f>AVERAGE(PX41:QI41)</f>
        <v>97.9</v>
      </c>
      <c r="QK41" s="117" t="str">
        <f>IF(QJ41&lt;5,"SI","NO")</f>
        <v>NO</v>
      </c>
      <c r="QL41" s="117" t="str">
        <f>IF(QJ41&lt;5,"Sin Riesgo",IF(QJ41 &lt;=14,"Bajo",IF(QJ41&lt;=35,"Medio",IF(QJ41&lt;=80,"Alto","Inviable Sanitariamente"))))</f>
        <v>Inviable Sanitariamente</v>
      </c>
      <c r="QW41" s="117">
        <v>97.9</v>
      </c>
      <c r="QY41" s="117">
        <f>AVERAGE(QM41:QX41)</f>
        <v>97.9</v>
      </c>
      <c r="QZ41" s="117" t="str">
        <f>IF(QY41&lt;5,"SI","NO")</f>
        <v>NO</v>
      </c>
      <c r="RA41" s="117" t="str">
        <f>IF(QY41&lt;5,"Sin Riesgo",IF(QY41 &lt;=14,"Bajo",IF(QY41&lt;=35,"Medio",IF(QY41&lt;=80,"Alto","Inviable Sanitariamente"))))</f>
        <v>Inviable Sanitariamente</v>
      </c>
      <c r="RL41" s="117">
        <v>97.9</v>
      </c>
      <c r="RN41" s="117">
        <f>AVERAGE(RB41:RM41)</f>
        <v>97.9</v>
      </c>
      <c r="RO41" s="117" t="str">
        <f>IF(RN41&lt;5,"SI","NO")</f>
        <v>NO</v>
      </c>
      <c r="RP41" s="117" t="str">
        <f>IF(RN41&lt;5,"Sin Riesgo",IF(RN41 &lt;=14,"Bajo",IF(RN41&lt;=35,"Medio",IF(RN41&lt;=80,"Alto","Inviable Sanitariamente"))))</f>
        <v>Inviable Sanitariamente</v>
      </c>
      <c r="SA41" s="117">
        <v>97.9</v>
      </c>
      <c r="SC41" s="117">
        <f>AVERAGE(RQ41:SB41)</f>
        <v>97.9</v>
      </c>
      <c r="SD41" s="117" t="str">
        <f>IF(SC41&lt;5,"SI","NO")</f>
        <v>NO</v>
      </c>
      <c r="SE41" s="117" t="str">
        <f>IF(SC41&lt;5,"Sin Riesgo",IF(SC41 &lt;=14,"Bajo",IF(SC41&lt;=35,"Medio",IF(SC41&lt;=80,"Alto","Inviable Sanitariamente"))))</f>
        <v>Inviable Sanitariamente</v>
      </c>
      <c r="SP41" s="117">
        <v>97.9</v>
      </c>
      <c r="SR41" s="117">
        <f>AVERAGE(SF41:SQ41)</f>
        <v>97.9</v>
      </c>
      <c r="SS41" s="117" t="str">
        <f>IF(SR41&lt;5,"SI","NO")</f>
        <v>NO</v>
      </c>
      <c r="ST41" s="117" t="str">
        <f>IF(SR41&lt;5,"Sin Riesgo",IF(SR41 &lt;=14,"Bajo",IF(SR41&lt;=35,"Medio",IF(SR41&lt;=80,"Alto","Inviable Sanitariamente"))))</f>
        <v>Inviable Sanitariamente</v>
      </c>
      <c r="TE41" s="117">
        <v>97.9</v>
      </c>
      <c r="TG41" s="117">
        <f>AVERAGE(SU41:TF41)</f>
        <v>97.9</v>
      </c>
      <c r="TH41" s="117" t="str">
        <f>IF(TG41&lt;5,"SI","NO")</f>
        <v>NO</v>
      </c>
      <c r="TI41" s="117" t="str">
        <f>IF(TG41&lt;5,"Sin Riesgo",IF(TG41 &lt;=14,"Bajo",IF(TG41&lt;=35,"Medio",IF(TG41&lt;=80,"Alto","Inviable Sanitariamente"))))</f>
        <v>Inviable Sanitariamente</v>
      </c>
      <c r="TT41" s="117">
        <v>97.9</v>
      </c>
      <c r="TV41" s="117">
        <f>AVERAGE(TJ41:TU41)</f>
        <v>97.9</v>
      </c>
      <c r="TW41" s="117" t="str">
        <f>IF(TV41&lt;5,"SI","NO")</f>
        <v>NO</v>
      </c>
      <c r="TX41" s="117" t="str">
        <f>IF(TV41&lt;5,"Sin Riesgo",IF(TV41 &lt;=14,"Bajo",IF(TV41&lt;=35,"Medio",IF(TV41&lt;=80,"Alto","Inviable Sanitariamente"))))</f>
        <v>Inviable Sanitariamente</v>
      </c>
      <c r="UI41" s="117">
        <v>97.9</v>
      </c>
      <c r="UK41" s="117">
        <f>AVERAGE(TY41:UJ41)</f>
        <v>97.9</v>
      </c>
      <c r="UL41" s="117" t="str">
        <f>IF(UK41&lt;5,"SI","NO")</f>
        <v>NO</v>
      </c>
      <c r="UM41" s="117" t="str">
        <f>IF(UK41&lt;5,"Sin Riesgo",IF(UK41 &lt;=14,"Bajo",IF(UK41&lt;=35,"Medio",IF(UK41&lt;=80,"Alto","Inviable Sanitariamente"))))</f>
        <v>Inviable Sanitariamente</v>
      </c>
      <c r="UX41" s="117">
        <v>97.9</v>
      </c>
      <c r="UZ41" s="117">
        <f>AVERAGE(UN41:UY41)</f>
        <v>97.9</v>
      </c>
      <c r="VA41" s="117" t="str">
        <f>IF(UZ41&lt;5,"SI","NO")</f>
        <v>NO</v>
      </c>
      <c r="VB41" s="117" t="str">
        <f>IF(UZ41&lt;5,"Sin Riesgo",IF(UZ41 &lt;=14,"Bajo",IF(UZ41&lt;=35,"Medio",IF(UZ41&lt;=80,"Alto","Inviable Sanitariamente"))))</f>
        <v>Inviable Sanitariamente</v>
      </c>
      <c r="VM41" s="117">
        <v>97.9</v>
      </c>
      <c r="VO41" s="117">
        <f>AVERAGE(VC41:VN41)</f>
        <v>97.9</v>
      </c>
      <c r="VP41" s="117" t="str">
        <f>IF(VO41&lt;5,"SI","NO")</f>
        <v>NO</v>
      </c>
      <c r="VQ41" s="117" t="str">
        <f>IF(VO41&lt;5,"Sin Riesgo",IF(VO41 &lt;=14,"Bajo",IF(VO41&lt;=35,"Medio",IF(VO41&lt;=80,"Alto","Inviable Sanitariamente"))))</f>
        <v>Inviable Sanitariamente</v>
      </c>
      <c r="WB41" s="117">
        <v>97.9</v>
      </c>
      <c r="WD41" s="117">
        <f>AVERAGE(VR41:WC41)</f>
        <v>97.9</v>
      </c>
      <c r="WE41" s="117" t="str">
        <f>IF(WD41&lt;5,"SI","NO")</f>
        <v>NO</v>
      </c>
      <c r="WF41" s="117" t="str">
        <f>IF(WD41&lt;5,"Sin Riesgo",IF(WD41 &lt;=14,"Bajo",IF(WD41&lt;=35,"Medio",IF(WD41&lt;=80,"Alto","Inviable Sanitariamente"))))</f>
        <v>Inviable Sanitariamente</v>
      </c>
      <c r="WQ41" s="117">
        <v>97.9</v>
      </c>
      <c r="WS41" s="117">
        <f>AVERAGE(WG41:WR41)</f>
        <v>97.9</v>
      </c>
      <c r="WT41" s="117" t="str">
        <f>IF(WS41&lt;5,"SI","NO")</f>
        <v>NO</v>
      </c>
      <c r="WU41" s="117" t="str">
        <f>IF(WS41&lt;5,"Sin Riesgo",IF(WS41 &lt;=14,"Bajo",IF(WS41&lt;=35,"Medio",IF(WS41&lt;=80,"Alto","Inviable Sanitariamente"))))</f>
        <v>Inviable Sanitariamente</v>
      </c>
      <c r="XF41" s="117">
        <v>97.9</v>
      </c>
      <c r="XH41" s="117">
        <f>AVERAGE(WV41:XG41)</f>
        <v>97.9</v>
      </c>
      <c r="XI41" s="117" t="str">
        <f>IF(XH41&lt;5,"SI","NO")</f>
        <v>NO</v>
      </c>
      <c r="XJ41" s="117" t="str">
        <f>IF(XH41&lt;5,"Sin Riesgo",IF(XH41 &lt;=14,"Bajo",IF(XH41&lt;=35,"Medio",IF(XH41&lt;=80,"Alto","Inviable Sanitariamente"))))</f>
        <v>Inviable Sanitariamente</v>
      </c>
      <c r="XU41" s="117">
        <v>97.9</v>
      </c>
      <c r="XW41" s="117">
        <f>AVERAGE(XK41:XV41)</f>
        <v>97.9</v>
      </c>
      <c r="XX41" s="117" t="str">
        <f>IF(XW41&lt;5,"SI","NO")</f>
        <v>NO</v>
      </c>
      <c r="XY41" s="117" t="str">
        <f>IF(XW41&lt;5,"Sin Riesgo",IF(XW41 &lt;=14,"Bajo",IF(XW41&lt;=35,"Medio",IF(XW41&lt;=80,"Alto","Inviable Sanitariamente"))))</f>
        <v>Inviable Sanitariamente</v>
      </c>
      <c r="YJ41" s="117">
        <v>97.9</v>
      </c>
      <c r="YL41" s="117">
        <f>AVERAGE(XZ41:YK41)</f>
        <v>97.9</v>
      </c>
      <c r="YM41" s="117" t="str">
        <f>IF(YL41&lt;5,"SI","NO")</f>
        <v>NO</v>
      </c>
      <c r="YN41" s="117" t="str">
        <f>IF(YL41&lt;5,"Sin Riesgo",IF(YL41 &lt;=14,"Bajo",IF(YL41&lt;=35,"Medio",IF(YL41&lt;=80,"Alto","Inviable Sanitariamente"))))</f>
        <v>Inviable Sanitariamente</v>
      </c>
      <c r="YY41" s="117">
        <v>97.9</v>
      </c>
      <c r="ZA41" s="117">
        <f>AVERAGE(YO41:YZ41)</f>
        <v>97.9</v>
      </c>
      <c r="ZB41" s="117" t="str">
        <f>IF(ZA41&lt;5,"SI","NO")</f>
        <v>NO</v>
      </c>
      <c r="ZC41" s="117" t="str">
        <f>IF(ZA41&lt;5,"Sin Riesgo",IF(ZA41 &lt;=14,"Bajo",IF(ZA41&lt;=35,"Medio",IF(ZA41&lt;=80,"Alto","Inviable Sanitariamente"))))</f>
        <v>Inviable Sanitariamente</v>
      </c>
      <c r="ZN41" s="117">
        <v>97.9</v>
      </c>
      <c r="ZP41" s="117">
        <f>AVERAGE(ZD41:ZO41)</f>
        <v>97.9</v>
      </c>
      <c r="ZQ41" s="117" t="str">
        <f>IF(ZP41&lt;5,"SI","NO")</f>
        <v>NO</v>
      </c>
      <c r="ZR41" s="117" t="str">
        <f>IF(ZP41&lt;5,"Sin Riesgo",IF(ZP41 &lt;=14,"Bajo",IF(ZP41&lt;=35,"Medio",IF(ZP41&lt;=80,"Alto","Inviable Sanitariamente"))))</f>
        <v>Inviable Sanitariamente</v>
      </c>
      <c r="AAC41" s="117">
        <v>97.9</v>
      </c>
      <c r="AAE41" s="117">
        <f>AVERAGE(ZS41:AAD41)</f>
        <v>97.9</v>
      </c>
      <c r="AAF41" s="117" t="str">
        <f>IF(AAE41&lt;5,"SI","NO")</f>
        <v>NO</v>
      </c>
      <c r="AAG41" s="117" t="str">
        <f>IF(AAE41&lt;5,"Sin Riesgo",IF(AAE41 &lt;=14,"Bajo",IF(AAE41&lt;=35,"Medio",IF(AAE41&lt;=80,"Alto","Inviable Sanitariamente"))))</f>
        <v>Inviable Sanitariamente</v>
      </c>
      <c r="AAR41" s="117">
        <v>97.9</v>
      </c>
      <c r="AAT41" s="117">
        <f>AVERAGE(AAH41:AAS41)</f>
        <v>97.9</v>
      </c>
      <c r="AAU41" s="117" t="str">
        <f>IF(AAT41&lt;5,"SI","NO")</f>
        <v>NO</v>
      </c>
      <c r="AAV41" s="117" t="str">
        <f>IF(AAT41&lt;5,"Sin Riesgo",IF(AAT41 &lt;=14,"Bajo",IF(AAT41&lt;=35,"Medio",IF(AAT41&lt;=80,"Alto","Inviable Sanitariamente"))))</f>
        <v>Inviable Sanitariamente</v>
      </c>
      <c r="ABG41" s="117">
        <v>97.9</v>
      </c>
      <c r="ABI41" s="117">
        <f>AVERAGE(AAW41:ABH41)</f>
        <v>97.9</v>
      </c>
      <c r="ABJ41" s="117" t="str">
        <f>IF(ABI41&lt;5,"SI","NO")</f>
        <v>NO</v>
      </c>
      <c r="ABK41" s="117" t="str">
        <f>IF(ABI41&lt;5,"Sin Riesgo",IF(ABI41 &lt;=14,"Bajo",IF(ABI41&lt;=35,"Medio",IF(ABI41&lt;=80,"Alto","Inviable Sanitariamente"))))</f>
        <v>Inviable Sanitariamente</v>
      </c>
      <c r="ABV41" s="117">
        <v>97.9</v>
      </c>
      <c r="ABX41" s="117">
        <f>AVERAGE(ABL41:ABW41)</f>
        <v>97.9</v>
      </c>
      <c r="ABY41" s="117" t="str">
        <f>IF(ABX41&lt;5,"SI","NO")</f>
        <v>NO</v>
      </c>
      <c r="ABZ41" s="117" t="str">
        <f>IF(ABX41&lt;5,"Sin Riesgo",IF(ABX41 &lt;=14,"Bajo",IF(ABX41&lt;=35,"Medio",IF(ABX41&lt;=80,"Alto","Inviable Sanitariamente"))))</f>
        <v>Inviable Sanitariamente</v>
      </c>
      <c r="ACK41" s="117">
        <v>97.9</v>
      </c>
      <c r="ACM41" s="117">
        <f>AVERAGE(ACA41:ACL41)</f>
        <v>97.9</v>
      </c>
      <c r="ACN41" s="117" t="str">
        <f>IF(ACM41&lt;5,"SI","NO")</f>
        <v>NO</v>
      </c>
      <c r="ACO41" s="117" t="str">
        <f>IF(ACM41&lt;5,"Sin Riesgo",IF(ACM41 &lt;=14,"Bajo",IF(ACM41&lt;=35,"Medio",IF(ACM41&lt;=80,"Alto","Inviable Sanitariamente"))))</f>
        <v>Inviable Sanitariamente</v>
      </c>
      <c r="ACZ41" s="117">
        <v>97.9</v>
      </c>
      <c r="ADB41" s="117">
        <f>AVERAGE(ACP41:ADA41)</f>
        <v>97.9</v>
      </c>
      <c r="ADC41" s="117" t="str">
        <f>IF(ADB41&lt;5,"SI","NO")</f>
        <v>NO</v>
      </c>
      <c r="ADD41" s="117" t="str">
        <f>IF(ADB41&lt;5,"Sin Riesgo",IF(ADB41 &lt;=14,"Bajo",IF(ADB41&lt;=35,"Medio",IF(ADB41&lt;=80,"Alto","Inviable Sanitariamente"))))</f>
        <v>Inviable Sanitariamente</v>
      </c>
      <c r="ADO41" s="117">
        <v>97.9</v>
      </c>
      <c r="ADQ41" s="117">
        <f>AVERAGE(ADE41:ADP41)</f>
        <v>97.9</v>
      </c>
      <c r="ADR41" s="117" t="str">
        <f>IF(ADQ41&lt;5,"SI","NO")</f>
        <v>NO</v>
      </c>
      <c r="ADS41" s="117" t="str">
        <f>IF(ADQ41&lt;5,"Sin Riesgo",IF(ADQ41 &lt;=14,"Bajo",IF(ADQ41&lt;=35,"Medio",IF(ADQ41&lt;=80,"Alto","Inviable Sanitariamente"))))</f>
        <v>Inviable Sanitariamente</v>
      </c>
      <c r="AED41" s="117">
        <v>97.9</v>
      </c>
      <c r="AEF41" s="117">
        <f>AVERAGE(ADT41:AEE41)</f>
        <v>97.9</v>
      </c>
      <c r="AEG41" s="117" t="str">
        <f>IF(AEF41&lt;5,"SI","NO")</f>
        <v>NO</v>
      </c>
      <c r="AEH41" s="117" t="str">
        <f>IF(AEF41&lt;5,"Sin Riesgo",IF(AEF41 &lt;=14,"Bajo",IF(AEF41&lt;=35,"Medio",IF(AEF41&lt;=80,"Alto","Inviable Sanitariamente"))))</f>
        <v>Inviable Sanitariamente</v>
      </c>
      <c r="AES41" s="117">
        <v>97.9</v>
      </c>
      <c r="AEU41" s="117">
        <f>AVERAGE(AEI41:AET41)</f>
        <v>97.9</v>
      </c>
      <c r="AEV41" s="117" t="str">
        <f>IF(AEU41&lt;5,"SI","NO")</f>
        <v>NO</v>
      </c>
      <c r="AEW41" s="117" t="str">
        <f>IF(AEU41&lt;5,"Sin Riesgo",IF(AEU41 &lt;=14,"Bajo",IF(AEU41&lt;=35,"Medio",IF(AEU41&lt;=80,"Alto","Inviable Sanitariamente"))))</f>
        <v>Inviable Sanitariamente</v>
      </c>
      <c r="AFH41" s="117">
        <v>97.9</v>
      </c>
      <c r="AFJ41" s="117">
        <f>AVERAGE(AEX41:AFI41)</f>
        <v>97.9</v>
      </c>
      <c r="AFK41" s="117" t="str">
        <f>IF(AFJ41&lt;5,"SI","NO")</f>
        <v>NO</v>
      </c>
      <c r="AFL41" s="117" t="str">
        <f>IF(AFJ41&lt;5,"Sin Riesgo",IF(AFJ41 &lt;=14,"Bajo",IF(AFJ41&lt;=35,"Medio",IF(AFJ41&lt;=80,"Alto","Inviable Sanitariamente"))))</f>
        <v>Inviable Sanitariamente</v>
      </c>
      <c r="AFW41" s="117">
        <v>97.9</v>
      </c>
      <c r="AFY41" s="117">
        <f>AVERAGE(AFM41:AFX41)</f>
        <v>97.9</v>
      </c>
      <c r="AFZ41" s="117" t="str">
        <f>IF(AFY41&lt;5,"SI","NO")</f>
        <v>NO</v>
      </c>
      <c r="AGA41" s="117" t="str">
        <f>IF(AFY41&lt;5,"Sin Riesgo",IF(AFY41 &lt;=14,"Bajo",IF(AFY41&lt;=35,"Medio",IF(AFY41&lt;=80,"Alto","Inviable Sanitariamente"))))</f>
        <v>Inviable Sanitariamente</v>
      </c>
      <c r="AGL41" s="117">
        <v>97.9</v>
      </c>
      <c r="AGN41" s="117">
        <f>AVERAGE(AGB41:AGM41)</f>
        <v>97.9</v>
      </c>
      <c r="AGO41" s="117" t="str">
        <f>IF(AGN41&lt;5,"SI","NO")</f>
        <v>NO</v>
      </c>
      <c r="AGP41" s="117" t="str">
        <f>IF(AGN41&lt;5,"Sin Riesgo",IF(AGN41 &lt;=14,"Bajo",IF(AGN41&lt;=35,"Medio",IF(AGN41&lt;=80,"Alto","Inviable Sanitariamente"))))</f>
        <v>Inviable Sanitariamente</v>
      </c>
      <c r="AHA41" s="117">
        <v>97.9</v>
      </c>
      <c r="AHC41" s="117">
        <f>AVERAGE(AGQ41:AHB41)</f>
        <v>97.9</v>
      </c>
      <c r="AHD41" s="117" t="str">
        <f>IF(AHC41&lt;5,"SI","NO")</f>
        <v>NO</v>
      </c>
      <c r="AHE41" s="117" t="str">
        <f>IF(AHC41&lt;5,"Sin Riesgo",IF(AHC41 &lt;=14,"Bajo",IF(AHC41&lt;=35,"Medio",IF(AHC41&lt;=80,"Alto","Inviable Sanitariamente"))))</f>
        <v>Inviable Sanitariamente</v>
      </c>
      <c r="AHP41" s="117">
        <v>97.9</v>
      </c>
      <c r="AHR41" s="117">
        <f>AVERAGE(AHF41:AHQ41)</f>
        <v>97.9</v>
      </c>
      <c r="AHS41" s="117" t="str">
        <f>IF(AHR41&lt;5,"SI","NO")</f>
        <v>NO</v>
      </c>
      <c r="AHT41" s="117" t="str">
        <f>IF(AHR41&lt;5,"Sin Riesgo",IF(AHR41 &lt;=14,"Bajo",IF(AHR41&lt;=35,"Medio",IF(AHR41&lt;=80,"Alto","Inviable Sanitariamente"))))</f>
        <v>Inviable Sanitariamente</v>
      </c>
      <c r="AIE41" s="117">
        <v>97.9</v>
      </c>
      <c r="AIG41" s="117">
        <f>AVERAGE(AHU41:AIF41)</f>
        <v>97.9</v>
      </c>
      <c r="AIH41" s="117" t="str">
        <f>IF(AIG41&lt;5,"SI","NO")</f>
        <v>NO</v>
      </c>
      <c r="AII41" s="117" t="str">
        <f>IF(AIG41&lt;5,"Sin Riesgo",IF(AIG41 &lt;=14,"Bajo",IF(AIG41&lt;=35,"Medio",IF(AIG41&lt;=80,"Alto","Inviable Sanitariamente"))))</f>
        <v>Inviable Sanitariamente</v>
      </c>
      <c r="AIT41" s="117">
        <v>97.9</v>
      </c>
      <c r="AIV41" s="117">
        <f>AVERAGE(AIJ41:AIU41)</f>
        <v>97.9</v>
      </c>
      <c r="AIW41" s="117" t="str">
        <f>IF(AIV41&lt;5,"SI","NO")</f>
        <v>NO</v>
      </c>
      <c r="AIX41" s="117" t="str">
        <f>IF(AIV41&lt;5,"Sin Riesgo",IF(AIV41 &lt;=14,"Bajo",IF(AIV41&lt;=35,"Medio",IF(AIV41&lt;=80,"Alto","Inviable Sanitariamente"))))</f>
        <v>Inviable Sanitariamente</v>
      </c>
      <c r="AJI41" s="117">
        <v>97.9</v>
      </c>
      <c r="AJK41" s="117">
        <f>AVERAGE(AIY41:AJJ41)</f>
        <v>97.9</v>
      </c>
      <c r="AJL41" s="117" t="str">
        <f>IF(AJK41&lt;5,"SI","NO")</f>
        <v>NO</v>
      </c>
      <c r="AJM41" s="117" t="str">
        <f>IF(AJK41&lt;5,"Sin Riesgo",IF(AJK41 &lt;=14,"Bajo",IF(AJK41&lt;=35,"Medio",IF(AJK41&lt;=80,"Alto","Inviable Sanitariamente"))))</f>
        <v>Inviable Sanitariamente</v>
      </c>
      <c r="AJX41" s="117">
        <v>97.9</v>
      </c>
      <c r="AJZ41" s="117">
        <f>AVERAGE(AJN41:AJY41)</f>
        <v>97.9</v>
      </c>
      <c r="AKA41" s="117" t="str">
        <f>IF(AJZ41&lt;5,"SI","NO")</f>
        <v>NO</v>
      </c>
      <c r="AKB41" s="117" t="str">
        <f>IF(AJZ41&lt;5,"Sin Riesgo",IF(AJZ41 &lt;=14,"Bajo",IF(AJZ41&lt;=35,"Medio",IF(AJZ41&lt;=80,"Alto","Inviable Sanitariamente"))))</f>
        <v>Inviable Sanitariamente</v>
      </c>
      <c r="AKM41" s="117">
        <v>97.9</v>
      </c>
      <c r="AKO41" s="117">
        <f>AVERAGE(AKC41:AKN41)</f>
        <v>97.9</v>
      </c>
      <c r="AKP41" s="117" t="str">
        <f>IF(AKO41&lt;5,"SI","NO")</f>
        <v>NO</v>
      </c>
      <c r="AKQ41" s="117" t="str">
        <f>IF(AKO41&lt;5,"Sin Riesgo",IF(AKO41 &lt;=14,"Bajo",IF(AKO41&lt;=35,"Medio",IF(AKO41&lt;=80,"Alto","Inviable Sanitariamente"))))</f>
        <v>Inviable Sanitariamente</v>
      </c>
      <c r="ALB41" s="117">
        <v>97.9</v>
      </c>
      <c r="ALD41" s="117">
        <f>AVERAGE(AKR41:ALC41)</f>
        <v>97.9</v>
      </c>
      <c r="ALE41" s="117" t="str">
        <f>IF(ALD41&lt;5,"SI","NO")</f>
        <v>NO</v>
      </c>
      <c r="ALF41" s="117" t="str">
        <f>IF(ALD41&lt;5,"Sin Riesgo",IF(ALD41 &lt;=14,"Bajo",IF(ALD41&lt;=35,"Medio",IF(ALD41&lt;=80,"Alto","Inviable Sanitariamente"))))</f>
        <v>Inviable Sanitariamente</v>
      </c>
      <c r="ALQ41" s="117">
        <v>97.9</v>
      </c>
      <c r="ALS41" s="117">
        <f>AVERAGE(ALG41:ALR41)</f>
        <v>97.9</v>
      </c>
      <c r="ALT41" s="117" t="str">
        <f>IF(ALS41&lt;5,"SI","NO")</f>
        <v>NO</v>
      </c>
      <c r="ALU41" s="117" t="str">
        <f>IF(ALS41&lt;5,"Sin Riesgo",IF(ALS41 &lt;=14,"Bajo",IF(ALS41&lt;=35,"Medio",IF(ALS41&lt;=80,"Alto","Inviable Sanitariamente"))))</f>
        <v>Inviable Sanitariamente</v>
      </c>
      <c r="AMF41" s="117">
        <v>97.9</v>
      </c>
      <c r="AMH41" s="117">
        <f>AVERAGE(ALV41:AMG41)</f>
        <v>97.9</v>
      </c>
      <c r="AMI41" s="117" t="str">
        <f>IF(AMH41&lt;5,"SI","NO")</f>
        <v>NO</v>
      </c>
      <c r="AMJ41" s="117" t="str">
        <f>IF(AMH41&lt;5,"Sin Riesgo",IF(AMH41 &lt;=14,"Bajo",IF(AMH41&lt;=35,"Medio",IF(AMH41&lt;=80,"Alto","Inviable Sanitariamente"))))</f>
        <v>Inviable Sanitariamente</v>
      </c>
      <c r="AMU41" s="117">
        <v>97.9</v>
      </c>
      <c r="AMW41" s="117">
        <f>AVERAGE(AMK41:AMV41)</f>
        <v>97.9</v>
      </c>
      <c r="AMX41" s="117" t="str">
        <f>IF(AMW41&lt;5,"SI","NO")</f>
        <v>NO</v>
      </c>
      <c r="AMY41" s="117" t="str">
        <f>IF(AMW41&lt;5,"Sin Riesgo",IF(AMW41 &lt;=14,"Bajo",IF(AMW41&lt;=35,"Medio",IF(AMW41&lt;=80,"Alto","Inviable Sanitariamente"))))</f>
        <v>Inviable Sanitariamente</v>
      </c>
      <c r="ANJ41" s="117">
        <v>97.9</v>
      </c>
      <c r="ANL41" s="117">
        <f>AVERAGE(AMZ41:ANK41)</f>
        <v>97.9</v>
      </c>
      <c r="ANM41" s="117" t="str">
        <f>IF(ANL41&lt;5,"SI","NO")</f>
        <v>NO</v>
      </c>
      <c r="ANN41" s="117" t="str">
        <f>IF(ANL41&lt;5,"Sin Riesgo",IF(ANL41 &lt;=14,"Bajo",IF(ANL41&lt;=35,"Medio",IF(ANL41&lt;=80,"Alto","Inviable Sanitariamente"))))</f>
        <v>Inviable Sanitariamente</v>
      </c>
      <c r="ANY41" s="117">
        <v>97.9</v>
      </c>
      <c r="AOA41" s="117">
        <f>AVERAGE(ANO41:ANZ41)</f>
        <v>97.9</v>
      </c>
      <c r="AOB41" s="117" t="str">
        <f>IF(AOA41&lt;5,"SI","NO")</f>
        <v>NO</v>
      </c>
      <c r="AOC41" s="117" t="str">
        <f>IF(AOA41&lt;5,"Sin Riesgo",IF(AOA41 &lt;=14,"Bajo",IF(AOA41&lt;=35,"Medio",IF(AOA41&lt;=80,"Alto","Inviable Sanitariamente"))))</f>
        <v>Inviable Sanitariamente</v>
      </c>
      <c r="AON41" s="117">
        <v>97.9</v>
      </c>
      <c r="AOP41" s="117">
        <f>AVERAGE(AOD41:AOO41)</f>
        <v>97.9</v>
      </c>
      <c r="AOQ41" s="117" t="str">
        <f>IF(AOP41&lt;5,"SI","NO")</f>
        <v>NO</v>
      </c>
      <c r="AOR41" s="117" t="str">
        <f>IF(AOP41&lt;5,"Sin Riesgo",IF(AOP41 &lt;=14,"Bajo",IF(AOP41&lt;=35,"Medio",IF(AOP41&lt;=80,"Alto","Inviable Sanitariamente"))))</f>
        <v>Inviable Sanitariamente</v>
      </c>
      <c r="APC41" s="117">
        <v>97.9</v>
      </c>
      <c r="APE41" s="117">
        <f>AVERAGE(AOS41:APD41)</f>
        <v>97.9</v>
      </c>
      <c r="APF41" s="117" t="str">
        <f>IF(APE41&lt;5,"SI","NO")</f>
        <v>NO</v>
      </c>
      <c r="APG41" s="117" t="str">
        <f>IF(APE41&lt;5,"Sin Riesgo",IF(APE41 &lt;=14,"Bajo",IF(APE41&lt;=35,"Medio",IF(APE41&lt;=80,"Alto","Inviable Sanitariamente"))))</f>
        <v>Inviable Sanitariamente</v>
      </c>
      <c r="APR41" s="117">
        <v>97.9</v>
      </c>
      <c r="APT41" s="117">
        <f>AVERAGE(APH41:APS41)</f>
        <v>97.9</v>
      </c>
      <c r="APU41" s="117" t="str">
        <f>IF(APT41&lt;5,"SI","NO")</f>
        <v>NO</v>
      </c>
      <c r="APV41" s="117" t="str">
        <f>IF(APT41&lt;5,"Sin Riesgo",IF(APT41 &lt;=14,"Bajo",IF(APT41&lt;=35,"Medio",IF(APT41&lt;=80,"Alto","Inviable Sanitariamente"))))</f>
        <v>Inviable Sanitariamente</v>
      </c>
      <c r="AQG41" s="117">
        <v>97.9</v>
      </c>
      <c r="AQI41" s="117">
        <f>AVERAGE(APW41:AQH41)</f>
        <v>97.9</v>
      </c>
      <c r="AQJ41" s="117" t="str">
        <f>IF(AQI41&lt;5,"SI","NO")</f>
        <v>NO</v>
      </c>
      <c r="AQK41" s="117" t="str">
        <f>IF(AQI41&lt;5,"Sin Riesgo",IF(AQI41 &lt;=14,"Bajo",IF(AQI41&lt;=35,"Medio",IF(AQI41&lt;=80,"Alto","Inviable Sanitariamente"))))</f>
        <v>Inviable Sanitariamente</v>
      </c>
      <c r="AQV41" s="117">
        <v>97.9</v>
      </c>
      <c r="AQX41" s="117">
        <f>AVERAGE(AQL41:AQW41)</f>
        <v>97.9</v>
      </c>
      <c r="AQY41" s="117" t="str">
        <f>IF(AQX41&lt;5,"SI","NO")</f>
        <v>NO</v>
      </c>
      <c r="AQZ41" s="117" t="str">
        <f>IF(AQX41&lt;5,"Sin Riesgo",IF(AQX41 &lt;=14,"Bajo",IF(AQX41&lt;=35,"Medio",IF(AQX41&lt;=80,"Alto","Inviable Sanitariamente"))))</f>
        <v>Inviable Sanitariamente</v>
      </c>
      <c r="ARK41" s="117">
        <v>97.9</v>
      </c>
      <c r="ARM41" s="117">
        <f>AVERAGE(ARA41:ARL41)</f>
        <v>97.9</v>
      </c>
      <c r="ARN41" s="117" t="str">
        <f>IF(ARM41&lt;5,"SI","NO")</f>
        <v>NO</v>
      </c>
      <c r="ARO41" s="117" t="str">
        <f>IF(ARM41&lt;5,"Sin Riesgo",IF(ARM41 &lt;=14,"Bajo",IF(ARM41&lt;=35,"Medio",IF(ARM41&lt;=80,"Alto","Inviable Sanitariamente"))))</f>
        <v>Inviable Sanitariamente</v>
      </c>
      <c r="ARZ41" s="117">
        <v>97.9</v>
      </c>
      <c r="ASB41" s="117">
        <f>AVERAGE(ARP41:ASA41)</f>
        <v>97.9</v>
      </c>
      <c r="ASC41" s="117" t="str">
        <f>IF(ASB41&lt;5,"SI","NO")</f>
        <v>NO</v>
      </c>
      <c r="ASD41" s="117" t="str">
        <f>IF(ASB41&lt;5,"Sin Riesgo",IF(ASB41 &lt;=14,"Bajo",IF(ASB41&lt;=35,"Medio",IF(ASB41&lt;=80,"Alto","Inviable Sanitariamente"))))</f>
        <v>Inviable Sanitariamente</v>
      </c>
      <c r="ASO41" s="117">
        <v>97.9</v>
      </c>
      <c r="ASQ41" s="117">
        <f>AVERAGE(ASE41:ASP41)</f>
        <v>97.9</v>
      </c>
      <c r="ASR41" s="117" t="str">
        <f>IF(ASQ41&lt;5,"SI","NO")</f>
        <v>NO</v>
      </c>
      <c r="ASS41" s="117" t="str">
        <f>IF(ASQ41&lt;5,"Sin Riesgo",IF(ASQ41 &lt;=14,"Bajo",IF(ASQ41&lt;=35,"Medio",IF(ASQ41&lt;=80,"Alto","Inviable Sanitariamente"))))</f>
        <v>Inviable Sanitariamente</v>
      </c>
      <c r="ATD41" s="117">
        <v>97.9</v>
      </c>
      <c r="ATF41" s="117">
        <f>AVERAGE(AST41:ATE41)</f>
        <v>97.9</v>
      </c>
      <c r="ATG41" s="117" t="str">
        <f>IF(ATF41&lt;5,"SI","NO")</f>
        <v>NO</v>
      </c>
      <c r="ATH41" s="117" t="str">
        <f>IF(ATF41&lt;5,"Sin Riesgo",IF(ATF41 &lt;=14,"Bajo",IF(ATF41&lt;=35,"Medio",IF(ATF41&lt;=80,"Alto","Inviable Sanitariamente"))))</f>
        <v>Inviable Sanitariamente</v>
      </c>
      <c r="ATS41" s="117">
        <v>97.9</v>
      </c>
      <c r="ATU41" s="117">
        <f>AVERAGE(ATI41:ATT41)</f>
        <v>97.9</v>
      </c>
      <c r="ATV41" s="117" t="str">
        <f>IF(ATU41&lt;5,"SI","NO")</f>
        <v>NO</v>
      </c>
      <c r="ATW41" s="117" t="str">
        <f>IF(ATU41&lt;5,"Sin Riesgo",IF(ATU41 &lt;=14,"Bajo",IF(ATU41&lt;=35,"Medio",IF(ATU41&lt;=80,"Alto","Inviable Sanitariamente"))))</f>
        <v>Inviable Sanitariamente</v>
      </c>
      <c r="AUH41" s="117">
        <v>97.9</v>
      </c>
      <c r="AUJ41" s="117">
        <f>AVERAGE(ATX41:AUI41)</f>
        <v>97.9</v>
      </c>
      <c r="AUK41" s="117" t="str">
        <f>IF(AUJ41&lt;5,"SI","NO")</f>
        <v>NO</v>
      </c>
      <c r="AUL41" s="117" t="str">
        <f>IF(AUJ41&lt;5,"Sin Riesgo",IF(AUJ41 &lt;=14,"Bajo",IF(AUJ41&lt;=35,"Medio",IF(AUJ41&lt;=80,"Alto","Inviable Sanitariamente"))))</f>
        <v>Inviable Sanitariamente</v>
      </c>
      <c r="AUW41" s="117">
        <v>97.9</v>
      </c>
      <c r="AUY41" s="117">
        <f>AVERAGE(AUM41:AUX41)</f>
        <v>97.9</v>
      </c>
      <c r="AUZ41" s="117" t="str">
        <f>IF(AUY41&lt;5,"SI","NO")</f>
        <v>NO</v>
      </c>
      <c r="AVA41" s="117" t="str">
        <f>IF(AUY41&lt;5,"Sin Riesgo",IF(AUY41 &lt;=14,"Bajo",IF(AUY41&lt;=35,"Medio",IF(AUY41&lt;=80,"Alto","Inviable Sanitariamente"))))</f>
        <v>Inviable Sanitariamente</v>
      </c>
      <c r="AVL41" s="117">
        <v>97.9</v>
      </c>
      <c r="AVN41" s="117">
        <f>AVERAGE(AVB41:AVM41)</f>
        <v>97.9</v>
      </c>
      <c r="AVO41" s="117" t="str">
        <f>IF(AVN41&lt;5,"SI","NO")</f>
        <v>NO</v>
      </c>
      <c r="AVP41" s="117" t="str">
        <f>IF(AVN41&lt;5,"Sin Riesgo",IF(AVN41 &lt;=14,"Bajo",IF(AVN41&lt;=35,"Medio",IF(AVN41&lt;=80,"Alto","Inviable Sanitariamente"))))</f>
        <v>Inviable Sanitariamente</v>
      </c>
      <c r="AWA41" s="117">
        <v>97.9</v>
      </c>
      <c r="AWC41" s="117">
        <f>AVERAGE(AVQ41:AWB41)</f>
        <v>97.9</v>
      </c>
      <c r="AWD41" s="117" t="str">
        <f>IF(AWC41&lt;5,"SI","NO")</f>
        <v>NO</v>
      </c>
      <c r="AWE41" s="117" t="str">
        <f>IF(AWC41&lt;5,"Sin Riesgo",IF(AWC41 &lt;=14,"Bajo",IF(AWC41&lt;=35,"Medio",IF(AWC41&lt;=80,"Alto","Inviable Sanitariamente"))))</f>
        <v>Inviable Sanitariamente</v>
      </c>
      <c r="AWP41" s="117">
        <v>97.9</v>
      </c>
      <c r="AWR41" s="117">
        <f>AVERAGE(AWF41:AWQ41)</f>
        <v>97.9</v>
      </c>
      <c r="AWS41" s="117" t="str">
        <f>IF(AWR41&lt;5,"SI","NO")</f>
        <v>NO</v>
      </c>
      <c r="AWT41" s="117" t="str">
        <f>IF(AWR41&lt;5,"Sin Riesgo",IF(AWR41 &lt;=14,"Bajo",IF(AWR41&lt;=35,"Medio",IF(AWR41&lt;=80,"Alto","Inviable Sanitariamente"))))</f>
        <v>Inviable Sanitariamente</v>
      </c>
      <c r="AXE41" s="117">
        <v>97.9</v>
      </c>
      <c r="AXG41" s="117">
        <f>AVERAGE(AWU41:AXF41)</f>
        <v>97.9</v>
      </c>
      <c r="AXH41" s="117" t="str">
        <f>IF(AXG41&lt;5,"SI","NO")</f>
        <v>NO</v>
      </c>
      <c r="AXI41" s="117" t="str">
        <f>IF(AXG41&lt;5,"Sin Riesgo",IF(AXG41 &lt;=14,"Bajo",IF(AXG41&lt;=35,"Medio",IF(AXG41&lt;=80,"Alto","Inviable Sanitariamente"))))</f>
        <v>Inviable Sanitariamente</v>
      </c>
      <c r="AXT41" s="117">
        <v>97.9</v>
      </c>
      <c r="AXV41" s="117">
        <f>AVERAGE(AXJ41:AXU41)</f>
        <v>97.9</v>
      </c>
      <c r="AXW41" s="117" t="str">
        <f>IF(AXV41&lt;5,"SI","NO")</f>
        <v>NO</v>
      </c>
      <c r="AXX41" s="117" t="str">
        <f>IF(AXV41&lt;5,"Sin Riesgo",IF(AXV41 &lt;=14,"Bajo",IF(AXV41&lt;=35,"Medio",IF(AXV41&lt;=80,"Alto","Inviable Sanitariamente"))))</f>
        <v>Inviable Sanitariamente</v>
      </c>
      <c r="AYI41" s="117">
        <v>97.9</v>
      </c>
      <c r="AYK41" s="117">
        <f>AVERAGE(AXY41:AYJ41)</f>
        <v>97.9</v>
      </c>
      <c r="AYL41" s="117" t="str">
        <f>IF(AYK41&lt;5,"SI","NO")</f>
        <v>NO</v>
      </c>
      <c r="AYM41" s="117" t="str">
        <f>IF(AYK41&lt;5,"Sin Riesgo",IF(AYK41 &lt;=14,"Bajo",IF(AYK41&lt;=35,"Medio",IF(AYK41&lt;=80,"Alto","Inviable Sanitariamente"))))</f>
        <v>Inviable Sanitariamente</v>
      </c>
      <c r="AYX41" s="117">
        <v>97.9</v>
      </c>
      <c r="AYZ41" s="117">
        <f>AVERAGE(AYN41:AYY41)</f>
        <v>97.9</v>
      </c>
      <c r="AZA41" s="117" t="str">
        <f>IF(AYZ41&lt;5,"SI","NO")</f>
        <v>NO</v>
      </c>
      <c r="AZB41" s="117" t="str">
        <f>IF(AYZ41&lt;5,"Sin Riesgo",IF(AYZ41 &lt;=14,"Bajo",IF(AYZ41&lt;=35,"Medio",IF(AYZ41&lt;=80,"Alto","Inviable Sanitariamente"))))</f>
        <v>Inviable Sanitariamente</v>
      </c>
      <c r="AZM41" s="117">
        <v>97.9</v>
      </c>
      <c r="AZO41" s="117">
        <f>AVERAGE(AZC41:AZN41)</f>
        <v>97.9</v>
      </c>
      <c r="AZP41" s="117" t="str">
        <f>IF(AZO41&lt;5,"SI","NO")</f>
        <v>NO</v>
      </c>
      <c r="AZQ41" s="117" t="str">
        <f>IF(AZO41&lt;5,"Sin Riesgo",IF(AZO41 &lt;=14,"Bajo",IF(AZO41&lt;=35,"Medio",IF(AZO41&lt;=80,"Alto","Inviable Sanitariamente"))))</f>
        <v>Inviable Sanitariamente</v>
      </c>
      <c r="BAB41" s="117">
        <v>97.9</v>
      </c>
      <c r="BAD41" s="117">
        <f>AVERAGE(AZR41:BAC41)</f>
        <v>97.9</v>
      </c>
      <c r="BAE41" s="117" t="str">
        <f>IF(BAD41&lt;5,"SI","NO")</f>
        <v>NO</v>
      </c>
      <c r="BAF41" s="117" t="str">
        <f>IF(BAD41&lt;5,"Sin Riesgo",IF(BAD41 &lt;=14,"Bajo",IF(BAD41&lt;=35,"Medio",IF(BAD41&lt;=80,"Alto","Inviable Sanitariamente"))))</f>
        <v>Inviable Sanitariamente</v>
      </c>
      <c r="BAQ41" s="117">
        <v>97.9</v>
      </c>
      <c r="BAS41" s="117">
        <f>AVERAGE(BAG41:BAR41)</f>
        <v>97.9</v>
      </c>
      <c r="BAT41" s="117" t="str">
        <f>IF(BAS41&lt;5,"SI","NO")</f>
        <v>NO</v>
      </c>
      <c r="BAU41" s="117" t="str">
        <f>IF(BAS41&lt;5,"Sin Riesgo",IF(BAS41 &lt;=14,"Bajo",IF(BAS41&lt;=35,"Medio",IF(BAS41&lt;=80,"Alto","Inviable Sanitariamente"))))</f>
        <v>Inviable Sanitariamente</v>
      </c>
      <c r="BBF41" s="117">
        <v>97.9</v>
      </c>
      <c r="BBH41" s="117">
        <f>AVERAGE(BAV41:BBG41)</f>
        <v>97.9</v>
      </c>
      <c r="BBI41" s="117" t="str">
        <f>IF(BBH41&lt;5,"SI","NO")</f>
        <v>NO</v>
      </c>
      <c r="BBJ41" s="117" t="str">
        <f>IF(BBH41&lt;5,"Sin Riesgo",IF(BBH41 &lt;=14,"Bajo",IF(BBH41&lt;=35,"Medio",IF(BBH41&lt;=80,"Alto","Inviable Sanitariamente"))))</f>
        <v>Inviable Sanitariamente</v>
      </c>
      <c r="BBU41" s="117">
        <v>97.9</v>
      </c>
      <c r="BBW41" s="117">
        <f>AVERAGE(BBK41:BBV41)</f>
        <v>97.9</v>
      </c>
      <c r="BBX41" s="117" t="str">
        <f>IF(BBW41&lt;5,"SI","NO")</f>
        <v>NO</v>
      </c>
      <c r="BBY41" s="117" t="str">
        <f>IF(BBW41&lt;5,"Sin Riesgo",IF(BBW41 &lt;=14,"Bajo",IF(BBW41&lt;=35,"Medio",IF(BBW41&lt;=80,"Alto","Inviable Sanitariamente"))))</f>
        <v>Inviable Sanitariamente</v>
      </c>
      <c r="BCJ41" s="117">
        <v>97.9</v>
      </c>
      <c r="BCL41" s="117">
        <f>AVERAGE(BBZ41:BCK41)</f>
        <v>97.9</v>
      </c>
      <c r="BCM41" s="117" t="str">
        <f>IF(BCL41&lt;5,"SI","NO")</f>
        <v>NO</v>
      </c>
      <c r="BCN41" s="117" t="str">
        <f>IF(BCL41&lt;5,"Sin Riesgo",IF(BCL41 &lt;=14,"Bajo",IF(BCL41&lt;=35,"Medio",IF(BCL41&lt;=80,"Alto","Inviable Sanitariamente"))))</f>
        <v>Inviable Sanitariamente</v>
      </c>
      <c r="BCY41" s="117">
        <v>97.9</v>
      </c>
      <c r="BDA41" s="117">
        <f>AVERAGE(BCO41:BCZ41)</f>
        <v>97.9</v>
      </c>
      <c r="BDB41" s="117" t="str">
        <f>IF(BDA41&lt;5,"SI","NO")</f>
        <v>NO</v>
      </c>
      <c r="BDC41" s="117" t="str">
        <f>IF(BDA41&lt;5,"Sin Riesgo",IF(BDA41 &lt;=14,"Bajo",IF(BDA41&lt;=35,"Medio",IF(BDA41&lt;=80,"Alto","Inviable Sanitariamente"))))</f>
        <v>Inviable Sanitariamente</v>
      </c>
      <c r="BDN41" s="117">
        <v>97.9</v>
      </c>
      <c r="BDP41" s="117">
        <f>AVERAGE(BDD41:BDO41)</f>
        <v>97.9</v>
      </c>
      <c r="BDQ41" s="117" t="str">
        <f>IF(BDP41&lt;5,"SI","NO")</f>
        <v>NO</v>
      </c>
      <c r="BDR41" s="117" t="str">
        <f>IF(BDP41&lt;5,"Sin Riesgo",IF(BDP41 &lt;=14,"Bajo",IF(BDP41&lt;=35,"Medio",IF(BDP41&lt;=80,"Alto","Inviable Sanitariamente"))))</f>
        <v>Inviable Sanitariamente</v>
      </c>
      <c r="BEC41" s="117">
        <v>97.9</v>
      </c>
      <c r="BEE41" s="117">
        <f>AVERAGE(BDS41:BED41)</f>
        <v>97.9</v>
      </c>
      <c r="BEF41" s="117" t="str">
        <f>IF(BEE41&lt;5,"SI","NO")</f>
        <v>NO</v>
      </c>
      <c r="BEG41" s="117" t="str">
        <f>IF(BEE41&lt;5,"Sin Riesgo",IF(BEE41 &lt;=14,"Bajo",IF(BEE41&lt;=35,"Medio",IF(BEE41&lt;=80,"Alto","Inviable Sanitariamente"))))</f>
        <v>Inviable Sanitariamente</v>
      </c>
      <c r="BER41" s="117">
        <v>97.9</v>
      </c>
      <c r="BET41" s="117">
        <f>AVERAGE(BEH41:BES41)</f>
        <v>97.9</v>
      </c>
      <c r="BEU41" s="117" t="str">
        <f>IF(BET41&lt;5,"SI","NO")</f>
        <v>NO</v>
      </c>
      <c r="BEV41" s="117" t="str">
        <f>IF(BET41&lt;5,"Sin Riesgo",IF(BET41 &lt;=14,"Bajo",IF(BET41&lt;=35,"Medio",IF(BET41&lt;=80,"Alto","Inviable Sanitariamente"))))</f>
        <v>Inviable Sanitariamente</v>
      </c>
      <c r="BFG41" s="117">
        <v>97.9</v>
      </c>
      <c r="BFI41" s="117">
        <f>AVERAGE(BEW41:BFH41)</f>
        <v>97.9</v>
      </c>
      <c r="BFJ41" s="117" t="str">
        <f>IF(BFI41&lt;5,"SI","NO")</f>
        <v>NO</v>
      </c>
      <c r="BFK41" s="117" t="str">
        <f>IF(BFI41&lt;5,"Sin Riesgo",IF(BFI41 &lt;=14,"Bajo",IF(BFI41&lt;=35,"Medio",IF(BFI41&lt;=80,"Alto","Inviable Sanitariamente"))))</f>
        <v>Inviable Sanitariamente</v>
      </c>
      <c r="BFV41" s="117">
        <v>97.9</v>
      </c>
      <c r="BFX41" s="117">
        <f>AVERAGE(BFL41:BFW41)</f>
        <v>97.9</v>
      </c>
      <c r="BFY41" s="117" t="str">
        <f>IF(BFX41&lt;5,"SI","NO")</f>
        <v>NO</v>
      </c>
      <c r="BFZ41" s="117" t="str">
        <f>IF(BFX41&lt;5,"Sin Riesgo",IF(BFX41 &lt;=14,"Bajo",IF(BFX41&lt;=35,"Medio",IF(BFX41&lt;=80,"Alto","Inviable Sanitariamente"))))</f>
        <v>Inviable Sanitariamente</v>
      </c>
      <c r="BGK41" s="117">
        <v>97.9</v>
      </c>
      <c r="BGM41" s="117">
        <f>AVERAGE(BGA41:BGL41)</f>
        <v>97.9</v>
      </c>
      <c r="BGN41" s="117" t="str">
        <f>IF(BGM41&lt;5,"SI","NO")</f>
        <v>NO</v>
      </c>
      <c r="BGO41" s="117" t="str">
        <f>IF(BGM41&lt;5,"Sin Riesgo",IF(BGM41 &lt;=14,"Bajo",IF(BGM41&lt;=35,"Medio",IF(BGM41&lt;=80,"Alto","Inviable Sanitariamente"))))</f>
        <v>Inviable Sanitariamente</v>
      </c>
      <c r="BGZ41" s="117">
        <v>97.9</v>
      </c>
      <c r="BHB41" s="117">
        <f>AVERAGE(BGP41:BHA41)</f>
        <v>97.9</v>
      </c>
      <c r="BHC41" s="117" t="str">
        <f>IF(BHB41&lt;5,"SI","NO")</f>
        <v>NO</v>
      </c>
      <c r="BHD41" s="117" t="str">
        <f>IF(BHB41&lt;5,"Sin Riesgo",IF(BHB41 &lt;=14,"Bajo",IF(BHB41&lt;=35,"Medio",IF(BHB41&lt;=80,"Alto","Inviable Sanitariamente"))))</f>
        <v>Inviable Sanitariamente</v>
      </c>
      <c r="BHO41" s="117">
        <v>97.9</v>
      </c>
      <c r="BHQ41" s="117">
        <f>AVERAGE(BHE41:BHP41)</f>
        <v>97.9</v>
      </c>
      <c r="BHR41" s="117" t="str">
        <f>IF(BHQ41&lt;5,"SI","NO")</f>
        <v>NO</v>
      </c>
      <c r="BHS41" s="117" t="str">
        <f>IF(BHQ41&lt;5,"Sin Riesgo",IF(BHQ41 &lt;=14,"Bajo",IF(BHQ41&lt;=35,"Medio",IF(BHQ41&lt;=80,"Alto","Inviable Sanitariamente"))))</f>
        <v>Inviable Sanitariamente</v>
      </c>
      <c r="BID41" s="117">
        <v>97.9</v>
      </c>
      <c r="BIF41" s="117">
        <f>AVERAGE(BHT41:BIE41)</f>
        <v>97.9</v>
      </c>
      <c r="BIG41" s="117" t="str">
        <f>IF(BIF41&lt;5,"SI","NO")</f>
        <v>NO</v>
      </c>
      <c r="BIH41" s="117" t="str">
        <f>IF(BIF41&lt;5,"Sin Riesgo",IF(BIF41 &lt;=14,"Bajo",IF(BIF41&lt;=35,"Medio",IF(BIF41&lt;=80,"Alto","Inviable Sanitariamente"))))</f>
        <v>Inviable Sanitariamente</v>
      </c>
      <c r="BIS41" s="117">
        <v>97.9</v>
      </c>
      <c r="BIU41" s="117">
        <f>AVERAGE(BII41:BIT41)</f>
        <v>97.9</v>
      </c>
      <c r="BIV41" s="117" t="str">
        <f>IF(BIU41&lt;5,"SI","NO")</f>
        <v>NO</v>
      </c>
      <c r="BIW41" s="117" t="str">
        <f>IF(BIU41&lt;5,"Sin Riesgo",IF(BIU41 &lt;=14,"Bajo",IF(BIU41&lt;=35,"Medio",IF(BIU41&lt;=80,"Alto","Inviable Sanitariamente"))))</f>
        <v>Inviable Sanitariamente</v>
      </c>
      <c r="BJH41" s="117">
        <v>97.9</v>
      </c>
      <c r="BJJ41" s="117">
        <f>AVERAGE(BIX41:BJI41)</f>
        <v>97.9</v>
      </c>
      <c r="BJK41" s="117" t="str">
        <f>IF(BJJ41&lt;5,"SI","NO")</f>
        <v>NO</v>
      </c>
      <c r="BJL41" s="117" t="str">
        <f>IF(BJJ41&lt;5,"Sin Riesgo",IF(BJJ41 &lt;=14,"Bajo",IF(BJJ41&lt;=35,"Medio",IF(BJJ41&lt;=80,"Alto","Inviable Sanitariamente"))))</f>
        <v>Inviable Sanitariamente</v>
      </c>
      <c r="BJW41" s="117">
        <v>97.9</v>
      </c>
      <c r="BJY41" s="117">
        <f>AVERAGE(BJM41:BJX41)</f>
        <v>97.9</v>
      </c>
      <c r="BJZ41" s="117" t="str">
        <f>IF(BJY41&lt;5,"SI","NO")</f>
        <v>NO</v>
      </c>
      <c r="BKA41" s="117" t="str">
        <f>IF(BJY41&lt;5,"Sin Riesgo",IF(BJY41 &lt;=14,"Bajo",IF(BJY41&lt;=35,"Medio",IF(BJY41&lt;=80,"Alto","Inviable Sanitariamente"))))</f>
        <v>Inviable Sanitariamente</v>
      </c>
      <c r="BKL41" s="117">
        <v>97.9</v>
      </c>
      <c r="BKN41" s="117">
        <f>AVERAGE(BKB41:BKM41)</f>
        <v>97.9</v>
      </c>
      <c r="BKO41" s="117" t="str">
        <f>IF(BKN41&lt;5,"SI","NO")</f>
        <v>NO</v>
      </c>
      <c r="BKP41" s="117" t="str">
        <f>IF(BKN41&lt;5,"Sin Riesgo",IF(BKN41 &lt;=14,"Bajo",IF(BKN41&lt;=35,"Medio",IF(BKN41&lt;=80,"Alto","Inviable Sanitariamente"))))</f>
        <v>Inviable Sanitariamente</v>
      </c>
      <c r="BLA41" s="117">
        <v>97.9</v>
      </c>
      <c r="BLC41" s="117">
        <f>AVERAGE(BKQ41:BLB41)</f>
        <v>97.9</v>
      </c>
      <c r="BLD41" s="117" t="str">
        <f>IF(BLC41&lt;5,"SI","NO")</f>
        <v>NO</v>
      </c>
      <c r="BLE41" s="117" t="str">
        <f>IF(BLC41&lt;5,"Sin Riesgo",IF(BLC41 &lt;=14,"Bajo",IF(BLC41&lt;=35,"Medio",IF(BLC41&lt;=80,"Alto","Inviable Sanitariamente"))))</f>
        <v>Inviable Sanitariamente</v>
      </c>
      <c r="BLP41" s="117">
        <v>97.9</v>
      </c>
      <c r="BLR41" s="117">
        <f>AVERAGE(BLF41:BLQ41)</f>
        <v>97.9</v>
      </c>
      <c r="BLS41" s="117" t="str">
        <f>IF(BLR41&lt;5,"SI","NO")</f>
        <v>NO</v>
      </c>
      <c r="BLT41" s="117" t="str">
        <f>IF(BLR41&lt;5,"Sin Riesgo",IF(BLR41 &lt;=14,"Bajo",IF(BLR41&lt;=35,"Medio",IF(BLR41&lt;=80,"Alto","Inviable Sanitariamente"))))</f>
        <v>Inviable Sanitariamente</v>
      </c>
      <c r="BME41" s="117">
        <v>97.9</v>
      </c>
      <c r="BMG41" s="117">
        <f>AVERAGE(BLU41:BMF41)</f>
        <v>97.9</v>
      </c>
      <c r="BMH41" s="117" t="str">
        <f>IF(BMG41&lt;5,"SI","NO")</f>
        <v>NO</v>
      </c>
      <c r="BMI41" s="117" t="str">
        <f>IF(BMG41&lt;5,"Sin Riesgo",IF(BMG41 &lt;=14,"Bajo",IF(BMG41&lt;=35,"Medio",IF(BMG41&lt;=80,"Alto","Inviable Sanitariamente"))))</f>
        <v>Inviable Sanitariamente</v>
      </c>
      <c r="BMT41" s="117">
        <v>97.9</v>
      </c>
      <c r="BMV41" s="117">
        <f>AVERAGE(BMJ41:BMU41)</f>
        <v>97.9</v>
      </c>
      <c r="BMW41" s="117" t="str">
        <f>IF(BMV41&lt;5,"SI","NO")</f>
        <v>NO</v>
      </c>
      <c r="BMX41" s="117" t="str">
        <f>IF(BMV41&lt;5,"Sin Riesgo",IF(BMV41 &lt;=14,"Bajo",IF(BMV41&lt;=35,"Medio",IF(BMV41&lt;=80,"Alto","Inviable Sanitariamente"))))</f>
        <v>Inviable Sanitariamente</v>
      </c>
      <c r="BNI41" s="117">
        <v>97.9</v>
      </c>
      <c r="BNK41" s="117">
        <f>AVERAGE(BMY41:BNJ41)</f>
        <v>97.9</v>
      </c>
      <c r="BNL41" s="117" t="str">
        <f>IF(BNK41&lt;5,"SI","NO")</f>
        <v>NO</v>
      </c>
      <c r="BNM41" s="117" t="str">
        <f>IF(BNK41&lt;5,"Sin Riesgo",IF(BNK41 &lt;=14,"Bajo",IF(BNK41&lt;=35,"Medio",IF(BNK41&lt;=80,"Alto","Inviable Sanitariamente"))))</f>
        <v>Inviable Sanitariamente</v>
      </c>
      <c r="BNX41" s="117">
        <v>97.9</v>
      </c>
      <c r="BNZ41" s="117">
        <f>AVERAGE(BNN41:BNY41)</f>
        <v>97.9</v>
      </c>
      <c r="BOA41" s="117" t="str">
        <f>IF(BNZ41&lt;5,"SI","NO")</f>
        <v>NO</v>
      </c>
      <c r="BOB41" s="117" t="str">
        <f>IF(BNZ41&lt;5,"Sin Riesgo",IF(BNZ41 &lt;=14,"Bajo",IF(BNZ41&lt;=35,"Medio",IF(BNZ41&lt;=80,"Alto","Inviable Sanitariamente"))))</f>
        <v>Inviable Sanitariamente</v>
      </c>
      <c r="BOM41" s="117">
        <v>97.9</v>
      </c>
      <c r="BOO41" s="117">
        <f>AVERAGE(BOC41:BON41)</f>
        <v>97.9</v>
      </c>
      <c r="BOP41" s="117" t="str">
        <f>IF(BOO41&lt;5,"SI","NO")</f>
        <v>NO</v>
      </c>
      <c r="BOQ41" s="117" t="str">
        <f>IF(BOO41&lt;5,"Sin Riesgo",IF(BOO41 &lt;=14,"Bajo",IF(BOO41&lt;=35,"Medio",IF(BOO41&lt;=80,"Alto","Inviable Sanitariamente"))))</f>
        <v>Inviable Sanitariamente</v>
      </c>
      <c r="BPB41" s="117">
        <v>97.9</v>
      </c>
      <c r="BPD41" s="117">
        <f>AVERAGE(BOR41:BPC41)</f>
        <v>97.9</v>
      </c>
      <c r="BPE41" s="117" t="str">
        <f>IF(BPD41&lt;5,"SI","NO")</f>
        <v>NO</v>
      </c>
      <c r="BPF41" s="117" t="str">
        <f>IF(BPD41&lt;5,"Sin Riesgo",IF(BPD41 &lt;=14,"Bajo",IF(BPD41&lt;=35,"Medio",IF(BPD41&lt;=80,"Alto","Inviable Sanitariamente"))))</f>
        <v>Inviable Sanitariamente</v>
      </c>
      <c r="BPQ41" s="117">
        <v>97.9</v>
      </c>
      <c r="BPS41" s="117">
        <f>AVERAGE(BPG41:BPR41)</f>
        <v>97.9</v>
      </c>
      <c r="BPT41" s="117" t="str">
        <f>IF(BPS41&lt;5,"SI","NO")</f>
        <v>NO</v>
      </c>
      <c r="BPU41" s="117" t="str">
        <f>IF(BPS41&lt;5,"Sin Riesgo",IF(BPS41 &lt;=14,"Bajo",IF(BPS41&lt;=35,"Medio",IF(BPS41&lt;=80,"Alto","Inviable Sanitariamente"))))</f>
        <v>Inviable Sanitariamente</v>
      </c>
      <c r="BQF41" s="117">
        <v>97.9</v>
      </c>
      <c r="BQH41" s="117">
        <f>AVERAGE(BPV41:BQG41)</f>
        <v>97.9</v>
      </c>
      <c r="BQI41" s="117" t="str">
        <f>IF(BQH41&lt;5,"SI","NO")</f>
        <v>NO</v>
      </c>
      <c r="BQJ41" s="117" t="str">
        <f>IF(BQH41&lt;5,"Sin Riesgo",IF(BQH41 &lt;=14,"Bajo",IF(BQH41&lt;=35,"Medio",IF(BQH41&lt;=80,"Alto","Inviable Sanitariamente"))))</f>
        <v>Inviable Sanitariamente</v>
      </c>
      <c r="BQU41" s="117">
        <v>97.9</v>
      </c>
      <c r="BQW41" s="117">
        <f>AVERAGE(BQK41:BQV41)</f>
        <v>97.9</v>
      </c>
      <c r="BQX41" s="117" t="str">
        <f>IF(BQW41&lt;5,"SI","NO")</f>
        <v>NO</v>
      </c>
      <c r="BQY41" s="117" t="str">
        <f>IF(BQW41&lt;5,"Sin Riesgo",IF(BQW41 &lt;=14,"Bajo",IF(BQW41&lt;=35,"Medio",IF(BQW41&lt;=80,"Alto","Inviable Sanitariamente"))))</f>
        <v>Inviable Sanitariamente</v>
      </c>
      <c r="BRJ41" s="117">
        <v>97.9</v>
      </c>
      <c r="BRL41" s="117">
        <f>AVERAGE(BQZ41:BRK41)</f>
        <v>97.9</v>
      </c>
      <c r="BRM41" s="117" t="str">
        <f>IF(BRL41&lt;5,"SI","NO")</f>
        <v>NO</v>
      </c>
      <c r="BRN41" s="117" t="str">
        <f>IF(BRL41&lt;5,"Sin Riesgo",IF(BRL41 &lt;=14,"Bajo",IF(BRL41&lt;=35,"Medio",IF(BRL41&lt;=80,"Alto","Inviable Sanitariamente"))))</f>
        <v>Inviable Sanitariamente</v>
      </c>
      <c r="BRY41" s="117">
        <v>97.9</v>
      </c>
      <c r="BSA41" s="117">
        <f>AVERAGE(BRO41:BRZ41)</f>
        <v>97.9</v>
      </c>
      <c r="BSB41" s="117" t="str">
        <f>IF(BSA41&lt;5,"SI","NO")</f>
        <v>NO</v>
      </c>
      <c r="BSC41" s="117" t="str">
        <f>IF(BSA41&lt;5,"Sin Riesgo",IF(BSA41 &lt;=14,"Bajo",IF(BSA41&lt;=35,"Medio",IF(BSA41&lt;=80,"Alto","Inviable Sanitariamente"))))</f>
        <v>Inviable Sanitariamente</v>
      </c>
      <c r="BSN41" s="117">
        <v>97.9</v>
      </c>
      <c r="BSP41" s="117">
        <f>AVERAGE(BSD41:BSO41)</f>
        <v>97.9</v>
      </c>
      <c r="BSQ41" s="117" t="str">
        <f>IF(BSP41&lt;5,"SI","NO")</f>
        <v>NO</v>
      </c>
      <c r="BSR41" s="117" t="str">
        <f>IF(BSP41&lt;5,"Sin Riesgo",IF(BSP41 &lt;=14,"Bajo",IF(BSP41&lt;=35,"Medio",IF(BSP41&lt;=80,"Alto","Inviable Sanitariamente"))))</f>
        <v>Inviable Sanitariamente</v>
      </c>
      <c r="BTC41" s="117">
        <v>97.9</v>
      </c>
      <c r="BTE41" s="117">
        <f>AVERAGE(BSS41:BTD41)</f>
        <v>97.9</v>
      </c>
      <c r="BTF41" s="117" t="str">
        <f>IF(BTE41&lt;5,"SI","NO")</f>
        <v>NO</v>
      </c>
      <c r="BTG41" s="117" t="str">
        <f>IF(BTE41&lt;5,"Sin Riesgo",IF(BTE41 &lt;=14,"Bajo",IF(BTE41&lt;=35,"Medio",IF(BTE41&lt;=80,"Alto","Inviable Sanitariamente"))))</f>
        <v>Inviable Sanitariamente</v>
      </c>
      <c r="BTR41" s="117">
        <v>97.9</v>
      </c>
      <c r="BTT41" s="117">
        <f>AVERAGE(BTH41:BTS41)</f>
        <v>97.9</v>
      </c>
      <c r="BTU41" s="117" t="str">
        <f>IF(BTT41&lt;5,"SI","NO")</f>
        <v>NO</v>
      </c>
      <c r="BTV41" s="117" t="str">
        <f>IF(BTT41&lt;5,"Sin Riesgo",IF(BTT41 &lt;=14,"Bajo",IF(BTT41&lt;=35,"Medio",IF(BTT41&lt;=80,"Alto","Inviable Sanitariamente"))))</f>
        <v>Inviable Sanitariamente</v>
      </c>
      <c r="BUG41" s="117">
        <v>97.9</v>
      </c>
      <c r="BUI41" s="117">
        <f>AVERAGE(BTW41:BUH41)</f>
        <v>97.9</v>
      </c>
      <c r="BUJ41" s="117" t="str">
        <f>IF(BUI41&lt;5,"SI","NO")</f>
        <v>NO</v>
      </c>
      <c r="BUK41" s="117" t="str">
        <f>IF(BUI41&lt;5,"Sin Riesgo",IF(BUI41 &lt;=14,"Bajo",IF(BUI41&lt;=35,"Medio",IF(BUI41&lt;=80,"Alto","Inviable Sanitariamente"))))</f>
        <v>Inviable Sanitariamente</v>
      </c>
      <c r="BUV41" s="117">
        <v>97.9</v>
      </c>
      <c r="BUX41" s="117">
        <f>AVERAGE(BUL41:BUW41)</f>
        <v>97.9</v>
      </c>
      <c r="BUY41" s="117" t="str">
        <f>IF(BUX41&lt;5,"SI","NO")</f>
        <v>NO</v>
      </c>
      <c r="BUZ41" s="117" t="str">
        <f>IF(BUX41&lt;5,"Sin Riesgo",IF(BUX41 &lt;=14,"Bajo",IF(BUX41&lt;=35,"Medio",IF(BUX41&lt;=80,"Alto","Inviable Sanitariamente"))))</f>
        <v>Inviable Sanitariamente</v>
      </c>
      <c r="BVK41" s="117">
        <v>97.9</v>
      </c>
      <c r="BVM41" s="117">
        <f>AVERAGE(BVA41:BVL41)</f>
        <v>97.9</v>
      </c>
      <c r="BVN41" s="117" t="str">
        <f>IF(BVM41&lt;5,"SI","NO")</f>
        <v>NO</v>
      </c>
      <c r="BVO41" s="117" t="str">
        <f>IF(BVM41&lt;5,"Sin Riesgo",IF(BVM41 &lt;=14,"Bajo",IF(BVM41&lt;=35,"Medio",IF(BVM41&lt;=80,"Alto","Inviable Sanitariamente"))))</f>
        <v>Inviable Sanitariamente</v>
      </c>
      <c r="BVZ41" s="117">
        <v>97.9</v>
      </c>
      <c r="BWB41" s="117">
        <f>AVERAGE(BVP41:BWA41)</f>
        <v>97.9</v>
      </c>
      <c r="BWC41" s="117" t="str">
        <f>IF(BWB41&lt;5,"SI","NO")</f>
        <v>NO</v>
      </c>
      <c r="BWD41" s="117" t="str">
        <f>IF(BWB41&lt;5,"Sin Riesgo",IF(BWB41 &lt;=14,"Bajo",IF(BWB41&lt;=35,"Medio",IF(BWB41&lt;=80,"Alto","Inviable Sanitariamente"))))</f>
        <v>Inviable Sanitariamente</v>
      </c>
      <c r="BWO41" s="117">
        <v>97.9</v>
      </c>
      <c r="BWQ41" s="117">
        <f>AVERAGE(BWE41:BWP41)</f>
        <v>97.9</v>
      </c>
      <c r="BWR41" s="117" t="str">
        <f>IF(BWQ41&lt;5,"SI","NO")</f>
        <v>NO</v>
      </c>
      <c r="BWS41" s="117" t="str">
        <f>IF(BWQ41&lt;5,"Sin Riesgo",IF(BWQ41 &lt;=14,"Bajo",IF(BWQ41&lt;=35,"Medio",IF(BWQ41&lt;=80,"Alto","Inviable Sanitariamente"))))</f>
        <v>Inviable Sanitariamente</v>
      </c>
      <c r="BXD41" s="117">
        <v>97.9</v>
      </c>
      <c r="BXF41" s="117">
        <f>AVERAGE(BWT41:BXE41)</f>
        <v>97.9</v>
      </c>
      <c r="BXG41" s="117" t="str">
        <f>IF(BXF41&lt;5,"SI","NO")</f>
        <v>NO</v>
      </c>
      <c r="BXH41" s="117" t="str">
        <f>IF(BXF41&lt;5,"Sin Riesgo",IF(BXF41 &lt;=14,"Bajo",IF(BXF41&lt;=35,"Medio",IF(BXF41&lt;=80,"Alto","Inviable Sanitariamente"))))</f>
        <v>Inviable Sanitariamente</v>
      </c>
      <c r="BXS41" s="117">
        <v>97.9</v>
      </c>
      <c r="BXU41" s="117">
        <f>AVERAGE(BXI41:BXT41)</f>
        <v>97.9</v>
      </c>
      <c r="BXV41" s="117" t="str">
        <f>IF(BXU41&lt;5,"SI","NO")</f>
        <v>NO</v>
      </c>
      <c r="BXW41" s="117" t="str">
        <f>IF(BXU41&lt;5,"Sin Riesgo",IF(BXU41 &lt;=14,"Bajo",IF(BXU41&lt;=35,"Medio",IF(BXU41&lt;=80,"Alto","Inviable Sanitariamente"))))</f>
        <v>Inviable Sanitariamente</v>
      </c>
      <c r="BYH41" s="117">
        <v>97.9</v>
      </c>
      <c r="BYJ41" s="117">
        <f>AVERAGE(BXX41:BYI41)</f>
        <v>97.9</v>
      </c>
      <c r="BYK41" s="117" t="str">
        <f>IF(BYJ41&lt;5,"SI","NO")</f>
        <v>NO</v>
      </c>
      <c r="BYL41" s="117" t="str">
        <f>IF(BYJ41&lt;5,"Sin Riesgo",IF(BYJ41 &lt;=14,"Bajo",IF(BYJ41&lt;=35,"Medio",IF(BYJ41&lt;=80,"Alto","Inviable Sanitariamente"))))</f>
        <v>Inviable Sanitariamente</v>
      </c>
      <c r="BYW41" s="117">
        <v>97.9</v>
      </c>
      <c r="BYY41" s="117">
        <f>AVERAGE(BYM41:BYX41)</f>
        <v>97.9</v>
      </c>
      <c r="BYZ41" s="117" t="str">
        <f>IF(BYY41&lt;5,"SI","NO")</f>
        <v>NO</v>
      </c>
      <c r="BZA41" s="117" t="str">
        <f>IF(BYY41&lt;5,"Sin Riesgo",IF(BYY41 &lt;=14,"Bajo",IF(BYY41&lt;=35,"Medio",IF(BYY41&lt;=80,"Alto","Inviable Sanitariamente"))))</f>
        <v>Inviable Sanitariamente</v>
      </c>
      <c r="BZL41" s="117">
        <v>97.9</v>
      </c>
      <c r="BZN41" s="117">
        <f>AVERAGE(BZB41:BZM41)</f>
        <v>97.9</v>
      </c>
      <c r="BZO41" s="117" t="str">
        <f>IF(BZN41&lt;5,"SI","NO")</f>
        <v>NO</v>
      </c>
      <c r="BZP41" s="117" t="str">
        <f>IF(BZN41&lt;5,"Sin Riesgo",IF(BZN41 &lt;=14,"Bajo",IF(BZN41&lt;=35,"Medio",IF(BZN41&lt;=80,"Alto","Inviable Sanitariamente"))))</f>
        <v>Inviable Sanitariamente</v>
      </c>
      <c r="CAA41" s="117">
        <v>97.9</v>
      </c>
      <c r="CAC41" s="117">
        <f>AVERAGE(BZQ41:CAB41)</f>
        <v>97.9</v>
      </c>
      <c r="CAD41" s="117" t="str">
        <f>IF(CAC41&lt;5,"SI","NO")</f>
        <v>NO</v>
      </c>
      <c r="CAE41" s="117" t="str">
        <f>IF(CAC41&lt;5,"Sin Riesgo",IF(CAC41 &lt;=14,"Bajo",IF(CAC41&lt;=35,"Medio",IF(CAC41&lt;=80,"Alto","Inviable Sanitariamente"))))</f>
        <v>Inviable Sanitariamente</v>
      </c>
      <c r="CAP41" s="117">
        <v>97.9</v>
      </c>
      <c r="CAR41" s="117">
        <f>AVERAGE(CAF41:CAQ41)</f>
        <v>97.9</v>
      </c>
      <c r="CAS41" s="117" t="str">
        <f>IF(CAR41&lt;5,"SI","NO")</f>
        <v>NO</v>
      </c>
      <c r="CAT41" s="117" t="str">
        <f>IF(CAR41&lt;5,"Sin Riesgo",IF(CAR41 &lt;=14,"Bajo",IF(CAR41&lt;=35,"Medio",IF(CAR41&lt;=80,"Alto","Inviable Sanitariamente"))))</f>
        <v>Inviable Sanitariamente</v>
      </c>
      <c r="CBE41" s="117">
        <v>97.9</v>
      </c>
      <c r="CBG41" s="117">
        <f>AVERAGE(CAU41:CBF41)</f>
        <v>97.9</v>
      </c>
      <c r="CBH41" s="117" t="str">
        <f>IF(CBG41&lt;5,"SI","NO")</f>
        <v>NO</v>
      </c>
      <c r="CBI41" s="117" t="str">
        <f>IF(CBG41&lt;5,"Sin Riesgo",IF(CBG41 &lt;=14,"Bajo",IF(CBG41&lt;=35,"Medio",IF(CBG41&lt;=80,"Alto","Inviable Sanitariamente"))))</f>
        <v>Inviable Sanitariamente</v>
      </c>
      <c r="CBT41" s="117">
        <v>97.9</v>
      </c>
      <c r="CBV41" s="117">
        <f>AVERAGE(CBJ41:CBU41)</f>
        <v>97.9</v>
      </c>
      <c r="CBW41" s="117" t="str">
        <f>IF(CBV41&lt;5,"SI","NO")</f>
        <v>NO</v>
      </c>
      <c r="CBX41" s="117" t="str">
        <f>IF(CBV41&lt;5,"Sin Riesgo",IF(CBV41 &lt;=14,"Bajo",IF(CBV41&lt;=35,"Medio",IF(CBV41&lt;=80,"Alto","Inviable Sanitariamente"))))</f>
        <v>Inviable Sanitariamente</v>
      </c>
      <c r="CCI41" s="117">
        <v>97.9</v>
      </c>
      <c r="CCK41" s="117">
        <f>AVERAGE(CBY41:CCJ41)</f>
        <v>97.9</v>
      </c>
      <c r="CCL41" s="117" t="str">
        <f>IF(CCK41&lt;5,"SI","NO")</f>
        <v>NO</v>
      </c>
      <c r="CCM41" s="117" t="str">
        <f>IF(CCK41&lt;5,"Sin Riesgo",IF(CCK41 &lt;=14,"Bajo",IF(CCK41&lt;=35,"Medio",IF(CCK41&lt;=80,"Alto","Inviable Sanitariamente"))))</f>
        <v>Inviable Sanitariamente</v>
      </c>
      <c r="CCX41" s="117">
        <v>97.9</v>
      </c>
      <c r="CCZ41" s="117">
        <f>AVERAGE(CCN41:CCY41)</f>
        <v>97.9</v>
      </c>
      <c r="CDA41" s="117" t="str">
        <f>IF(CCZ41&lt;5,"SI","NO")</f>
        <v>NO</v>
      </c>
      <c r="CDB41" s="117" t="str">
        <f>IF(CCZ41&lt;5,"Sin Riesgo",IF(CCZ41 &lt;=14,"Bajo",IF(CCZ41&lt;=35,"Medio",IF(CCZ41&lt;=80,"Alto","Inviable Sanitariamente"))))</f>
        <v>Inviable Sanitariamente</v>
      </c>
      <c r="CDM41" s="117">
        <v>97.9</v>
      </c>
      <c r="CDO41" s="117">
        <f>AVERAGE(CDC41:CDN41)</f>
        <v>97.9</v>
      </c>
      <c r="CDP41" s="117" t="str">
        <f>IF(CDO41&lt;5,"SI","NO")</f>
        <v>NO</v>
      </c>
      <c r="CDQ41" s="117" t="str">
        <f>IF(CDO41&lt;5,"Sin Riesgo",IF(CDO41 &lt;=14,"Bajo",IF(CDO41&lt;=35,"Medio",IF(CDO41&lt;=80,"Alto","Inviable Sanitariamente"))))</f>
        <v>Inviable Sanitariamente</v>
      </c>
      <c r="CEB41" s="117">
        <v>97.9</v>
      </c>
      <c r="CED41" s="117">
        <f>AVERAGE(CDR41:CEC41)</f>
        <v>97.9</v>
      </c>
      <c r="CEE41" s="117" t="str">
        <f>IF(CED41&lt;5,"SI","NO")</f>
        <v>NO</v>
      </c>
      <c r="CEF41" s="117" t="str">
        <f>IF(CED41&lt;5,"Sin Riesgo",IF(CED41 &lt;=14,"Bajo",IF(CED41&lt;=35,"Medio",IF(CED41&lt;=80,"Alto","Inviable Sanitariamente"))))</f>
        <v>Inviable Sanitariamente</v>
      </c>
      <c r="CEQ41" s="117">
        <v>97.9</v>
      </c>
      <c r="CES41" s="117">
        <f>AVERAGE(CEG41:CER41)</f>
        <v>97.9</v>
      </c>
      <c r="CET41" s="117" t="str">
        <f>IF(CES41&lt;5,"SI","NO")</f>
        <v>NO</v>
      </c>
      <c r="CEU41" s="117" t="str">
        <f>IF(CES41&lt;5,"Sin Riesgo",IF(CES41 &lt;=14,"Bajo",IF(CES41&lt;=35,"Medio",IF(CES41&lt;=80,"Alto","Inviable Sanitariamente"))))</f>
        <v>Inviable Sanitariamente</v>
      </c>
      <c r="CFF41" s="117">
        <v>97.9</v>
      </c>
      <c r="CFH41" s="117">
        <f>AVERAGE(CEV41:CFG41)</f>
        <v>97.9</v>
      </c>
      <c r="CFI41" s="117" t="str">
        <f>IF(CFH41&lt;5,"SI","NO")</f>
        <v>NO</v>
      </c>
      <c r="CFJ41" s="117" t="str">
        <f>IF(CFH41&lt;5,"Sin Riesgo",IF(CFH41 &lt;=14,"Bajo",IF(CFH41&lt;=35,"Medio",IF(CFH41&lt;=80,"Alto","Inviable Sanitariamente"))))</f>
        <v>Inviable Sanitariamente</v>
      </c>
      <c r="CFU41" s="117">
        <v>97.9</v>
      </c>
      <c r="CFW41" s="117">
        <f>AVERAGE(CFK41:CFV41)</f>
        <v>97.9</v>
      </c>
      <c r="CFX41" s="117" t="str">
        <f>IF(CFW41&lt;5,"SI","NO")</f>
        <v>NO</v>
      </c>
      <c r="CFY41" s="117" t="str">
        <f>IF(CFW41&lt;5,"Sin Riesgo",IF(CFW41 &lt;=14,"Bajo",IF(CFW41&lt;=35,"Medio",IF(CFW41&lt;=80,"Alto","Inviable Sanitariamente"))))</f>
        <v>Inviable Sanitariamente</v>
      </c>
      <c r="CGJ41" s="117">
        <v>97.9</v>
      </c>
      <c r="CGL41" s="117">
        <f>AVERAGE(CFZ41:CGK41)</f>
        <v>97.9</v>
      </c>
      <c r="CGM41" s="117" t="str">
        <f>IF(CGL41&lt;5,"SI","NO")</f>
        <v>NO</v>
      </c>
      <c r="CGN41" s="117" t="str">
        <f>IF(CGL41&lt;5,"Sin Riesgo",IF(CGL41 &lt;=14,"Bajo",IF(CGL41&lt;=35,"Medio",IF(CGL41&lt;=80,"Alto","Inviable Sanitariamente"))))</f>
        <v>Inviable Sanitariamente</v>
      </c>
      <c r="CGY41" s="117">
        <v>97.9</v>
      </c>
      <c r="CHA41" s="117">
        <f>AVERAGE(CGO41:CGZ41)</f>
        <v>97.9</v>
      </c>
      <c r="CHB41" s="117" t="str">
        <f>IF(CHA41&lt;5,"SI","NO")</f>
        <v>NO</v>
      </c>
      <c r="CHC41" s="117" t="str">
        <f>IF(CHA41&lt;5,"Sin Riesgo",IF(CHA41 &lt;=14,"Bajo",IF(CHA41&lt;=35,"Medio",IF(CHA41&lt;=80,"Alto","Inviable Sanitariamente"))))</f>
        <v>Inviable Sanitariamente</v>
      </c>
      <c r="CHN41" s="117">
        <v>97.9</v>
      </c>
      <c r="CHP41" s="117">
        <f>AVERAGE(CHD41:CHO41)</f>
        <v>97.9</v>
      </c>
      <c r="CHQ41" s="117" t="str">
        <f>IF(CHP41&lt;5,"SI","NO")</f>
        <v>NO</v>
      </c>
      <c r="CHR41" s="117" t="str">
        <f>IF(CHP41&lt;5,"Sin Riesgo",IF(CHP41 &lt;=14,"Bajo",IF(CHP41&lt;=35,"Medio",IF(CHP41&lt;=80,"Alto","Inviable Sanitariamente"))))</f>
        <v>Inviable Sanitariamente</v>
      </c>
      <c r="CIC41" s="117">
        <v>97.9</v>
      </c>
      <c r="CIE41" s="117">
        <f>AVERAGE(CHS41:CID41)</f>
        <v>97.9</v>
      </c>
      <c r="CIF41" s="117" t="str">
        <f>IF(CIE41&lt;5,"SI","NO")</f>
        <v>NO</v>
      </c>
      <c r="CIG41" s="117" t="str">
        <f>IF(CIE41&lt;5,"Sin Riesgo",IF(CIE41 &lt;=14,"Bajo",IF(CIE41&lt;=35,"Medio",IF(CIE41&lt;=80,"Alto","Inviable Sanitariamente"))))</f>
        <v>Inviable Sanitariamente</v>
      </c>
      <c r="CIR41" s="117">
        <v>97.9</v>
      </c>
      <c r="CIT41" s="117">
        <f>AVERAGE(CIH41:CIS41)</f>
        <v>97.9</v>
      </c>
      <c r="CIU41" s="117" t="str">
        <f>IF(CIT41&lt;5,"SI","NO")</f>
        <v>NO</v>
      </c>
      <c r="CIV41" s="117" t="str">
        <f>IF(CIT41&lt;5,"Sin Riesgo",IF(CIT41 &lt;=14,"Bajo",IF(CIT41&lt;=35,"Medio",IF(CIT41&lt;=80,"Alto","Inviable Sanitariamente"))))</f>
        <v>Inviable Sanitariamente</v>
      </c>
      <c r="CJG41" s="117">
        <v>97.9</v>
      </c>
      <c r="CJI41" s="117">
        <f>AVERAGE(CIW41:CJH41)</f>
        <v>97.9</v>
      </c>
      <c r="CJJ41" s="117" t="str">
        <f>IF(CJI41&lt;5,"SI","NO")</f>
        <v>NO</v>
      </c>
      <c r="CJK41" s="117" t="str">
        <f>IF(CJI41&lt;5,"Sin Riesgo",IF(CJI41 &lt;=14,"Bajo",IF(CJI41&lt;=35,"Medio",IF(CJI41&lt;=80,"Alto","Inviable Sanitariamente"))))</f>
        <v>Inviable Sanitariamente</v>
      </c>
      <c r="CJV41" s="117">
        <v>97.9</v>
      </c>
      <c r="CJX41" s="117">
        <f>AVERAGE(CJL41:CJW41)</f>
        <v>97.9</v>
      </c>
      <c r="CJY41" s="117" t="str">
        <f>IF(CJX41&lt;5,"SI","NO")</f>
        <v>NO</v>
      </c>
      <c r="CJZ41" s="117" t="str">
        <f>IF(CJX41&lt;5,"Sin Riesgo",IF(CJX41 &lt;=14,"Bajo",IF(CJX41&lt;=35,"Medio",IF(CJX41&lt;=80,"Alto","Inviable Sanitariamente"))))</f>
        <v>Inviable Sanitariamente</v>
      </c>
      <c r="CKK41" s="117">
        <v>97.9</v>
      </c>
      <c r="CKM41" s="117">
        <f>AVERAGE(CKA41:CKL41)</f>
        <v>97.9</v>
      </c>
      <c r="CKN41" s="117" t="str">
        <f>IF(CKM41&lt;5,"SI","NO")</f>
        <v>NO</v>
      </c>
      <c r="CKO41" s="117" t="str">
        <f>IF(CKM41&lt;5,"Sin Riesgo",IF(CKM41 &lt;=14,"Bajo",IF(CKM41&lt;=35,"Medio",IF(CKM41&lt;=80,"Alto","Inviable Sanitariamente"))))</f>
        <v>Inviable Sanitariamente</v>
      </c>
      <c r="CKZ41" s="117">
        <v>97.9</v>
      </c>
      <c r="CLB41" s="117">
        <f>AVERAGE(CKP41:CLA41)</f>
        <v>97.9</v>
      </c>
      <c r="CLC41" s="117" t="str">
        <f>IF(CLB41&lt;5,"SI","NO")</f>
        <v>NO</v>
      </c>
      <c r="CLD41" s="117" t="str">
        <f>IF(CLB41&lt;5,"Sin Riesgo",IF(CLB41 &lt;=14,"Bajo",IF(CLB41&lt;=35,"Medio",IF(CLB41&lt;=80,"Alto","Inviable Sanitariamente"))))</f>
        <v>Inviable Sanitariamente</v>
      </c>
      <c r="CLO41" s="117">
        <v>97.9</v>
      </c>
      <c r="CLQ41" s="117">
        <f>AVERAGE(CLE41:CLP41)</f>
        <v>97.9</v>
      </c>
      <c r="CLR41" s="117" t="str">
        <f>IF(CLQ41&lt;5,"SI","NO")</f>
        <v>NO</v>
      </c>
      <c r="CLS41" s="117" t="str">
        <f>IF(CLQ41&lt;5,"Sin Riesgo",IF(CLQ41 &lt;=14,"Bajo",IF(CLQ41&lt;=35,"Medio",IF(CLQ41&lt;=80,"Alto","Inviable Sanitariamente"))))</f>
        <v>Inviable Sanitariamente</v>
      </c>
      <c r="CMD41" s="117">
        <v>97.9</v>
      </c>
      <c r="CMF41" s="117">
        <f>AVERAGE(CLT41:CME41)</f>
        <v>97.9</v>
      </c>
      <c r="CMG41" s="117" t="str">
        <f>IF(CMF41&lt;5,"SI","NO")</f>
        <v>NO</v>
      </c>
      <c r="CMH41" s="117" t="str">
        <f>IF(CMF41&lt;5,"Sin Riesgo",IF(CMF41 &lt;=14,"Bajo",IF(CMF41&lt;=35,"Medio",IF(CMF41&lt;=80,"Alto","Inviable Sanitariamente"))))</f>
        <v>Inviable Sanitariamente</v>
      </c>
      <c r="CMS41" s="117">
        <v>97.9</v>
      </c>
      <c r="CMU41" s="117">
        <f>AVERAGE(CMI41:CMT41)</f>
        <v>97.9</v>
      </c>
      <c r="CMV41" s="117" t="str">
        <f>IF(CMU41&lt;5,"SI","NO")</f>
        <v>NO</v>
      </c>
      <c r="CMW41" s="117" t="str">
        <f>IF(CMU41&lt;5,"Sin Riesgo",IF(CMU41 &lt;=14,"Bajo",IF(CMU41&lt;=35,"Medio",IF(CMU41&lt;=80,"Alto","Inviable Sanitariamente"))))</f>
        <v>Inviable Sanitariamente</v>
      </c>
      <c r="CNH41" s="117">
        <v>97.9</v>
      </c>
      <c r="CNJ41" s="117">
        <f>AVERAGE(CMX41:CNI41)</f>
        <v>97.9</v>
      </c>
      <c r="CNK41" s="117" t="str">
        <f>IF(CNJ41&lt;5,"SI","NO")</f>
        <v>NO</v>
      </c>
      <c r="CNL41" s="117" t="str">
        <f>IF(CNJ41&lt;5,"Sin Riesgo",IF(CNJ41 &lt;=14,"Bajo",IF(CNJ41&lt;=35,"Medio",IF(CNJ41&lt;=80,"Alto","Inviable Sanitariamente"))))</f>
        <v>Inviable Sanitariamente</v>
      </c>
      <c r="CNW41" s="117">
        <v>97.9</v>
      </c>
      <c r="CNY41" s="117">
        <f>AVERAGE(CNM41:CNX41)</f>
        <v>97.9</v>
      </c>
      <c r="CNZ41" s="117" t="str">
        <f>IF(CNY41&lt;5,"SI","NO")</f>
        <v>NO</v>
      </c>
      <c r="COA41" s="117" t="str">
        <f>IF(CNY41&lt;5,"Sin Riesgo",IF(CNY41 &lt;=14,"Bajo",IF(CNY41&lt;=35,"Medio",IF(CNY41&lt;=80,"Alto","Inviable Sanitariamente"))))</f>
        <v>Inviable Sanitariamente</v>
      </c>
      <c r="COL41" s="117">
        <v>97.9</v>
      </c>
      <c r="CON41" s="117">
        <f>AVERAGE(COB41:COM41)</f>
        <v>97.9</v>
      </c>
      <c r="COO41" s="117" t="str">
        <f>IF(CON41&lt;5,"SI","NO")</f>
        <v>NO</v>
      </c>
      <c r="COP41" s="117" t="str">
        <f>IF(CON41&lt;5,"Sin Riesgo",IF(CON41 &lt;=14,"Bajo",IF(CON41&lt;=35,"Medio",IF(CON41&lt;=80,"Alto","Inviable Sanitariamente"))))</f>
        <v>Inviable Sanitariamente</v>
      </c>
      <c r="CPA41" s="117">
        <v>97.9</v>
      </c>
      <c r="CPC41" s="117">
        <f>AVERAGE(COQ41:CPB41)</f>
        <v>97.9</v>
      </c>
      <c r="CPD41" s="117" t="str">
        <f>IF(CPC41&lt;5,"SI","NO")</f>
        <v>NO</v>
      </c>
      <c r="CPE41" s="117" t="str">
        <f>IF(CPC41&lt;5,"Sin Riesgo",IF(CPC41 &lt;=14,"Bajo",IF(CPC41&lt;=35,"Medio",IF(CPC41&lt;=80,"Alto","Inviable Sanitariamente"))))</f>
        <v>Inviable Sanitariamente</v>
      </c>
      <c r="CPP41" s="117">
        <v>97.9</v>
      </c>
      <c r="CPR41" s="117">
        <f>AVERAGE(CPF41:CPQ41)</f>
        <v>97.9</v>
      </c>
      <c r="CPS41" s="117" t="str">
        <f>IF(CPR41&lt;5,"SI","NO")</f>
        <v>NO</v>
      </c>
      <c r="CPT41" s="117" t="str">
        <f>IF(CPR41&lt;5,"Sin Riesgo",IF(CPR41 &lt;=14,"Bajo",IF(CPR41&lt;=35,"Medio",IF(CPR41&lt;=80,"Alto","Inviable Sanitariamente"))))</f>
        <v>Inviable Sanitariamente</v>
      </c>
      <c r="CQE41" s="117">
        <v>97.9</v>
      </c>
      <c r="CQG41" s="117">
        <f>AVERAGE(CPU41:CQF41)</f>
        <v>97.9</v>
      </c>
      <c r="CQH41" s="117" t="str">
        <f>IF(CQG41&lt;5,"SI","NO")</f>
        <v>NO</v>
      </c>
      <c r="CQI41" s="117" t="str">
        <f>IF(CQG41&lt;5,"Sin Riesgo",IF(CQG41 &lt;=14,"Bajo",IF(CQG41&lt;=35,"Medio",IF(CQG41&lt;=80,"Alto","Inviable Sanitariamente"))))</f>
        <v>Inviable Sanitariamente</v>
      </c>
      <c r="CQT41" s="117">
        <v>97.9</v>
      </c>
      <c r="CQV41" s="117">
        <f>AVERAGE(CQJ41:CQU41)</f>
        <v>97.9</v>
      </c>
      <c r="CQW41" s="117" t="str">
        <f>IF(CQV41&lt;5,"SI","NO")</f>
        <v>NO</v>
      </c>
      <c r="CQX41" s="117" t="str">
        <f>IF(CQV41&lt;5,"Sin Riesgo",IF(CQV41 &lt;=14,"Bajo",IF(CQV41&lt;=35,"Medio",IF(CQV41&lt;=80,"Alto","Inviable Sanitariamente"))))</f>
        <v>Inviable Sanitariamente</v>
      </c>
      <c r="CRI41" s="117">
        <v>97.9</v>
      </c>
      <c r="CRK41" s="117">
        <f>AVERAGE(CQY41:CRJ41)</f>
        <v>97.9</v>
      </c>
      <c r="CRL41" s="117" t="str">
        <f>IF(CRK41&lt;5,"SI","NO")</f>
        <v>NO</v>
      </c>
      <c r="CRM41" s="117" t="str">
        <f>IF(CRK41&lt;5,"Sin Riesgo",IF(CRK41 &lt;=14,"Bajo",IF(CRK41&lt;=35,"Medio",IF(CRK41&lt;=80,"Alto","Inviable Sanitariamente"))))</f>
        <v>Inviable Sanitariamente</v>
      </c>
      <c r="CRX41" s="117">
        <v>97.9</v>
      </c>
      <c r="CRZ41" s="117">
        <f>AVERAGE(CRN41:CRY41)</f>
        <v>97.9</v>
      </c>
      <c r="CSA41" s="117" t="str">
        <f>IF(CRZ41&lt;5,"SI","NO")</f>
        <v>NO</v>
      </c>
      <c r="CSB41" s="117" t="str">
        <f>IF(CRZ41&lt;5,"Sin Riesgo",IF(CRZ41 &lt;=14,"Bajo",IF(CRZ41&lt;=35,"Medio",IF(CRZ41&lt;=80,"Alto","Inviable Sanitariamente"))))</f>
        <v>Inviable Sanitariamente</v>
      </c>
      <c r="CSM41" s="117">
        <v>97.9</v>
      </c>
      <c r="CSO41" s="117">
        <f>AVERAGE(CSC41:CSN41)</f>
        <v>97.9</v>
      </c>
      <c r="CSP41" s="117" t="str">
        <f>IF(CSO41&lt;5,"SI","NO")</f>
        <v>NO</v>
      </c>
      <c r="CSQ41" s="117" t="str">
        <f>IF(CSO41&lt;5,"Sin Riesgo",IF(CSO41 &lt;=14,"Bajo",IF(CSO41&lt;=35,"Medio",IF(CSO41&lt;=80,"Alto","Inviable Sanitariamente"))))</f>
        <v>Inviable Sanitariamente</v>
      </c>
      <c r="CTB41" s="117">
        <v>97.9</v>
      </c>
      <c r="CTD41" s="117">
        <f>AVERAGE(CSR41:CTC41)</f>
        <v>97.9</v>
      </c>
      <c r="CTE41" s="117" t="str">
        <f>IF(CTD41&lt;5,"SI","NO")</f>
        <v>NO</v>
      </c>
      <c r="CTF41" s="117" t="str">
        <f>IF(CTD41&lt;5,"Sin Riesgo",IF(CTD41 &lt;=14,"Bajo",IF(CTD41&lt;=35,"Medio",IF(CTD41&lt;=80,"Alto","Inviable Sanitariamente"))))</f>
        <v>Inviable Sanitariamente</v>
      </c>
      <c r="CTQ41" s="117">
        <v>97.9</v>
      </c>
      <c r="CTS41" s="117">
        <f>AVERAGE(CTG41:CTR41)</f>
        <v>97.9</v>
      </c>
      <c r="CTT41" s="117" t="str">
        <f>IF(CTS41&lt;5,"SI","NO")</f>
        <v>NO</v>
      </c>
      <c r="CTU41" s="117" t="str">
        <f>IF(CTS41&lt;5,"Sin Riesgo",IF(CTS41 &lt;=14,"Bajo",IF(CTS41&lt;=35,"Medio",IF(CTS41&lt;=80,"Alto","Inviable Sanitariamente"))))</f>
        <v>Inviable Sanitariamente</v>
      </c>
      <c r="CUF41" s="117">
        <v>97.9</v>
      </c>
      <c r="CUH41" s="117">
        <f>AVERAGE(CTV41:CUG41)</f>
        <v>97.9</v>
      </c>
      <c r="CUI41" s="117" t="str">
        <f>IF(CUH41&lt;5,"SI","NO")</f>
        <v>NO</v>
      </c>
      <c r="CUJ41" s="117" t="str">
        <f>IF(CUH41&lt;5,"Sin Riesgo",IF(CUH41 &lt;=14,"Bajo",IF(CUH41&lt;=35,"Medio",IF(CUH41&lt;=80,"Alto","Inviable Sanitariamente"))))</f>
        <v>Inviable Sanitariamente</v>
      </c>
      <c r="CUU41" s="117">
        <v>97.9</v>
      </c>
      <c r="CUW41" s="117">
        <f>AVERAGE(CUK41:CUV41)</f>
        <v>97.9</v>
      </c>
      <c r="CUX41" s="117" t="str">
        <f>IF(CUW41&lt;5,"SI","NO")</f>
        <v>NO</v>
      </c>
      <c r="CUY41" s="117" t="str">
        <f>IF(CUW41&lt;5,"Sin Riesgo",IF(CUW41 &lt;=14,"Bajo",IF(CUW41&lt;=35,"Medio",IF(CUW41&lt;=80,"Alto","Inviable Sanitariamente"))))</f>
        <v>Inviable Sanitariamente</v>
      </c>
      <c r="CVJ41" s="117">
        <v>97.9</v>
      </c>
      <c r="CVL41" s="117">
        <f>AVERAGE(CUZ41:CVK41)</f>
        <v>97.9</v>
      </c>
      <c r="CVM41" s="117" t="str">
        <f>IF(CVL41&lt;5,"SI","NO")</f>
        <v>NO</v>
      </c>
      <c r="CVN41" s="117" t="str">
        <f>IF(CVL41&lt;5,"Sin Riesgo",IF(CVL41 &lt;=14,"Bajo",IF(CVL41&lt;=35,"Medio",IF(CVL41&lt;=80,"Alto","Inviable Sanitariamente"))))</f>
        <v>Inviable Sanitariamente</v>
      </c>
      <c r="CVY41" s="117">
        <v>97.9</v>
      </c>
      <c r="CWA41" s="117">
        <f>AVERAGE(CVO41:CVZ41)</f>
        <v>97.9</v>
      </c>
      <c r="CWB41" s="117" t="str">
        <f>IF(CWA41&lt;5,"SI","NO")</f>
        <v>NO</v>
      </c>
      <c r="CWC41" s="117" t="str">
        <f>IF(CWA41&lt;5,"Sin Riesgo",IF(CWA41 &lt;=14,"Bajo",IF(CWA41&lt;=35,"Medio",IF(CWA41&lt;=80,"Alto","Inviable Sanitariamente"))))</f>
        <v>Inviable Sanitariamente</v>
      </c>
      <c r="CWN41" s="117">
        <v>97.9</v>
      </c>
      <c r="CWP41" s="117">
        <f>AVERAGE(CWD41:CWO41)</f>
        <v>97.9</v>
      </c>
      <c r="CWQ41" s="117" t="str">
        <f>IF(CWP41&lt;5,"SI","NO")</f>
        <v>NO</v>
      </c>
      <c r="CWR41" s="117" t="str">
        <f>IF(CWP41&lt;5,"Sin Riesgo",IF(CWP41 &lt;=14,"Bajo",IF(CWP41&lt;=35,"Medio",IF(CWP41&lt;=80,"Alto","Inviable Sanitariamente"))))</f>
        <v>Inviable Sanitariamente</v>
      </c>
      <c r="CXC41" s="117">
        <v>97.9</v>
      </c>
      <c r="CXE41" s="117">
        <f>AVERAGE(CWS41:CXD41)</f>
        <v>97.9</v>
      </c>
      <c r="CXF41" s="117" t="str">
        <f>IF(CXE41&lt;5,"SI","NO")</f>
        <v>NO</v>
      </c>
      <c r="CXG41" s="117" t="str">
        <f>IF(CXE41&lt;5,"Sin Riesgo",IF(CXE41 &lt;=14,"Bajo",IF(CXE41&lt;=35,"Medio",IF(CXE41&lt;=80,"Alto","Inviable Sanitariamente"))))</f>
        <v>Inviable Sanitariamente</v>
      </c>
      <c r="CXR41" s="117">
        <v>97.9</v>
      </c>
      <c r="CXT41" s="117">
        <f>AVERAGE(CXH41:CXS41)</f>
        <v>97.9</v>
      </c>
      <c r="CXU41" s="117" t="str">
        <f>IF(CXT41&lt;5,"SI","NO")</f>
        <v>NO</v>
      </c>
      <c r="CXV41" s="117" t="str">
        <f>IF(CXT41&lt;5,"Sin Riesgo",IF(CXT41 &lt;=14,"Bajo",IF(CXT41&lt;=35,"Medio",IF(CXT41&lt;=80,"Alto","Inviable Sanitariamente"))))</f>
        <v>Inviable Sanitariamente</v>
      </c>
      <c r="CYG41" s="117">
        <v>97.9</v>
      </c>
      <c r="CYI41" s="117">
        <f>AVERAGE(CXW41:CYH41)</f>
        <v>97.9</v>
      </c>
      <c r="CYJ41" s="117" t="str">
        <f>IF(CYI41&lt;5,"SI","NO")</f>
        <v>NO</v>
      </c>
      <c r="CYK41" s="117" t="str">
        <f>IF(CYI41&lt;5,"Sin Riesgo",IF(CYI41 &lt;=14,"Bajo",IF(CYI41&lt;=35,"Medio",IF(CYI41&lt;=80,"Alto","Inviable Sanitariamente"))))</f>
        <v>Inviable Sanitariamente</v>
      </c>
      <c r="CYV41" s="117">
        <v>97.9</v>
      </c>
      <c r="CYX41" s="117">
        <f>AVERAGE(CYL41:CYW41)</f>
        <v>97.9</v>
      </c>
      <c r="CYY41" s="117" t="str">
        <f>IF(CYX41&lt;5,"SI","NO")</f>
        <v>NO</v>
      </c>
      <c r="CYZ41" s="117" t="str">
        <f>IF(CYX41&lt;5,"Sin Riesgo",IF(CYX41 &lt;=14,"Bajo",IF(CYX41&lt;=35,"Medio",IF(CYX41&lt;=80,"Alto","Inviable Sanitariamente"))))</f>
        <v>Inviable Sanitariamente</v>
      </c>
      <c r="CZK41" s="117">
        <v>97.9</v>
      </c>
      <c r="CZM41" s="117">
        <f>AVERAGE(CZA41:CZL41)</f>
        <v>97.9</v>
      </c>
      <c r="CZN41" s="117" t="str">
        <f>IF(CZM41&lt;5,"SI","NO")</f>
        <v>NO</v>
      </c>
      <c r="CZO41" s="117" t="str">
        <f>IF(CZM41&lt;5,"Sin Riesgo",IF(CZM41 &lt;=14,"Bajo",IF(CZM41&lt;=35,"Medio",IF(CZM41&lt;=80,"Alto","Inviable Sanitariamente"))))</f>
        <v>Inviable Sanitariamente</v>
      </c>
      <c r="CZZ41" s="117">
        <v>97.9</v>
      </c>
      <c r="DAB41" s="117">
        <f>AVERAGE(CZP41:DAA41)</f>
        <v>97.9</v>
      </c>
      <c r="DAC41" s="117" t="str">
        <f>IF(DAB41&lt;5,"SI","NO")</f>
        <v>NO</v>
      </c>
      <c r="DAD41" s="117" t="str">
        <f>IF(DAB41&lt;5,"Sin Riesgo",IF(DAB41 &lt;=14,"Bajo",IF(DAB41&lt;=35,"Medio",IF(DAB41&lt;=80,"Alto","Inviable Sanitariamente"))))</f>
        <v>Inviable Sanitariamente</v>
      </c>
      <c r="DAO41" s="117">
        <v>97.9</v>
      </c>
      <c r="DAQ41" s="117">
        <f>AVERAGE(DAE41:DAP41)</f>
        <v>97.9</v>
      </c>
      <c r="DAR41" s="117" t="str">
        <f>IF(DAQ41&lt;5,"SI","NO")</f>
        <v>NO</v>
      </c>
      <c r="DAS41" s="117" t="str">
        <f>IF(DAQ41&lt;5,"Sin Riesgo",IF(DAQ41 &lt;=14,"Bajo",IF(DAQ41&lt;=35,"Medio",IF(DAQ41&lt;=80,"Alto","Inviable Sanitariamente"))))</f>
        <v>Inviable Sanitariamente</v>
      </c>
      <c r="DBD41" s="117">
        <v>97.9</v>
      </c>
      <c r="DBF41" s="117">
        <f>AVERAGE(DAT41:DBE41)</f>
        <v>97.9</v>
      </c>
      <c r="DBG41" s="117" t="str">
        <f>IF(DBF41&lt;5,"SI","NO")</f>
        <v>NO</v>
      </c>
      <c r="DBH41" s="117" t="str">
        <f>IF(DBF41&lt;5,"Sin Riesgo",IF(DBF41 &lt;=14,"Bajo",IF(DBF41&lt;=35,"Medio",IF(DBF41&lt;=80,"Alto","Inviable Sanitariamente"))))</f>
        <v>Inviable Sanitariamente</v>
      </c>
      <c r="DBS41" s="117">
        <v>97.9</v>
      </c>
      <c r="DBU41" s="117">
        <f>AVERAGE(DBI41:DBT41)</f>
        <v>97.9</v>
      </c>
      <c r="DBV41" s="117" t="str">
        <f>IF(DBU41&lt;5,"SI","NO")</f>
        <v>NO</v>
      </c>
      <c r="DBW41" s="117" t="str">
        <f>IF(DBU41&lt;5,"Sin Riesgo",IF(DBU41 &lt;=14,"Bajo",IF(DBU41&lt;=35,"Medio",IF(DBU41&lt;=80,"Alto","Inviable Sanitariamente"))))</f>
        <v>Inviable Sanitariamente</v>
      </c>
      <c r="DCH41" s="117">
        <v>97.9</v>
      </c>
      <c r="DCJ41" s="117">
        <f>AVERAGE(DBX41:DCI41)</f>
        <v>97.9</v>
      </c>
      <c r="DCK41" s="117" t="str">
        <f>IF(DCJ41&lt;5,"SI","NO")</f>
        <v>NO</v>
      </c>
      <c r="DCL41" s="117" t="str">
        <f>IF(DCJ41&lt;5,"Sin Riesgo",IF(DCJ41 &lt;=14,"Bajo",IF(DCJ41&lt;=35,"Medio",IF(DCJ41&lt;=80,"Alto","Inviable Sanitariamente"))))</f>
        <v>Inviable Sanitariamente</v>
      </c>
      <c r="DCW41" s="117">
        <v>97.9</v>
      </c>
      <c r="DCY41" s="117">
        <f>AVERAGE(DCM41:DCX41)</f>
        <v>97.9</v>
      </c>
      <c r="DCZ41" s="117" t="str">
        <f>IF(DCY41&lt;5,"SI","NO")</f>
        <v>NO</v>
      </c>
      <c r="DDA41" s="117" t="str">
        <f>IF(DCY41&lt;5,"Sin Riesgo",IF(DCY41 &lt;=14,"Bajo",IF(DCY41&lt;=35,"Medio",IF(DCY41&lt;=80,"Alto","Inviable Sanitariamente"))))</f>
        <v>Inviable Sanitariamente</v>
      </c>
      <c r="DDL41" s="117">
        <v>97.9</v>
      </c>
      <c r="DDN41" s="117">
        <f>AVERAGE(DDB41:DDM41)</f>
        <v>97.9</v>
      </c>
      <c r="DDO41" s="117" t="str">
        <f>IF(DDN41&lt;5,"SI","NO")</f>
        <v>NO</v>
      </c>
      <c r="DDP41" s="117" t="str">
        <f>IF(DDN41&lt;5,"Sin Riesgo",IF(DDN41 &lt;=14,"Bajo",IF(DDN41&lt;=35,"Medio",IF(DDN41&lt;=80,"Alto","Inviable Sanitariamente"))))</f>
        <v>Inviable Sanitariamente</v>
      </c>
      <c r="DEA41" s="117">
        <v>97.9</v>
      </c>
      <c r="DEC41" s="117">
        <f>AVERAGE(DDQ41:DEB41)</f>
        <v>97.9</v>
      </c>
      <c r="DED41" s="117" t="str">
        <f>IF(DEC41&lt;5,"SI","NO")</f>
        <v>NO</v>
      </c>
      <c r="DEE41" s="117" t="str">
        <f>IF(DEC41&lt;5,"Sin Riesgo",IF(DEC41 &lt;=14,"Bajo",IF(DEC41&lt;=35,"Medio",IF(DEC41&lt;=80,"Alto","Inviable Sanitariamente"))))</f>
        <v>Inviable Sanitariamente</v>
      </c>
      <c r="DEP41" s="117">
        <v>97.9</v>
      </c>
      <c r="DER41" s="117">
        <f>AVERAGE(DEF41:DEQ41)</f>
        <v>97.9</v>
      </c>
      <c r="DES41" s="117" t="str">
        <f>IF(DER41&lt;5,"SI","NO")</f>
        <v>NO</v>
      </c>
      <c r="DET41" s="117" t="str">
        <f>IF(DER41&lt;5,"Sin Riesgo",IF(DER41 &lt;=14,"Bajo",IF(DER41&lt;=35,"Medio",IF(DER41&lt;=80,"Alto","Inviable Sanitariamente"))))</f>
        <v>Inviable Sanitariamente</v>
      </c>
      <c r="DFE41" s="117">
        <v>97.9</v>
      </c>
      <c r="DFG41" s="117">
        <f>AVERAGE(DEU41:DFF41)</f>
        <v>97.9</v>
      </c>
      <c r="DFH41" s="117" t="str">
        <f>IF(DFG41&lt;5,"SI","NO")</f>
        <v>NO</v>
      </c>
      <c r="DFI41" s="117" t="str">
        <f>IF(DFG41&lt;5,"Sin Riesgo",IF(DFG41 &lt;=14,"Bajo",IF(DFG41&lt;=35,"Medio",IF(DFG41&lt;=80,"Alto","Inviable Sanitariamente"))))</f>
        <v>Inviable Sanitariamente</v>
      </c>
      <c r="DFT41" s="117">
        <v>97.9</v>
      </c>
      <c r="DFV41" s="117">
        <f>AVERAGE(DFJ41:DFU41)</f>
        <v>97.9</v>
      </c>
      <c r="DFW41" s="117" t="str">
        <f>IF(DFV41&lt;5,"SI","NO")</f>
        <v>NO</v>
      </c>
      <c r="DFX41" s="117" t="str">
        <f>IF(DFV41&lt;5,"Sin Riesgo",IF(DFV41 &lt;=14,"Bajo",IF(DFV41&lt;=35,"Medio",IF(DFV41&lt;=80,"Alto","Inviable Sanitariamente"))))</f>
        <v>Inviable Sanitariamente</v>
      </c>
      <c r="DGI41" s="117">
        <v>97.9</v>
      </c>
      <c r="DGK41" s="117">
        <f>AVERAGE(DFY41:DGJ41)</f>
        <v>97.9</v>
      </c>
      <c r="DGL41" s="117" t="str">
        <f>IF(DGK41&lt;5,"SI","NO")</f>
        <v>NO</v>
      </c>
      <c r="DGM41" s="117" t="str">
        <f>IF(DGK41&lt;5,"Sin Riesgo",IF(DGK41 &lt;=14,"Bajo",IF(DGK41&lt;=35,"Medio",IF(DGK41&lt;=80,"Alto","Inviable Sanitariamente"))))</f>
        <v>Inviable Sanitariamente</v>
      </c>
      <c r="DGX41" s="117">
        <v>97.9</v>
      </c>
      <c r="DGZ41" s="117">
        <f>AVERAGE(DGN41:DGY41)</f>
        <v>97.9</v>
      </c>
      <c r="DHA41" s="117" t="str">
        <f>IF(DGZ41&lt;5,"SI","NO")</f>
        <v>NO</v>
      </c>
      <c r="DHB41" s="117" t="str">
        <f>IF(DGZ41&lt;5,"Sin Riesgo",IF(DGZ41 &lt;=14,"Bajo",IF(DGZ41&lt;=35,"Medio",IF(DGZ41&lt;=80,"Alto","Inviable Sanitariamente"))))</f>
        <v>Inviable Sanitariamente</v>
      </c>
      <c r="DHM41" s="117">
        <v>97.9</v>
      </c>
      <c r="DHO41" s="117">
        <f>AVERAGE(DHC41:DHN41)</f>
        <v>97.9</v>
      </c>
      <c r="DHP41" s="117" t="str">
        <f>IF(DHO41&lt;5,"SI","NO")</f>
        <v>NO</v>
      </c>
      <c r="DHQ41" s="117" t="str">
        <f>IF(DHO41&lt;5,"Sin Riesgo",IF(DHO41 &lt;=14,"Bajo",IF(DHO41&lt;=35,"Medio",IF(DHO41&lt;=80,"Alto","Inviable Sanitariamente"))))</f>
        <v>Inviable Sanitariamente</v>
      </c>
      <c r="DIB41" s="117">
        <v>97.9</v>
      </c>
      <c r="DID41" s="117">
        <f>AVERAGE(DHR41:DIC41)</f>
        <v>97.9</v>
      </c>
      <c r="DIE41" s="117" t="str">
        <f>IF(DID41&lt;5,"SI","NO")</f>
        <v>NO</v>
      </c>
      <c r="DIF41" s="117" t="str">
        <f>IF(DID41&lt;5,"Sin Riesgo",IF(DID41 &lt;=14,"Bajo",IF(DID41&lt;=35,"Medio",IF(DID41&lt;=80,"Alto","Inviable Sanitariamente"))))</f>
        <v>Inviable Sanitariamente</v>
      </c>
      <c r="DIQ41" s="117">
        <v>97.9</v>
      </c>
      <c r="DIS41" s="117">
        <f>AVERAGE(DIG41:DIR41)</f>
        <v>97.9</v>
      </c>
      <c r="DIT41" s="117" t="str">
        <f>IF(DIS41&lt;5,"SI","NO")</f>
        <v>NO</v>
      </c>
      <c r="DIU41" s="117" t="str">
        <f>IF(DIS41&lt;5,"Sin Riesgo",IF(DIS41 &lt;=14,"Bajo",IF(DIS41&lt;=35,"Medio",IF(DIS41&lt;=80,"Alto","Inviable Sanitariamente"))))</f>
        <v>Inviable Sanitariamente</v>
      </c>
      <c r="DJF41" s="117">
        <v>97.9</v>
      </c>
      <c r="DJH41" s="117">
        <f>AVERAGE(DIV41:DJG41)</f>
        <v>97.9</v>
      </c>
      <c r="DJI41" s="117" t="str">
        <f>IF(DJH41&lt;5,"SI","NO")</f>
        <v>NO</v>
      </c>
      <c r="DJJ41" s="117" t="str">
        <f>IF(DJH41&lt;5,"Sin Riesgo",IF(DJH41 &lt;=14,"Bajo",IF(DJH41&lt;=35,"Medio",IF(DJH41&lt;=80,"Alto","Inviable Sanitariamente"))))</f>
        <v>Inviable Sanitariamente</v>
      </c>
      <c r="DJU41" s="117">
        <v>97.9</v>
      </c>
      <c r="DJW41" s="117">
        <f>AVERAGE(DJK41:DJV41)</f>
        <v>97.9</v>
      </c>
      <c r="DJX41" s="117" t="str">
        <f>IF(DJW41&lt;5,"SI","NO")</f>
        <v>NO</v>
      </c>
      <c r="DJY41" s="117" t="str">
        <f>IF(DJW41&lt;5,"Sin Riesgo",IF(DJW41 &lt;=14,"Bajo",IF(DJW41&lt;=35,"Medio",IF(DJW41&lt;=80,"Alto","Inviable Sanitariamente"))))</f>
        <v>Inviable Sanitariamente</v>
      </c>
      <c r="DKJ41" s="117">
        <v>97.9</v>
      </c>
      <c r="DKL41" s="117">
        <f>AVERAGE(DJZ41:DKK41)</f>
        <v>97.9</v>
      </c>
      <c r="DKM41" s="117" t="str">
        <f>IF(DKL41&lt;5,"SI","NO")</f>
        <v>NO</v>
      </c>
      <c r="DKN41" s="117" t="str">
        <f>IF(DKL41&lt;5,"Sin Riesgo",IF(DKL41 &lt;=14,"Bajo",IF(DKL41&lt;=35,"Medio",IF(DKL41&lt;=80,"Alto","Inviable Sanitariamente"))))</f>
        <v>Inviable Sanitariamente</v>
      </c>
      <c r="DKY41" s="117">
        <v>97.9</v>
      </c>
      <c r="DLA41" s="117">
        <f>AVERAGE(DKO41:DKZ41)</f>
        <v>97.9</v>
      </c>
      <c r="DLB41" s="117" t="str">
        <f>IF(DLA41&lt;5,"SI","NO")</f>
        <v>NO</v>
      </c>
      <c r="DLC41" s="117" t="str">
        <f>IF(DLA41&lt;5,"Sin Riesgo",IF(DLA41 &lt;=14,"Bajo",IF(DLA41&lt;=35,"Medio",IF(DLA41&lt;=80,"Alto","Inviable Sanitariamente"))))</f>
        <v>Inviable Sanitariamente</v>
      </c>
      <c r="DLN41" s="117">
        <v>97.9</v>
      </c>
      <c r="DLP41" s="117">
        <f>AVERAGE(DLD41:DLO41)</f>
        <v>97.9</v>
      </c>
      <c r="DLQ41" s="117" t="str">
        <f>IF(DLP41&lt;5,"SI","NO")</f>
        <v>NO</v>
      </c>
      <c r="DLR41" s="117" t="str">
        <f>IF(DLP41&lt;5,"Sin Riesgo",IF(DLP41 &lt;=14,"Bajo",IF(DLP41&lt;=35,"Medio",IF(DLP41&lt;=80,"Alto","Inviable Sanitariamente"))))</f>
        <v>Inviable Sanitariamente</v>
      </c>
      <c r="DMC41" s="117">
        <v>97.9</v>
      </c>
      <c r="DME41" s="117">
        <f>AVERAGE(DLS41:DMD41)</f>
        <v>97.9</v>
      </c>
      <c r="DMF41" s="117" t="str">
        <f>IF(DME41&lt;5,"SI","NO")</f>
        <v>NO</v>
      </c>
      <c r="DMG41" s="117" t="str">
        <f>IF(DME41&lt;5,"Sin Riesgo",IF(DME41 &lt;=14,"Bajo",IF(DME41&lt;=35,"Medio",IF(DME41&lt;=80,"Alto","Inviable Sanitariamente"))))</f>
        <v>Inviable Sanitariamente</v>
      </c>
      <c r="DMR41" s="117">
        <v>97.9</v>
      </c>
      <c r="DMT41" s="117">
        <f>AVERAGE(DMH41:DMS41)</f>
        <v>97.9</v>
      </c>
      <c r="DMU41" s="117" t="str">
        <f>IF(DMT41&lt;5,"SI","NO")</f>
        <v>NO</v>
      </c>
      <c r="DMV41" s="117" t="str">
        <f>IF(DMT41&lt;5,"Sin Riesgo",IF(DMT41 &lt;=14,"Bajo",IF(DMT41&lt;=35,"Medio",IF(DMT41&lt;=80,"Alto","Inviable Sanitariamente"))))</f>
        <v>Inviable Sanitariamente</v>
      </c>
      <c r="DNG41" s="117">
        <v>97.9</v>
      </c>
      <c r="DNI41" s="117">
        <f>AVERAGE(DMW41:DNH41)</f>
        <v>97.9</v>
      </c>
      <c r="DNJ41" s="117" t="str">
        <f>IF(DNI41&lt;5,"SI","NO")</f>
        <v>NO</v>
      </c>
      <c r="DNK41" s="117" t="str">
        <f>IF(DNI41&lt;5,"Sin Riesgo",IF(DNI41 &lt;=14,"Bajo",IF(DNI41&lt;=35,"Medio",IF(DNI41&lt;=80,"Alto","Inviable Sanitariamente"))))</f>
        <v>Inviable Sanitariamente</v>
      </c>
      <c r="DNV41" s="117">
        <v>97.9</v>
      </c>
      <c r="DNX41" s="117">
        <f>AVERAGE(DNL41:DNW41)</f>
        <v>97.9</v>
      </c>
      <c r="DNY41" s="117" t="str">
        <f>IF(DNX41&lt;5,"SI","NO")</f>
        <v>NO</v>
      </c>
      <c r="DNZ41" s="117" t="str">
        <f>IF(DNX41&lt;5,"Sin Riesgo",IF(DNX41 &lt;=14,"Bajo",IF(DNX41&lt;=35,"Medio",IF(DNX41&lt;=80,"Alto","Inviable Sanitariamente"))))</f>
        <v>Inviable Sanitariamente</v>
      </c>
      <c r="DOK41" s="117">
        <v>97.9</v>
      </c>
      <c r="DOM41" s="117">
        <f>AVERAGE(DOA41:DOL41)</f>
        <v>97.9</v>
      </c>
      <c r="DON41" s="117" t="str">
        <f>IF(DOM41&lt;5,"SI","NO")</f>
        <v>NO</v>
      </c>
      <c r="DOO41" s="117" t="str">
        <f>IF(DOM41&lt;5,"Sin Riesgo",IF(DOM41 &lt;=14,"Bajo",IF(DOM41&lt;=35,"Medio",IF(DOM41&lt;=80,"Alto","Inviable Sanitariamente"))))</f>
        <v>Inviable Sanitariamente</v>
      </c>
      <c r="DOZ41" s="117">
        <v>97.9</v>
      </c>
      <c r="DPB41" s="117">
        <f>AVERAGE(DOP41:DPA41)</f>
        <v>97.9</v>
      </c>
      <c r="DPC41" s="117" t="str">
        <f>IF(DPB41&lt;5,"SI","NO")</f>
        <v>NO</v>
      </c>
      <c r="DPD41" s="117" t="str">
        <f>IF(DPB41&lt;5,"Sin Riesgo",IF(DPB41 &lt;=14,"Bajo",IF(DPB41&lt;=35,"Medio",IF(DPB41&lt;=80,"Alto","Inviable Sanitariamente"))))</f>
        <v>Inviable Sanitariamente</v>
      </c>
      <c r="DPO41" s="117">
        <v>97.9</v>
      </c>
      <c r="DPQ41" s="117">
        <f>AVERAGE(DPE41:DPP41)</f>
        <v>97.9</v>
      </c>
      <c r="DPR41" s="117" t="str">
        <f>IF(DPQ41&lt;5,"SI","NO")</f>
        <v>NO</v>
      </c>
      <c r="DPS41" s="117" t="str">
        <f>IF(DPQ41&lt;5,"Sin Riesgo",IF(DPQ41 &lt;=14,"Bajo",IF(DPQ41&lt;=35,"Medio",IF(DPQ41&lt;=80,"Alto","Inviable Sanitariamente"))))</f>
        <v>Inviable Sanitariamente</v>
      </c>
      <c r="DQD41" s="117">
        <v>97.9</v>
      </c>
      <c r="DQF41" s="117">
        <f>AVERAGE(DPT41:DQE41)</f>
        <v>97.9</v>
      </c>
      <c r="DQG41" s="117" t="str">
        <f>IF(DQF41&lt;5,"SI","NO")</f>
        <v>NO</v>
      </c>
      <c r="DQH41" s="117" t="str">
        <f>IF(DQF41&lt;5,"Sin Riesgo",IF(DQF41 &lt;=14,"Bajo",IF(DQF41&lt;=35,"Medio",IF(DQF41&lt;=80,"Alto","Inviable Sanitariamente"))))</f>
        <v>Inviable Sanitariamente</v>
      </c>
      <c r="DQS41" s="117">
        <v>97.9</v>
      </c>
      <c r="DQU41" s="117">
        <f>AVERAGE(DQI41:DQT41)</f>
        <v>97.9</v>
      </c>
      <c r="DQV41" s="117" t="str">
        <f>IF(DQU41&lt;5,"SI","NO")</f>
        <v>NO</v>
      </c>
      <c r="DQW41" s="117" t="str">
        <f>IF(DQU41&lt;5,"Sin Riesgo",IF(DQU41 &lt;=14,"Bajo",IF(DQU41&lt;=35,"Medio",IF(DQU41&lt;=80,"Alto","Inviable Sanitariamente"))))</f>
        <v>Inviable Sanitariamente</v>
      </c>
      <c r="DRH41" s="117">
        <v>97.9</v>
      </c>
      <c r="DRJ41" s="117">
        <f>AVERAGE(DQX41:DRI41)</f>
        <v>97.9</v>
      </c>
      <c r="DRK41" s="117" t="str">
        <f>IF(DRJ41&lt;5,"SI","NO")</f>
        <v>NO</v>
      </c>
      <c r="DRL41" s="117" t="str">
        <f>IF(DRJ41&lt;5,"Sin Riesgo",IF(DRJ41 &lt;=14,"Bajo",IF(DRJ41&lt;=35,"Medio",IF(DRJ41&lt;=80,"Alto","Inviable Sanitariamente"))))</f>
        <v>Inviable Sanitariamente</v>
      </c>
      <c r="DRW41" s="117">
        <v>97.9</v>
      </c>
      <c r="DRY41" s="117">
        <f>AVERAGE(DRM41:DRX41)</f>
        <v>97.9</v>
      </c>
      <c r="DRZ41" s="117" t="str">
        <f>IF(DRY41&lt;5,"SI","NO")</f>
        <v>NO</v>
      </c>
      <c r="DSA41" s="117" t="str">
        <f>IF(DRY41&lt;5,"Sin Riesgo",IF(DRY41 &lt;=14,"Bajo",IF(DRY41&lt;=35,"Medio",IF(DRY41&lt;=80,"Alto","Inviable Sanitariamente"))))</f>
        <v>Inviable Sanitariamente</v>
      </c>
      <c r="DSL41" s="117">
        <v>97.9</v>
      </c>
      <c r="DSN41" s="117">
        <f>AVERAGE(DSB41:DSM41)</f>
        <v>97.9</v>
      </c>
      <c r="DSO41" s="117" t="str">
        <f>IF(DSN41&lt;5,"SI","NO")</f>
        <v>NO</v>
      </c>
      <c r="DSP41" s="117" t="str">
        <f>IF(DSN41&lt;5,"Sin Riesgo",IF(DSN41 &lt;=14,"Bajo",IF(DSN41&lt;=35,"Medio",IF(DSN41&lt;=80,"Alto","Inviable Sanitariamente"))))</f>
        <v>Inviable Sanitariamente</v>
      </c>
      <c r="DTA41" s="117">
        <v>97.9</v>
      </c>
      <c r="DTC41" s="117">
        <f>AVERAGE(DSQ41:DTB41)</f>
        <v>97.9</v>
      </c>
      <c r="DTD41" s="117" t="str">
        <f>IF(DTC41&lt;5,"SI","NO")</f>
        <v>NO</v>
      </c>
      <c r="DTE41" s="117" t="str">
        <f>IF(DTC41&lt;5,"Sin Riesgo",IF(DTC41 &lt;=14,"Bajo",IF(DTC41&lt;=35,"Medio",IF(DTC41&lt;=80,"Alto","Inviable Sanitariamente"))))</f>
        <v>Inviable Sanitariamente</v>
      </c>
      <c r="DTP41" s="117">
        <v>97.9</v>
      </c>
      <c r="DTR41" s="117">
        <f>AVERAGE(DTF41:DTQ41)</f>
        <v>97.9</v>
      </c>
      <c r="DTS41" s="117" t="str">
        <f>IF(DTR41&lt;5,"SI","NO")</f>
        <v>NO</v>
      </c>
      <c r="DTT41" s="117" t="str">
        <f>IF(DTR41&lt;5,"Sin Riesgo",IF(DTR41 &lt;=14,"Bajo",IF(DTR41&lt;=35,"Medio",IF(DTR41&lt;=80,"Alto","Inviable Sanitariamente"))))</f>
        <v>Inviable Sanitariamente</v>
      </c>
      <c r="DUE41" s="117">
        <v>97.9</v>
      </c>
      <c r="DUG41" s="117">
        <f>AVERAGE(DTU41:DUF41)</f>
        <v>97.9</v>
      </c>
      <c r="DUH41" s="117" t="str">
        <f>IF(DUG41&lt;5,"SI","NO")</f>
        <v>NO</v>
      </c>
      <c r="DUI41" s="117" t="str">
        <f>IF(DUG41&lt;5,"Sin Riesgo",IF(DUG41 &lt;=14,"Bajo",IF(DUG41&lt;=35,"Medio",IF(DUG41&lt;=80,"Alto","Inviable Sanitariamente"))))</f>
        <v>Inviable Sanitariamente</v>
      </c>
      <c r="DUT41" s="117">
        <v>97.9</v>
      </c>
      <c r="DUV41" s="117">
        <f>AVERAGE(DUJ41:DUU41)</f>
        <v>97.9</v>
      </c>
      <c r="DUW41" s="117" t="str">
        <f>IF(DUV41&lt;5,"SI","NO")</f>
        <v>NO</v>
      </c>
      <c r="DUX41" s="117" t="str">
        <f>IF(DUV41&lt;5,"Sin Riesgo",IF(DUV41 &lt;=14,"Bajo",IF(DUV41&lt;=35,"Medio",IF(DUV41&lt;=80,"Alto","Inviable Sanitariamente"))))</f>
        <v>Inviable Sanitariamente</v>
      </c>
      <c r="DVI41" s="117">
        <v>97.9</v>
      </c>
      <c r="DVK41" s="117">
        <f>AVERAGE(DUY41:DVJ41)</f>
        <v>97.9</v>
      </c>
      <c r="DVL41" s="117" t="str">
        <f>IF(DVK41&lt;5,"SI","NO")</f>
        <v>NO</v>
      </c>
      <c r="DVM41" s="117" t="str">
        <f>IF(DVK41&lt;5,"Sin Riesgo",IF(DVK41 &lt;=14,"Bajo",IF(DVK41&lt;=35,"Medio",IF(DVK41&lt;=80,"Alto","Inviable Sanitariamente"))))</f>
        <v>Inviable Sanitariamente</v>
      </c>
      <c r="DVX41" s="117">
        <v>97.9</v>
      </c>
      <c r="DVZ41" s="117">
        <f>AVERAGE(DVN41:DVY41)</f>
        <v>97.9</v>
      </c>
      <c r="DWA41" s="117" t="str">
        <f>IF(DVZ41&lt;5,"SI","NO")</f>
        <v>NO</v>
      </c>
      <c r="DWB41" s="117" t="str">
        <f>IF(DVZ41&lt;5,"Sin Riesgo",IF(DVZ41 &lt;=14,"Bajo",IF(DVZ41&lt;=35,"Medio",IF(DVZ41&lt;=80,"Alto","Inviable Sanitariamente"))))</f>
        <v>Inviable Sanitariamente</v>
      </c>
      <c r="DWM41" s="117">
        <v>97.9</v>
      </c>
      <c r="DWO41" s="117">
        <f>AVERAGE(DWC41:DWN41)</f>
        <v>97.9</v>
      </c>
      <c r="DWP41" s="117" t="str">
        <f>IF(DWO41&lt;5,"SI","NO")</f>
        <v>NO</v>
      </c>
      <c r="DWQ41" s="117" t="str">
        <f>IF(DWO41&lt;5,"Sin Riesgo",IF(DWO41 &lt;=14,"Bajo",IF(DWO41&lt;=35,"Medio",IF(DWO41&lt;=80,"Alto","Inviable Sanitariamente"))))</f>
        <v>Inviable Sanitariamente</v>
      </c>
      <c r="DXB41" s="117">
        <v>97.9</v>
      </c>
      <c r="DXD41" s="117">
        <f>AVERAGE(DWR41:DXC41)</f>
        <v>97.9</v>
      </c>
      <c r="DXE41" s="117" t="str">
        <f>IF(DXD41&lt;5,"SI","NO")</f>
        <v>NO</v>
      </c>
      <c r="DXF41" s="117" t="str">
        <f>IF(DXD41&lt;5,"Sin Riesgo",IF(DXD41 &lt;=14,"Bajo",IF(DXD41&lt;=35,"Medio",IF(DXD41&lt;=80,"Alto","Inviable Sanitariamente"))))</f>
        <v>Inviable Sanitariamente</v>
      </c>
      <c r="DXQ41" s="117">
        <v>97.9</v>
      </c>
      <c r="DXS41" s="117">
        <f>AVERAGE(DXG41:DXR41)</f>
        <v>97.9</v>
      </c>
      <c r="DXT41" s="117" t="str">
        <f>IF(DXS41&lt;5,"SI","NO")</f>
        <v>NO</v>
      </c>
      <c r="DXU41" s="117" t="str">
        <f>IF(DXS41&lt;5,"Sin Riesgo",IF(DXS41 &lt;=14,"Bajo",IF(DXS41&lt;=35,"Medio",IF(DXS41&lt;=80,"Alto","Inviable Sanitariamente"))))</f>
        <v>Inviable Sanitariamente</v>
      </c>
      <c r="DYF41" s="117">
        <v>97.9</v>
      </c>
      <c r="DYH41" s="117">
        <f>AVERAGE(DXV41:DYG41)</f>
        <v>97.9</v>
      </c>
      <c r="DYI41" s="117" t="str">
        <f>IF(DYH41&lt;5,"SI","NO")</f>
        <v>NO</v>
      </c>
      <c r="DYJ41" s="117" t="str">
        <f>IF(DYH41&lt;5,"Sin Riesgo",IF(DYH41 &lt;=14,"Bajo",IF(DYH41&lt;=35,"Medio",IF(DYH41&lt;=80,"Alto","Inviable Sanitariamente"))))</f>
        <v>Inviable Sanitariamente</v>
      </c>
      <c r="DYU41" s="117">
        <v>97.9</v>
      </c>
      <c r="DYW41" s="117">
        <f>AVERAGE(DYK41:DYV41)</f>
        <v>97.9</v>
      </c>
      <c r="DYX41" s="117" t="str">
        <f>IF(DYW41&lt;5,"SI","NO")</f>
        <v>NO</v>
      </c>
      <c r="DYY41" s="117" t="str">
        <f>IF(DYW41&lt;5,"Sin Riesgo",IF(DYW41 &lt;=14,"Bajo",IF(DYW41&lt;=35,"Medio",IF(DYW41&lt;=80,"Alto","Inviable Sanitariamente"))))</f>
        <v>Inviable Sanitariamente</v>
      </c>
      <c r="DZJ41" s="117">
        <v>97.9</v>
      </c>
      <c r="DZL41" s="117">
        <f>AVERAGE(DYZ41:DZK41)</f>
        <v>97.9</v>
      </c>
      <c r="DZM41" s="117" t="str">
        <f>IF(DZL41&lt;5,"SI","NO")</f>
        <v>NO</v>
      </c>
      <c r="DZN41" s="117" t="str">
        <f>IF(DZL41&lt;5,"Sin Riesgo",IF(DZL41 &lt;=14,"Bajo",IF(DZL41&lt;=35,"Medio",IF(DZL41&lt;=80,"Alto","Inviable Sanitariamente"))))</f>
        <v>Inviable Sanitariamente</v>
      </c>
      <c r="DZY41" s="117">
        <v>97.9</v>
      </c>
      <c r="EAA41" s="117">
        <f>AVERAGE(DZO41:DZZ41)</f>
        <v>97.9</v>
      </c>
      <c r="EAB41" s="117" t="str">
        <f>IF(EAA41&lt;5,"SI","NO")</f>
        <v>NO</v>
      </c>
      <c r="EAC41" s="117" t="str">
        <f>IF(EAA41&lt;5,"Sin Riesgo",IF(EAA41 &lt;=14,"Bajo",IF(EAA41&lt;=35,"Medio",IF(EAA41&lt;=80,"Alto","Inviable Sanitariamente"))))</f>
        <v>Inviable Sanitariamente</v>
      </c>
      <c r="EAN41" s="117">
        <v>97.9</v>
      </c>
      <c r="EAP41" s="117">
        <f>AVERAGE(EAD41:EAO41)</f>
        <v>97.9</v>
      </c>
      <c r="EAQ41" s="117" t="str">
        <f>IF(EAP41&lt;5,"SI","NO")</f>
        <v>NO</v>
      </c>
      <c r="EAR41" s="117" t="str">
        <f>IF(EAP41&lt;5,"Sin Riesgo",IF(EAP41 &lt;=14,"Bajo",IF(EAP41&lt;=35,"Medio",IF(EAP41&lt;=80,"Alto","Inviable Sanitariamente"))))</f>
        <v>Inviable Sanitariamente</v>
      </c>
      <c r="EBC41" s="117">
        <v>97.9</v>
      </c>
      <c r="EBE41" s="117">
        <f>AVERAGE(EAS41:EBD41)</f>
        <v>97.9</v>
      </c>
      <c r="EBF41" s="117" t="str">
        <f>IF(EBE41&lt;5,"SI","NO")</f>
        <v>NO</v>
      </c>
      <c r="EBG41" s="117" t="str">
        <f>IF(EBE41&lt;5,"Sin Riesgo",IF(EBE41 &lt;=14,"Bajo",IF(EBE41&lt;=35,"Medio",IF(EBE41&lt;=80,"Alto","Inviable Sanitariamente"))))</f>
        <v>Inviable Sanitariamente</v>
      </c>
      <c r="EBR41" s="117">
        <v>97.9</v>
      </c>
      <c r="EBT41" s="117">
        <f>AVERAGE(EBH41:EBS41)</f>
        <v>97.9</v>
      </c>
      <c r="EBU41" s="117" t="str">
        <f>IF(EBT41&lt;5,"SI","NO")</f>
        <v>NO</v>
      </c>
      <c r="EBV41" s="117" t="str">
        <f>IF(EBT41&lt;5,"Sin Riesgo",IF(EBT41 &lt;=14,"Bajo",IF(EBT41&lt;=35,"Medio",IF(EBT41&lt;=80,"Alto","Inviable Sanitariamente"))))</f>
        <v>Inviable Sanitariamente</v>
      </c>
      <c r="ECG41" s="117">
        <v>97.9</v>
      </c>
      <c r="ECI41" s="117">
        <f>AVERAGE(EBW41:ECH41)</f>
        <v>97.9</v>
      </c>
      <c r="ECJ41" s="117" t="str">
        <f>IF(ECI41&lt;5,"SI","NO")</f>
        <v>NO</v>
      </c>
      <c r="ECK41" s="117" t="str">
        <f>IF(ECI41&lt;5,"Sin Riesgo",IF(ECI41 &lt;=14,"Bajo",IF(ECI41&lt;=35,"Medio",IF(ECI41&lt;=80,"Alto","Inviable Sanitariamente"))))</f>
        <v>Inviable Sanitariamente</v>
      </c>
      <c r="ECV41" s="117">
        <v>97.9</v>
      </c>
      <c r="ECX41" s="117">
        <f>AVERAGE(ECL41:ECW41)</f>
        <v>97.9</v>
      </c>
      <c r="ECY41" s="117" t="str">
        <f>IF(ECX41&lt;5,"SI","NO")</f>
        <v>NO</v>
      </c>
      <c r="ECZ41" s="117" t="str">
        <f>IF(ECX41&lt;5,"Sin Riesgo",IF(ECX41 &lt;=14,"Bajo",IF(ECX41&lt;=35,"Medio",IF(ECX41&lt;=80,"Alto","Inviable Sanitariamente"))))</f>
        <v>Inviable Sanitariamente</v>
      </c>
      <c r="EDK41" s="117">
        <v>97.9</v>
      </c>
      <c r="EDM41" s="117">
        <f>AVERAGE(EDA41:EDL41)</f>
        <v>97.9</v>
      </c>
      <c r="EDN41" s="117" t="str">
        <f>IF(EDM41&lt;5,"SI","NO")</f>
        <v>NO</v>
      </c>
      <c r="EDO41" s="117" t="str">
        <f>IF(EDM41&lt;5,"Sin Riesgo",IF(EDM41 &lt;=14,"Bajo",IF(EDM41&lt;=35,"Medio",IF(EDM41&lt;=80,"Alto","Inviable Sanitariamente"))))</f>
        <v>Inviable Sanitariamente</v>
      </c>
      <c r="EDZ41" s="117">
        <v>97.9</v>
      </c>
      <c r="EEB41" s="117">
        <f>AVERAGE(EDP41:EEA41)</f>
        <v>97.9</v>
      </c>
      <c r="EEC41" s="117" t="str">
        <f>IF(EEB41&lt;5,"SI","NO")</f>
        <v>NO</v>
      </c>
      <c r="EED41" s="117" t="str">
        <f>IF(EEB41&lt;5,"Sin Riesgo",IF(EEB41 &lt;=14,"Bajo",IF(EEB41&lt;=35,"Medio",IF(EEB41&lt;=80,"Alto","Inviable Sanitariamente"))))</f>
        <v>Inviable Sanitariamente</v>
      </c>
      <c r="EEO41" s="117">
        <v>97.9</v>
      </c>
      <c r="EEQ41" s="117">
        <f>AVERAGE(EEE41:EEP41)</f>
        <v>97.9</v>
      </c>
      <c r="EER41" s="117" t="str">
        <f>IF(EEQ41&lt;5,"SI","NO")</f>
        <v>NO</v>
      </c>
      <c r="EES41" s="117" t="str">
        <f>IF(EEQ41&lt;5,"Sin Riesgo",IF(EEQ41 &lt;=14,"Bajo",IF(EEQ41&lt;=35,"Medio",IF(EEQ41&lt;=80,"Alto","Inviable Sanitariamente"))))</f>
        <v>Inviable Sanitariamente</v>
      </c>
      <c r="EFD41" s="117">
        <v>97.9</v>
      </c>
      <c r="EFF41" s="117">
        <f>AVERAGE(EET41:EFE41)</f>
        <v>97.9</v>
      </c>
      <c r="EFG41" s="117" t="str">
        <f>IF(EFF41&lt;5,"SI","NO")</f>
        <v>NO</v>
      </c>
      <c r="EFH41" s="117" t="str">
        <f>IF(EFF41&lt;5,"Sin Riesgo",IF(EFF41 &lt;=14,"Bajo",IF(EFF41&lt;=35,"Medio",IF(EFF41&lt;=80,"Alto","Inviable Sanitariamente"))))</f>
        <v>Inviable Sanitariamente</v>
      </c>
      <c r="EFS41" s="117">
        <v>97.9</v>
      </c>
      <c r="EFU41" s="117">
        <f>AVERAGE(EFI41:EFT41)</f>
        <v>97.9</v>
      </c>
      <c r="EFV41" s="117" t="str">
        <f>IF(EFU41&lt;5,"SI","NO")</f>
        <v>NO</v>
      </c>
      <c r="EFW41" s="117" t="str">
        <f>IF(EFU41&lt;5,"Sin Riesgo",IF(EFU41 &lt;=14,"Bajo",IF(EFU41&lt;=35,"Medio",IF(EFU41&lt;=80,"Alto","Inviable Sanitariamente"))))</f>
        <v>Inviable Sanitariamente</v>
      </c>
      <c r="EGH41" s="117">
        <v>97.9</v>
      </c>
      <c r="EGJ41" s="117">
        <f>AVERAGE(EFX41:EGI41)</f>
        <v>97.9</v>
      </c>
      <c r="EGK41" s="117" t="str">
        <f>IF(EGJ41&lt;5,"SI","NO")</f>
        <v>NO</v>
      </c>
      <c r="EGL41" s="117" t="str">
        <f>IF(EGJ41&lt;5,"Sin Riesgo",IF(EGJ41 &lt;=14,"Bajo",IF(EGJ41&lt;=35,"Medio",IF(EGJ41&lt;=80,"Alto","Inviable Sanitariamente"))))</f>
        <v>Inviable Sanitariamente</v>
      </c>
      <c r="EGW41" s="117">
        <v>97.9</v>
      </c>
      <c r="EGY41" s="117">
        <f>AVERAGE(EGM41:EGX41)</f>
        <v>97.9</v>
      </c>
      <c r="EGZ41" s="117" t="str">
        <f>IF(EGY41&lt;5,"SI","NO")</f>
        <v>NO</v>
      </c>
      <c r="EHA41" s="117" t="str">
        <f>IF(EGY41&lt;5,"Sin Riesgo",IF(EGY41 &lt;=14,"Bajo",IF(EGY41&lt;=35,"Medio",IF(EGY41&lt;=80,"Alto","Inviable Sanitariamente"))))</f>
        <v>Inviable Sanitariamente</v>
      </c>
      <c r="EHL41" s="117">
        <v>97.9</v>
      </c>
      <c r="EHN41" s="117">
        <f>AVERAGE(EHB41:EHM41)</f>
        <v>97.9</v>
      </c>
      <c r="EHO41" s="117" t="str">
        <f>IF(EHN41&lt;5,"SI","NO")</f>
        <v>NO</v>
      </c>
      <c r="EHP41" s="117" t="str">
        <f>IF(EHN41&lt;5,"Sin Riesgo",IF(EHN41 &lt;=14,"Bajo",IF(EHN41&lt;=35,"Medio",IF(EHN41&lt;=80,"Alto","Inviable Sanitariamente"))))</f>
        <v>Inviable Sanitariamente</v>
      </c>
      <c r="EIA41" s="117">
        <v>97.9</v>
      </c>
      <c r="EIC41" s="117">
        <f>AVERAGE(EHQ41:EIB41)</f>
        <v>97.9</v>
      </c>
      <c r="EID41" s="117" t="str">
        <f>IF(EIC41&lt;5,"SI","NO")</f>
        <v>NO</v>
      </c>
      <c r="EIE41" s="117" t="str">
        <f>IF(EIC41&lt;5,"Sin Riesgo",IF(EIC41 &lt;=14,"Bajo",IF(EIC41&lt;=35,"Medio",IF(EIC41&lt;=80,"Alto","Inviable Sanitariamente"))))</f>
        <v>Inviable Sanitariamente</v>
      </c>
      <c r="EIP41" s="117">
        <v>97.9</v>
      </c>
      <c r="EIR41" s="117">
        <f>AVERAGE(EIF41:EIQ41)</f>
        <v>97.9</v>
      </c>
      <c r="EIS41" s="117" t="str">
        <f>IF(EIR41&lt;5,"SI","NO")</f>
        <v>NO</v>
      </c>
      <c r="EIT41" s="117" t="str">
        <f>IF(EIR41&lt;5,"Sin Riesgo",IF(EIR41 &lt;=14,"Bajo",IF(EIR41&lt;=35,"Medio",IF(EIR41&lt;=80,"Alto","Inviable Sanitariamente"))))</f>
        <v>Inviable Sanitariamente</v>
      </c>
      <c r="EJE41" s="117">
        <v>97.9</v>
      </c>
      <c r="EJG41" s="117">
        <f>AVERAGE(EIU41:EJF41)</f>
        <v>97.9</v>
      </c>
      <c r="EJH41" s="117" t="str">
        <f>IF(EJG41&lt;5,"SI","NO")</f>
        <v>NO</v>
      </c>
      <c r="EJI41" s="117" t="str">
        <f>IF(EJG41&lt;5,"Sin Riesgo",IF(EJG41 &lt;=14,"Bajo",IF(EJG41&lt;=35,"Medio",IF(EJG41&lt;=80,"Alto","Inviable Sanitariamente"))))</f>
        <v>Inviable Sanitariamente</v>
      </c>
      <c r="EJT41" s="117">
        <v>97.9</v>
      </c>
      <c r="EJV41" s="117">
        <f>AVERAGE(EJJ41:EJU41)</f>
        <v>97.9</v>
      </c>
      <c r="EJW41" s="117" t="str">
        <f>IF(EJV41&lt;5,"SI","NO")</f>
        <v>NO</v>
      </c>
      <c r="EJX41" s="117" t="str">
        <f>IF(EJV41&lt;5,"Sin Riesgo",IF(EJV41 &lt;=14,"Bajo",IF(EJV41&lt;=35,"Medio",IF(EJV41&lt;=80,"Alto","Inviable Sanitariamente"))))</f>
        <v>Inviable Sanitariamente</v>
      </c>
      <c r="EKI41" s="117">
        <v>97.9</v>
      </c>
      <c r="EKK41" s="117">
        <f>AVERAGE(EJY41:EKJ41)</f>
        <v>97.9</v>
      </c>
      <c r="EKL41" s="117" t="str">
        <f>IF(EKK41&lt;5,"SI","NO")</f>
        <v>NO</v>
      </c>
      <c r="EKM41" s="117" t="str">
        <f>IF(EKK41&lt;5,"Sin Riesgo",IF(EKK41 &lt;=14,"Bajo",IF(EKK41&lt;=35,"Medio",IF(EKK41&lt;=80,"Alto","Inviable Sanitariamente"))))</f>
        <v>Inviable Sanitariamente</v>
      </c>
      <c r="EKX41" s="117">
        <v>97.9</v>
      </c>
      <c r="EKZ41" s="117">
        <f>AVERAGE(EKN41:EKY41)</f>
        <v>97.9</v>
      </c>
      <c r="ELA41" s="117" t="str">
        <f>IF(EKZ41&lt;5,"SI","NO")</f>
        <v>NO</v>
      </c>
      <c r="ELB41" s="117" t="str">
        <f>IF(EKZ41&lt;5,"Sin Riesgo",IF(EKZ41 &lt;=14,"Bajo",IF(EKZ41&lt;=35,"Medio",IF(EKZ41&lt;=80,"Alto","Inviable Sanitariamente"))))</f>
        <v>Inviable Sanitariamente</v>
      </c>
      <c r="ELM41" s="117">
        <v>97.9</v>
      </c>
      <c r="ELO41" s="117">
        <f>AVERAGE(ELC41:ELN41)</f>
        <v>97.9</v>
      </c>
      <c r="ELP41" s="117" t="str">
        <f>IF(ELO41&lt;5,"SI","NO")</f>
        <v>NO</v>
      </c>
      <c r="ELQ41" s="117" t="str">
        <f>IF(ELO41&lt;5,"Sin Riesgo",IF(ELO41 &lt;=14,"Bajo",IF(ELO41&lt;=35,"Medio",IF(ELO41&lt;=80,"Alto","Inviable Sanitariamente"))))</f>
        <v>Inviable Sanitariamente</v>
      </c>
      <c r="EMB41" s="117">
        <v>97.9</v>
      </c>
      <c r="EMD41" s="117">
        <f>AVERAGE(ELR41:EMC41)</f>
        <v>97.9</v>
      </c>
      <c r="EME41" s="117" t="str">
        <f>IF(EMD41&lt;5,"SI","NO")</f>
        <v>NO</v>
      </c>
      <c r="EMF41" s="117" t="str">
        <f>IF(EMD41&lt;5,"Sin Riesgo",IF(EMD41 &lt;=14,"Bajo",IF(EMD41&lt;=35,"Medio",IF(EMD41&lt;=80,"Alto","Inviable Sanitariamente"))))</f>
        <v>Inviable Sanitariamente</v>
      </c>
      <c r="EMQ41" s="117">
        <v>97.9</v>
      </c>
      <c r="EMS41" s="117">
        <f>AVERAGE(EMG41:EMR41)</f>
        <v>97.9</v>
      </c>
      <c r="EMT41" s="117" t="str">
        <f>IF(EMS41&lt;5,"SI","NO")</f>
        <v>NO</v>
      </c>
      <c r="EMU41" s="117" t="str">
        <f>IF(EMS41&lt;5,"Sin Riesgo",IF(EMS41 &lt;=14,"Bajo",IF(EMS41&lt;=35,"Medio",IF(EMS41&lt;=80,"Alto","Inviable Sanitariamente"))))</f>
        <v>Inviable Sanitariamente</v>
      </c>
      <c r="ENF41" s="117">
        <v>97.9</v>
      </c>
      <c r="ENH41" s="117">
        <f>AVERAGE(EMV41:ENG41)</f>
        <v>97.9</v>
      </c>
      <c r="ENI41" s="117" t="str">
        <f>IF(ENH41&lt;5,"SI","NO")</f>
        <v>NO</v>
      </c>
      <c r="ENJ41" s="117" t="str">
        <f>IF(ENH41&lt;5,"Sin Riesgo",IF(ENH41 &lt;=14,"Bajo",IF(ENH41&lt;=35,"Medio",IF(ENH41&lt;=80,"Alto","Inviable Sanitariamente"))))</f>
        <v>Inviable Sanitariamente</v>
      </c>
      <c r="ENU41" s="117">
        <v>97.9</v>
      </c>
      <c r="ENW41" s="117">
        <f>AVERAGE(ENK41:ENV41)</f>
        <v>97.9</v>
      </c>
      <c r="ENX41" s="117" t="str">
        <f>IF(ENW41&lt;5,"SI","NO")</f>
        <v>NO</v>
      </c>
      <c r="ENY41" s="117" t="str">
        <f>IF(ENW41&lt;5,"Sin Riesgo",IF(ENW41 &lt;=14,"Bajo",IF(ENW41&lt;=35,"Medio",IF(ENW41&lt;=80,"Alto","Inviable Sanitariamente"))))</f>
        <v>Inviable Sanitariamente</v>
      </c>
      <c r="EOJ41" s="117">
        <v>97.9</v>
      </c>
      <c r="EOL41" s="117">
        <f>AVERAGE(ENZ41:EOK41)</f>
        <v>97.9</v>
      </c>
      <c r="EOM41" s="117" t="str">
        <f>IF(EOL41&lt;5,"SI","NO")</f>
        <v>NO</v>
      </c>
      <c r="EON41" s="117" t="str">
        <f>IF(EOL41&lt;5,"Sin Riesgo",IF(EOL41 &lt;=14,"Bajo",IF(EOL41&lt;=35,"Medio",IF(EOL41&lt;=80,"Alto","Inviable Sanitariamente"))))</f>
        <v>Inviable Sanitariamente</v>
      </c>
      <c r="EOY41" s="117">
        <v>97.9</v>
      </c>
      <c r="EPA41" s="117">
        <f>AVERAGE(EOO41:EOZ41)</f>
        <v>97.9</v>
      </c>
      <c r="EPB41" s="117" t="str">
        <f>IF(EPA41&lt;5,"SI","NO")</f>
        <v>NO</v>
      </c>
      <c r="EPC41" s="117" t="str">
        <f>IF(EPA41&lt;5,"Sin Riesgo",IF(EPA41 &lt;=14,"Bajo",IF(EPA41&lt;=35,"Medio",IF(EPA41&lt;=80,"Alto","Inviable Sanitariamente"))))</f>
        <v>Inviable Sanitariamente</v>
      </c>
      <c r="EPN41" s="117">
        <v>97.9</v>
      </c>
      <c r="EPP41" s="117">
        <f>AVERAGE(EPD41:EPO41)</f>
        <v>97.9</v>
      </c>
      <c r="EPQ41" s="117" t="str">
        <f>IF(EPP41&lt;5,"SI","NO")</f>
        <v>NO</v>
      </c>
      <c r="EPR41" s="117" t="str">
        <f>IF(EPP41&lt;5,"Sin Riesgo",IF(EPP41 &lt;=14,"Bajo",IF(EPP41&lt;=35,"Medio",IF(EPP41&lt;=80,"Alto","Inviable Sanitariamente"))))</f>
        <v>Inviable Sanitariamente</v>
      </c>
      <c r="EQC41" s="117">
        <v>97.9</v>
      </c>
      <c r="EQE41" s="117">
        <f>AVERAGE(EPS41:EQD41)</f>
        <v>97.9</v>
      </c>
      <c r="EQF41" s="117" t="str">
        <f>IF(EQE41&lt;5,"SI","NO")</f>
        <v>NO</v>
      </c>
      <c r="EQG41" s="117" t="str">
        <f>IF(EQE41&lt;5,"Sin Riesgo",IF(EQE41 &lt;=14,"Bajo",IF(EQE41&lt;=35,"Medio",IF(EQE41&lt;=80,"Alto","Inviable Sanitariamente"))))</f>
        <v>Inviable Sanitariamente</v>
      </c>
      <c r="EQR41" s="117">
        <v>97.9</v>
      </c>
      <c r="EQT41" s="117">
        <f>AVERAGE(EQH41:EQS41)</f>
        <v>97.9</v>
      </c>
      <c r="EQU41" s="117" t="str">
        <f>IF(EQT41&lt;5,"SI","NO")</f>
        <v>NO</v>
      </c>
      <c r="EQV41" s="117" t="str">
        <f>IF(EQT41&lt;5,"Sin Riesgo",IF(EQT41 &lt;=14,"Bajo",IF(EQT41&lt;=35,"Medio",IF(EQT41&lt;=80,"Alto","Inviable Sanitariamente"))))</f>
        <v>Inviable Sanitariamente</v>
      </c>
      <c r="ERG41" s="117">
        <v>97.9</v>
      </c>
      <c r="ERI41" s="117">
        <f>AVERAGE(EQW41:ERH41)</f>
        <v>97.9</v>
      </c>
      <c r="ERJ41" s="117" t="str">
        <f>IF(ERI41&lt;5,"SI","NO")</f>
        <v>NO</v>
      </c>
      <c r="ERK41" s="117" t="str">
        <f>IF(ERI41&lt;5,"Sin Riesgo",IF(ERI41 &lt;=14,"Bajo",IF(ERI41&lt;=35,"Medio",IF(ERI41&lt;=80,"Alto","Inviable Sanitariamente"))))</f>
        <v>Inviable Sanitariamente</v>
      </c>
      <c r="ERV41" s="117">
        <v>97.9</v>
      </c>
      <c r="ERX41" s="117">
        <f>AVERAGE(ERL41:ERW41)</f>
        <v>97.9</v>
      </c>
      <c r="ERY41" s="117" t="str">
        <f>IF(ERX41&lt;5,"SI","NO")</f>
        <v>NO</v>
      </c>
      <c r="ERZ41" s="117" t="str">
        <f>IF(ERX41&lt;5,"Sin Riesgo",IF(ERX41 &lt;=14,"Bajo",IF(ERX41&lt;=35,"Medio",IF(ERX41&lt;=80,"Alto","Inviable Sanitariamente"))))</f>
        <v>Inviable Sanitariamente</v>
      </c>
      <c r="ESK41" s="117">
        <v>97.9</v>
      </c>
      <c r="ESM41" s="117">
        <f>AVERAGE(ESA41:ESL41)</f>
        <v>97.9</v>
      </c>
      <c r="ESN41" s="117" t="str">
        <f>IF(ESM41&lt;5,"SI","NO")</f>
        <v>NO</v>
      </c>
      <c r="ESO41" s="117" t="str">
        <f>IF(ESM41&lt;5,"Sin Riesgo",IF(ESM41 &lt;=14,"Bajo",IF(ESM41&lt;=35,"Medio",IF(ESM41&lt;=80,"Alto","Inviable Sanitariamente"))))</f>
        <v>Inviable Sanitariamente</v>
      </c>
      <c r="ESZ41" s="117">
        <v>97.9</v>
      </c>
      <c r="ETB41" s="117">
        <f>AVERAGE(ESP41:ETA41)</f>
        <v>97.9</v>
      </c>
      <c r="ETC41" s="117" t="str">
        <f>IF(ETB41&lt;5,"SI","NO")</f>
        <v>NO</v>
      </c>
      <c r="ETD41" s="117" t="str">
        <f>IF(ETB41&lt;5,"Sin Riesgo",IF(ETB41 &lt;=14,"Bajo",IF(ETB41&lt;=35,"Medio",IF(ETB41&lt;=80,"Alto","Inviable Sanitariamente"))))</f>
        <v>Inviable Sanitariamente</v>
      </c>
      <c r="ETO41" s="117">
        <v>97.9</v>
      </c>
      <c r="ETQ41" s="117">
        <f>AVERAGE(ETE41:ETP41)</f>
        <v>97.9</v>
      </c>
      <c r="ETR41" s="117" t="str">
        <f>IF(ETQ41&lt;5,"SI","NO")</f>
        <v>NO</v>
      </c>
      <c r="ETS41" s="117" t="str">
        <f>IF(ETQ41&lt;5,"Sin Riesgo",IF(ETQ41 &lt;=14,"Bajo",IF(ETQ41&lt;=35,"Medio",IF(ETQ41&lt;=80,"Alto","Inviable Sanitariamente"))))</f>
        <v>Inviable Sanitariamente</v>
      </c>
      <c r="EUD41" s="117">
        <v>97.9</v>
      </c>
      <c r="EUF41" s="117">
        <f>AVERAGE(ETT41:EUE41)</f>
        <v>97.9</v>
      </c>
      <c r="EUG41" s="117" t="str">
        <f>IF(EUF41&lt;5,"SI","NO")</f>
        <v>NO</v>
      </c>
      <c r="EUH41" s="117" t="str">
        <f>IF(EUF41&lt;5,"Sin Riesgo",IF(EUF41 &lt;=14,"Bajo",IF(EUF41&lt;=35,"Medio",IF(EUF41&lt;=80,"Alto","Inviable Sanitariamente"))))</f>
        <v>Inviable Sanitariamente</v>
      </c>
      <c r="EUS41" s="117">
        <v>97.9</v>
      </c>
      <c r="EUU41" s="117">
        <f>AVERAGE(EUI41:EUT41)</f>
        <v>97.9</v>
      </c>
      <c r="EUV41" s="117" t="str">
        <f>IF(EUU41&lt;5,"SI","NO")</f>
        <v>NO</v>
      </c>
      <c r="EUW41" s="117" t="str">
        <f>IF(EUU41&lt;5,"Sin Riesgo",IF(EUU41 &lt;=14,"Bajo",IF(EUU41&lt;=35,"Medio",IF(EUU41&lt;=80,"Alto","Inviable Sanitariamente"))))</f>
        <v>Inviable Sanitariamente</v>
      </c>
      <c r="EVH41" s="117">
        <v>97.9</v>
      </c>
      <c r="EVJ41" s="117">
        <f>AVERAGE(EUX41:EVI41)</f>
        <v>97.9</v>
      </c>
      <c r="EVK41" s="117" t="str">
        <f>IF(EVJ41&lt;5,"SI","NO")</f>
        <v>NO</v>
      </c>
      <c r="EVL41" s="117" t="str">
        <f>IF(EVJ41&lt;5,"Sin Riesgo",IF(EVJ41 &lt;=14,"Bajo",IF(EVJ41&lt;=35,"Medio",IF(EVJ41&lt;=80,"Alto","Inviable Sanitariamente"))))</f>
        <v>Inviable Sanitariamente</v>
      </c>
      <c r="EVW41" s="117">
        <v>97.9</v>
      </c>
      <c r="EVY41" s="117">
        <f>AVERAGE(EVM41:EVX41)</f>
        <v>97.9</v>
      </c>
      <c r="EVZ41" s="117" t="str">
        <f>IF(EVY41&lt;5,"SI","NO")</f>
        <v>NO</v>
      </c>
      <c r="EWA41" s="117" t="str">
        <f>IF(EVY41&lt;5,"Sin Riesgo",IF(EVY41 &lt;=14,"Bajo",IF(EVY41&lt;=35,"Medio",IF(EVY41&lt;=80,"Alto","Inviable Sanitariamente"))))</f>
        <v>Inviable Sanitariamente</v>
      </c>
      <c r="EWL41" s="117">
        <v>97.9</v>
      </c>
      <c r="EWN41" s="117">
        <f>AVERAGE(EWB41:EWM41)</f>
        <v>97.9</v>
      </c>
      <c r="EWO41" s="117" t="str">
        <f>IF(EWN41&lt;5,"SI","NO")</f>
        <v>NO</v>
      </c>
      <c r="EWP41" s="117" t="str">
        <f>IF(EWN41&lt;5,"Sin Riesgo",IF(EWN41 &lt;=14,"Bajo",IF(EWN41&lt;=35,"Medio",IF(EWN41&lt;=80,"Alto","Inviable Sanitariamente"))))</f>
        <v>Inviable Sanitariamente</v>
      </c>
      <c r="EXA41" s="117">
        <v>97.9</v>
      </c>
      <c r="EXC41" s="117">
        <f>AVERAGE(EWQ41:EXB41)</f>
        <v>97.9</v>
      </c>
      <c r="EXD41" s="117" t="str">
        <f>IF(EXC41&lt;5,"SI","NO")</f>
        <v>NO</v>
      </c>
      <c r="EXE41" s="117" t="str">
        <f>IF(EXC41&lt;5,"Sin Riesgo",IF(EXC41 &lt;=14,"Bajo",IF(EXC41&lt;=35,"Medio",IF(EXC41&lt;=80,"Alto","Inviable Sanitariamente"))))</f>
        <v>Inviable Sanitariamente</v>
      </c>
      <c r="EXP41" s="117">
        <v>97.9</v>
      </c>
      <c r="EXR41" s="117">
        <f>AVERAGE(EXF41:EXQ41)</f>
        <v>97.9</v>
      </c>
      <c r="EXS41" s="117" t="str">
        <f>IF(EXR41&lt;5,"SI","NO")</f>
        <v>NO</v>
      </c>
      <c r="EXT41" s="117" t="str">
        <f>IF(EXR41&lt;5,"Sin Riesgo",IF(EXR41 &lt;=14,"Bajo",IF(EXR41&lt;=35,"Medio",IF(EXR41&lt;=80,"Alto","Inviable Sanitariamente"))))</f>
        <v>Inviable Sanitariamente</v>
      </c>
      <c r="EYE41" s="117">
        <v>97.9</v>
      </c>
      <c r="EYG41" s="117">
        <f>AVERAGE(EXU41:EYF41)</f>
        <v>97.9</v>
      </c>
      <c r="EYH41" s="117" t="str">
        <f>IF(EYG41&lt;5,"SI","NO")</f>
        <v>NO</v>
      </c>
      <c r="EYI41" s="117" t="str">
        <f>IF(EYG41&lt;5,"Sin Riesgo",IF(EYG41 &lt;=14,"Bajo",IF(EYG41&lt;=35,"Medio",IF(EYG41&lt;=80,"Alto","Inviable Sanitariamente"))))</f>
        <v>Inviable Sanitariamente</v>
      </c>
      <c r="EYT41" s="117">
        <v>97.9</v>
      </c>
      <c r="EYV41" s="117">
        <f>AVERAGE(EYJ41:EYU41)</f>
        <v>97.9</v>
      </c>
      <c r="EYW41" s="117" t="str">
        <f>IF(EYV41&lt;5,"SI","NO")</f>
        <v>NO</v>
      </c>
      <c r="EYX41" s="117" t="str">
        <f>IF(EYV41&lt;5,"Sin Riesgo",IF(EYV41 &lt;=14,"Bajo",IF(EYV41&lt;=35,"Medio",IF(EYV41&lt;=80,"Alto","Inviable Sanitariamente"))))</f>
        <v>Inviable Sanitariamente</v>
      </c>
      <c r="EZI41" s="117">
        <v>97.9</v>
      </c>
      <c r="EZK41" s="117">
        <f>AVERAGE(EYY41:EZJ41)</f>
        <v>97.9</v>
      </c>
      <c r="EZL41" s="117" t="str">
        <f>IF(EZK41&lt;5,"SI","NO")</f>
        <v>NO</v>
      </c>
      <c r="EZM41" s="117" t="str">
        <f>IF(EZK41&lt;5,"Sin Riesgo",IF(EZK41 &lt;=14,"Bajo",IF(EZK41&lt;=35,"Medio",IF(EZK41&lt;=80,"Alto","Inviable Sanitariamente"))))</f>
        <v>Inviable Sanitariamente</v>
      </c>
      <c r="EZX41" s="117">
        <v>97.9</v>
      </c>
      <c r="EZZ41" s="117">
        <f>AVERAGE(EZN41:EZY41)</f>
        <v>97.9</v>
      </c>
      <c r="FAA41" s="117" t="str">
        <f>IF(EZZ41&lt;5,"SI","NO")</f>
        <v>NO</v>
      </c>
      <c r="FAB41" s="117" t="str">
        <f>IF(EZZ41&lt;5,"Sin Riesgo",IF(EZZ41 &lt;=14,"Bajo",IF(EZZ41&lt;=35,"Medio",IF(EZZ41&lt;=80,"Alto","Inviable Sanitariamente"))))</f>
        <v>Inviable Sanitariamente</v>
      </c>
      <c r="FAM41" s="117">
        <v>97.9</v>
      </c>
      <c r="FAO41" s="117">
        <f>AVERAGE(FAC41:FAN41)</f>
        <v>97.9</v>
      </c>
      <c r="FAP41" s="117" t="str">
        <f>IF(FAO41&lt;5,"SI","NO")</f>
        <v>NO</v>
      </c>
      <c r="FAQ41" s="117" t="str">
        <f>IF(FAO41&lt;5,"Sin Riesgo",IF(FAO41 &lt;=14,"Bajo",IF(FAO41&lt;=35,"Medio",IF(FAO41&lt;=80,"Alto","Inviable Sanitariamente"))))</f>
        <v>Inviable Sanitariamente</v>
      </c>
      <c r="FBB41" s="117">
        <v>97.9</v>
      </c>
      <c r="FBD41" s="117">
        <f>AVERAGE(FAR41:FBC41)</f>
        <v>97.9</v>
      </c>
      <c r="FBE41" s="117" t="str">
        <f>IF(FBD41&lt;5,"SI","NO")</f>
        <v>NO</v>
      </c>
      <c r="FBF41" s="117" t="str">
        <f>IF(FBD41&lt;5,"Sin Riesgo",IF(FBD41 &lt;=14,"Bajo",IF(FBD41&lt;=35,"Medio",IF(FBD41&lt;=80,"Alto","Inviable Sanitariamente"))))</f>
        <v>Inviable Sanitariamente</v>
      </c>
      <c r="FBQ41" s="117">
        <v>97.9</v>
      </c>
      <c r="FBS41" s="117">
        <f>AVERAGE(FBG41:FBR41)</f>
        <v>97.9</v>
      </c>
      <c r="FBT41" s="117" t="str">
        <f>IF(FBS41&lt;5,"SI","NO")</f>
        <v>NO</v>
      </c>
      <c r="FBU41" s="117" t="str">
        <f>IF(FBS41&lt;5,"Sin Riesgo",IF(FBS41 &lt;=14,"Bajo",IF(FBS41&lt;=35,"Medio",IF(FBS41&lt;=80,"Alto","Inviable Sanitariamente"))))</f>
        <v>Inviable Sanitariamente</v>
      </c>
      <c r="FCF41" s="117">
        <v>97.9</v>
      </c>
      <c r="FCH41" s="117">
        <f>AVERAGE(FBV41:FCG41)</f>
        <v>97.9</v>
      </c>
      <c r="FCI41" s="117" t="str">
        <f>IF(FCH41&lt;5,"SI","NO")</f>
        <v>NO</v>
      </c>
      <c r="FCJ41" s="117" t="str">
        <f>IF(FCH41&lt;5,"Sin Riesgo",IF(FCH41 &lt;=14,"Bajo",IF(FCH41&lt;=35,"Medio",IF(FCH41&lt;=80,"Alto","Inviable Sanitariamente"))))</f>
        <v>Inviable Sanitariamente</v>
      </c>
      <c r="FCU41" s="117">
        <v>97.9</v>
      </c>
      <c r="FCW41" s="117">
        <f>AVERAGE(FCK41:FCV41)</f>
        <v>97.9</v>
      </c>
      <c r="FCX41" s="117" t="str">
        <f>IF(FCW41&lt;5,"SI","NO")</f>
        <v>NO</v>
      </c>
      <c r="FCY41" s="117" t="str">
        <f>IF(FCW41&lt;5,"Sin Riesgo",IF(FCW41 &lt;=14,"Bajo",IF(FCW41&lt;=35,"Medio",IF(FCW41&lt;=80,"Alto","Inviable Sanitariamente"))))</f>
        <v>Inviable Sanitariamente</v>
      </c>
      <c r="FDJ41" s="117">
        <v>97.9</v>
      </c>
      <c r="FDL41" s="117">
        <f>AVERAGE(FCZ41:FDK41)</f>
        <v>97.9</v>
      </c>
      <c r="FDM41" s="117" t="str">
        <f>IF(FDL41&lt;5,"SI","NO")</f>
        <v>NO</v>
      </c>
      <c r="FDN41" s="117" t="str">
        <f>IF(FDL41&lt;5,"Sin Riesgo",IF(FDL41 &lt;=14,"Bajo",IF(FDL41&lt;=35,"Medio",IF(FDL41&lt;=80,"Alto","Inviable Sanitariamente"))))</f>
        <v>Inviable Sanitariamente</v>
      </c>
      <c r="FDY41" s="117">
        <v>97.9</v>
      </c>
      <c r="FEA41" s="117">
        <f>AVERAGE(FDO41:FDZ41)</f>
        <v>97.9</v>
      </c>
      <c r="FEB41" s="117" t="str">
        <f>IF(FEA41&lt;5,"SI","NO")</f>
        <v>NO</v>
      </c>
      <c r="FEC41" s="117" t="str">
        <f>IF(FEA41&lt;5,"Sin Riesgo",IF(FEA41 &lt;=14,"Bajo",IF(FEA41&lt;=35,"Medio",IF(FEA41&lt;=80,"Alto","Inviable Sanitariamente"))))</f>
        <v>Inviable Sanitariamente</v>
      </c>
      <c r="FEN41" s="117">
        <v>97.9</v>
      </c>
      <c r="FEP41" s="117">
        <f>AVERAGE(FED41:FEO41)</f>
        <v>97.9</v>
      </c>
      <c r="FEQ41" s="117" t="str">
        <f>IF(FEP41&lt;5,"SI","NO")</f>
        <v>NO</v>
      </c>
      <c r="FER41" s="117" t="str">
        <f>IF(FEP41&lt;5,"Sin Riesgo",IF(FEP41 &lt;=14,"Bajo",IF(FEP41&lt;=35,"Medio",IF(FEP41&lt;=80,"Alto","Inviable Sanitariamente"))))</f>
        <v>Inviable Sanitariamente</v>
      </c>
      <c r="FFC41" s="117">
        <v>97.9</v>
      </c>
      <c r="FFE41" s="117">
        <f>AVERAGE(FES41:FFD41)</f>
        <v>97.9</v>
      </c>
      <c r="FFF41" s="117" t="str">
        <f>IF(FFE41&lt;5,"SI","NO")</f>
        <v>NO</v>
      </c>
      <c r="FFG41" s="117" t="str">
        <f>IF(FFE41&lt;5,"Sin Riesgo",IF(FFE41 &lt;=14,"Bajo",IF(FFE41&lt;=35,"Medio",IF(FFE41&lt;=80,"Alto","Inviable Sanitariamente"))))</f>
        <v>Inviable Sanitariamente</v>
      </c>
      <c r="FFR41" s="117">
        <v>97.9</v>
      </c>
      <c r="FFT41" s="117">
        <f>AVERAGE(FFH41:FFS41)</f>
        <v>97.9</v>
      </c>
      <c r="FFU41" s="117" t="str">
        <f>IF(FFT41&lt;5,"SI","NO")</f>
        <v>NO</v>
      </c>
      <c r="FFV41" s="117" t="str">
        <f>IF(FFT41&lt;5,"Sin Riesgo",IF(FFT41 &lt;=14,"Bajo",IF(FFT41&lt;=35,"Medio",IF(FFT41&lt;=80,"Alto","Inviable Sanitariamente"))))</f>
        <v>Inviable Sanitariamente</v>
      </c>
      <c r="FGG41" s="117">
        <v>97.9</v>
      </c>
      <c r="FGI41" s="117">
        <f>AVERAGE(FFW41:FGH41)</f>
        <v>97.9</v>
      </c>
      <c r="FGJ41" s="117" t="str">
        <f>IF(FGI41&lt;5,"SI","NO")</f>
        <v>NO</v>
      </c>
      <c r="FGK41" s="117" t="str">
        <f>IF(FGI41&lt;5,"Sin Riesgo",IF(FGI41 &lt;=14,"Bajo",IF(FGI41&lt;=35,"Medio",IF(FGI41&lt;=80,"Alto","Inviable Sanitariamente"))))</f>
        <v>Inviable Sanitariamente</v>
      </c>
      <c r="FGV41" s="117">
        <v>97.9</v>
      </c>
      <c r="FGX41" s="117">
        <f>AVERAGE(FGL41:FGW41)</f>
        <v>97.9</v>
      </c>
      <c r="FGY41" s="117" t="str">
        <f>IF(FGX41&lt;5,"SI","NO")</f>
        <v>NO</v>
      </c>
      <c r="FGZ41" s="117" t="str">
        <f>IF(FGX41&lt;5,"Sin Riesgo",IF(FGX41 &lt;=14,"Bajo",IF(FGX41&lt;=35,"Medio",IF(FGX41&lt;=80,"Alto","Inviable Sanitariamente"))))</f>
        <v>Inviable Sanitariamente</v>
      </c>
      <c r="FHK41" s="117">
        <v>97.9</v>
      </c>
      <c r="FHM41" s="117">
        <f>AVERAGE(FHA41:FHL41)</f>
        <v>97.9</v>
      </c>
      <c r="FHN41" s="117" t="str">
        <f>IF(FHM41&lt;5,"SI","NO")</f>
        <v>NO</v>
      </c>
      <c r="FHO41" s="117" t="str">
        <f>IF(FHM41&lt;5,"Sin Riesgo",IF(FHM41 &lt;=14,"Bajo",IF(FHM41&lt;=35,"Medio",IF(FHM41&lt;=80,"Alto","Inviable Sanitariamente"))))</f>
        <v>Inviable Sanitariamente</v>
      </c>
      <c r="FHZ41" s="117">
        <v>97.9</v>
      </c>
      <c r="FIB41" s="117">
        <f>AVERAGE(FHP41:FIA41)</f>
        <v>97.9</v>
      </c>
      <c r="FIC41" s="117" t="str">
        <f>IF(FIB41&lt;5,"SI","NO")</f>
        <v>NO</v>
      </c>
      <c r="FID41" s="117" t="str">
        <f>IF(FIB41&lt;5,"Sin Riesgo",IF(FIB41 &lt;=14,"Bajo",IF(FIB41&lt;=35,"Medio",IF(FIB41&lt;=80,"Alto","Inviable Sanitariamente"))))</f>
        <v>Inviable Sanitariamente</v>
      </c>
      <c r="FIO41" s="117">
        <v>97.9</v>
      </c>
      <c r="FIQ41" s="117">
        <f>AVERAGE(FIE41:FIP41)</f>
        <v>97.9</v>
      </c>
      <c r="FIR41" s="117" t="str">
        <f>IF(FIQ41&lt;5,"SI","NO")</f>
        <v>NO</v>
      </c>
      <c r="FIS41" s="117" t="str">
        <f>IF(FIQ41&lt;5,"Sin Riesgo",IF(FIQ41 &lt;=14,"Bajo",IF(FIQ41&lt;=35,"Medio",IF(FIQ41&lt;=80,"Alto","Inviable Sanitariamente"))))</f>
        <v>Inviable Sanitariamente</v>
      </c>
      <c r="FJD41" s="117">
        <v>97.9</v>
      </c>
      <c r="FJF41" s="117">
        <f>AVERAGE(FIT41:FJE41)</f>
        <v>97.9</v>
      </c>
      <c r="FJG41" s="117" t="str">
        <f>IF(FJF41&lt;5,"SI","NO")</f>
        <v>NO</v>
      </c>
      <c r="FJH41" s="117" t="str">
        <f>IF(FJF41&lt;5,"Sin Riesgo",IF(FJF41 &lt;=14,"Bajo",IF(FJF41&lt;=35,"Medio",IF(FJF41&lt;=80,"Alto","Inviable Sanitariamente"))))</f>
        <v>Inviable Sanitariamente</v>
      </c>
      <c r="FJS41" s="117">
        <v>97.9</v>
      </c>
      <c r="FJU41" s="117">
        <f>AVERAGE(FJI41:FJT41)</f>
        <v>97.9</v>
      </c>
      <c r="FJV41" s="117" t="str">
        <f>IF(FJU41&lt;5,"SI","NO")</f>
        <v>NO</v>
      </c>
      <c r="FJW41" s="117" t="str">
        <f>IF(FJU41&lt;5,"Sin Riesgo",IF(FJU41 &lt;=14,"Bajo",IF(FJU41&lt;=35,"Medio",IF(FJU41&lt;=80,"Alto","Inviable Sanitariamente"))))</f>
        <v>Inviable Sanitariamente</v>
      </c>
      <c r="FKH41" s="117">
        <v>97.9</v>
      </c>
      <c r="FKJ41" s="117">
        <f>AVERAGE(FJX41:FKI41)</f>
        <v>97.9</v>
      </c>
      <c r="FKK41" s="117" t="str">
        <f>IF(FKJ41&lt;5,"SI","NO")</f>
        <v>NO</v>
      </c>
      <c r="FKL41" s="117" t="str">
        <f>IF(FKJ41&lt;5,"Sin Riesgo",IF(FKJ41 &lt;=14,"Bajo",IF(FKJ41&lt;=35,"Medio",IF(FKJ41&lt;=80,"Alto","Inviable Sanitariamente"))))</f>
        <v>Inviable Sanitariamente</v>
      </c>
      <c r="FKW41" s="117">
        <v>97.9</v>
      </c>
      <c r="FKY41" s="117">
        <f>AVERAGE(FKM41:FKX41)</f>
        <v>97.9</v>
      </c>
      <c r="FKZ41" s="117" t="str">
        <f>IF(FKY41&lt;5,"SI","NO")</f>
        <v>NO</v>
      </c>
      <c r="FLA41" s="117" t="str">
        <f>IF(FKY41&lt;5,"Sin Riesgo",IF(FKY41 &lt;=14,"Bajo",IF(FKY41&lt;=35,"Medio",IF(FKY41&lt;=80,"Alto","Inviable Sanitariamente"))))</f>
        <v>Inviable Sanitariamente</v>
      </c>
      <c r="FLL41" s="117">
        <v>97.9</v>
      </c>
      <c r="FLN41" s="117">
        <f>AVERAGE(FLB41:FLM41)</f>
        <v>97.9</v>
      </c>
      <c r="FLO41" s="117" t="str">
        <f>IF(FLN41&lt;5,"SI","NO")</f>
        <v>NO</v>
      </c>
      <c r="FLP41" s="117" t="str">
        <f>IF(FLN41&lt;5,"Sin Riesgo",IF(FLN41 &lt;=14,"Bajo",IF(FLN41&lt;=35,"Medio",IF(FLN41&lt;=80,"Alto","Inviable Sanitariamente"))))</f>
        <v>Inviable Sanitariamente</v>
      </c>
      <c r="FMA41" s="117">
        <v>97.9</v>
      </c>
      <c r="FMC41" s="117">
        <f>AVERAGE(FLQ41:FMB41)</f>
        <v>97.9</v>
      </c>
      <c r="FMD41" s="117" t="str">
        <f>IF(FMC41&lt;5,"SI","NO")</f>
        <v>NO</v>
      </c>
      <c r="FME41" s="117" t="str">
        <f>IF(FMC41&lt;5,"Sin Riesgo",IF(FMC41 &lt;=14,"Bajo",IF(FMC41&lt;=35,"Medio",IF(FMC41&lt;=80,"Alto","Inviable Sanitariamente"))))</f>
        <v>Inviable Sanitariamente</v>
      </c>
      <c r="FMP41" s="117">
        <v>97.9</v>
      </c>
      <c r="FMR41" s="117">
        <f>AVERAGE(FMF41:FMQ41)</f>
        <v>97.9</v>
      </c>
      <c r="FMS41" s="117" t="str">
        <f>IF(FMR41&lt;5,"SI","NO")</f>
        <v>NO</v>
      </c>
      <c r="FMT41" s="117" t="str">
        <f>IF(FMR41&lt;5,"Sin Riesgo",IF(FMR41 &lt;=14,"Bajo",IF(FMR41&lt;=35,"Medio",IF(FMR41&lt;=80,"Alto","Inviable Sanitariamente"))))</f>
        <v>Inviable Sanitariamente</v>
      </c>
      <c r="FNE41" s="117">
        <v>97.9</v>
      </c>
      <c r="FNG41" s="117">
        <f>AVERAGE(FMU41:FNF41)</f>
        <v>97.9</v>
      </c>
      <c r="FNH41" s="117" t="str">
        <f>IF(FNG41&lt;5,"SI","NO")</f>
        <v>NO</v>
      </c>
      <c r="FNI41" s="117" t="str">
        <f>IF(FNG41&lt;5,"Sin Riesgo",IF(FNG41 &lt;=14,"Bajo",IF(FNG41&lt;=35,"Medio",IF(FNG41&lt;=80,"Alto","Inviable Sanitariamente"))))</f>
        <v>Inviable Sanitariamente</v>
      </c>
      <c r="FNT41" s="117">
        <v>97.9</v>
      </c>
      <c r="FNV41" s="117">
        <f>AVERAGE(FNJ41:FNU41)</f>
        <v>97.9</v>
      </c>
      <c r="FNW41" s="117" t="str">
        <f>IF(FNV41&lt;5,"SI","NO")</f>
        <v>NO</v>
      </c>
      <c r="FNX41" s="117" t="str">
        <f>IF(FNV41&lt;5,"Sin Riesgo",IF(FNV41 &lt;=14,"Bajo",IF(FNV41&lt;=35,"Medio",IF(FNV41&lt;=80,"Alto","Inviable Sanitariamente"))))</f>
        <v>Inviable Sanitariamente</v>
      </c>
      <c r="FOI41" s="117">
        <v>97.9</v>
      </c>
      <c r="FOK41" s="117">
        <f>AVERAGE(FNY41:FOJ41)</f>
        <v>97.9</v>
      </c>
      <c r="FOL41" s="117" t="str">
        <f>IF(FOK41&lt;5,"SI","NO")</f>
        <v>NO</v>
      </c>
      <c r="FOM41" s="117" t="str">
        <f>IF(FOK41&lt;5,"Sin Riesgo",IF(FOK41 &lt;=14,"Bajo",IF(FOK41&lt;=35,"Medio",IF(FOK41&lt;=80,"Alto","Inviable Sanitariamente"))))</f>
        <v>Inviable Sanitariamente</v>
      </c>
      <c r="FOX41" s="117">
        <v>97.9</v>
      </c>
      <c r="FOZ41" s="117">
        <f>AVERAGE(FON41:FOY41)</f>
        <v>97.9</v>
      </c>
      <c r="FPA41" s="117" t="str">
        <f>IF(FOZ41&lt;5,"SI","NO")</f>
        <v>NO</v>
      </c>
      <c r="FPB41" s="117" t="str">
        <f>IF(FOZ41&lt;5,"Sin Riesgo",IF(FOZ41 &lt;=14,"Bajo",IF(FOZ41&lt;=35,"Medio",IF(FOZ41&lt;=80,"Alto","Inviable Sanitariamente"))))</f>
        <v>Inviable Sanitariamente</v>
      </c>
      <c r="FPM41" s="117">
        <v>97.9</v>
      </c>
      <c r="FPO41" s="117">
        <f>AVERAGE(FPC41:FPN41)</f>
        <v>97.9</v>
      </c>
      <c r="FPP41" s="117" t="str">
        <f>IF(FPO41&lt;5,"SI","NO")</f>
        <v>NO</v>
      </c>
      <c r="FPQ41" s="117" t="str">
        <f>IF(FPO41&lt;5,"Sin Riesgo",IF(FPO41 &lt;=14,"Bajo",IF(FPO41&lt;=35,"Medio",IF(FPO41&lt;=80,"Alto","Inviable Sanitariamente"))))</f>
        <v>Inviable Sanitariamente</v>
      </c>
      <c r="FQB41" s="117">
        <v>97.9</v>
      </c>
      <c r="FQD41" s="117">
        <f>AVERAGE(FPR41:FQC41)</f>
        <v>97.9</v>
      </c>
      <c r="FQE41" s="117" t="str">
        <f>IF(FQD41&lt;5,"SI","NO")</f>
        <v>NO</v>
      </c>
      <c r="FQF41" s="117" t="str">
        <f>IF(FQD41&lt;5,"Sin Riesgo",IF(FQD41 &lt;=14,"Bajo",IF(FQD41&lt;=35,"Medio",IF(FQD41&lt;=80,"Alto","Inviable Sanitariamente"))))</f>
        <v>Inviable Sanitariamente</v>
      </c>
      <c r="FQQ41" s="117">
        <v>97.9</v>
      </c>
      <c r="FQS41" s="117">
        <f>AVERAGE(FQG41:FQR41)</f>
        <v>97.9</v>
      </c>
      <c r="FQT41" s="117" t="str">
        <f>IF(FQS41&lt;5,"SI","NO")</f>
        <v>NO</v>
      </c>
      <c r="FQU41" s="117" t="str">
        <f>IF(FQS41&lt;5,"Sin Riesgo",IF(FQS41 &lt;=14,"Bajo",IF(FQS41&lt;=35,"Medio",IF(FQS41&lt;=80,"Alto","Inviable Sanitariamente"))))</f>
        <v>Inviable Sanitariamente</v>
      </c>
      <c r="FRF41" s="117">
        <v>97.9</v>
      </c>
      <c r="FRH41" s="117">
        <f>AVERAGE(FQV41:FRG41)</f>
        <v>97.9</v>
      </c>
      <c r="FRI41" s="117" t="str">
        <f>IF(FRH41&lt;5,"SI","NO")</f>
        <v>NO</v>
      </c>
      <c r="FRJ41" s="117" t="str">
        <f>IF(FRH41&lt;5,"Sin Riesgo",IF(FRH41 &lt;=14,"Bajo",IF(FRH41&lt;=35,"Medio",IF(FRH41&lt;=80,"Alto","Inviable Sanitariamente"))))</f>
        <v>Inviable Sanitariamente</v>
      </c>
      <c r="FRU41" s="117">
        <v>97.9</v>
      </c>
      <c r="FRW41" s="117">
        <f>AVERAGE(FRK41:FRV41)</f>
        <v>97.9</v>
      </c>
      <c r="FRX41" s="117" t="str">
        <f>IF(FRW41&lt;5,"SI","NO")</f>
        <v>NO</v>
      </c>
      <c r="FRY41" s="117" t="str">
        <f>IF(FRW41&lt;5,"Sin Riesgo",IF(FRW41 &lt;=14,"Bajo",IF(FRW41&lt;=35,"Medio",IF(FRW41&lt;=80,"Alto","Inviable Sanitariamente"))))</f>
        <v>Inviable Sanitariamente</v>
      </c>
      <c r="FSJ41" s="117">
        <v>97.9</v>
      </c>
      <c r="FSL41" s="117">
        <f>AVERAGE(FRZ41:FSK41)</f>
        <v>97.9</v>
      </c>
      <c r="FSM41" s="117" t="str">
        <f>IF(FSL41&lt;5,"SI","NO")</f>
        <v>NO</v>
      </c>
      <c r="FSN41" s="117" t="str">
        <f>IF(FSL41&lt;5,"Sin Riesgo",IF(FSL41 &lt;=14,"Bajo",IF(FSL41&lt;=35,"Medio",IF(FSL41&lt;=80,"Alto","Inviable Sanitariamente"))))</f>
        <v>Inviable Sanitariamente</v>
      </c>
      <c r="FSY41" s="117">
        <v>97.9</v>
      </c>
      <c r="FTA41" s="117">
        <f>AVERAGE(FSO41:FSZ41)</f>
        <v>97.9</v>
      </c>
      <c r="FTB41" s="117" t="str">
        <f>IF(FTA41&lt;5,"SI","NO")</f>
        <v>NO</v>
      </c>
      <c r="FTC41" s="117" t="str">
        <f>IF(FTA41&lt;5,"Sin Riesgo",IF(FTA41 &lt;=14,"Bajo",IF(FTA41&lt;=35,"Medio",IF(FTA41&lt;=80,"Alto","Inviable Sanitariamente"))))</f>
        <v>Inviable Sanitariamente</v>
      </c>
      <c r="FTN41" s="117">
        <v>97.9</v>
      </c>
      <c r="FTP41" s="117">
        <f>AVERAGE(FTD41:FTO41)</f>
        <v>97.9</v>
      </c>
      <c r="FTQ41" s="117" t="str">
        <f>IF(FTP41&lt;5,"SI","NO")</f>
        <v>NO</v>
      </c>
      <c r="FTR41" s="117" t="str">
        <f>IF(FTP41&lt;5,"Sin Riesgo",IF(FTP41 &lt;=14,"Bajo",IF(FTP41&lt;=35,"Medio",IF(FTP41&lt;=80,"Alto","Inviable Sanitariamente"))))</f>
        <v>Inviable Sanitariamente</v>
      </c>
      <c r="FUC41" s="117">
        <v>97.9</v>
      </c>
      <c r="FUE41" s="117">
        <f>AVERAGE(FTS41:FUD41)</f>
        <v>97.9</v>
      </c>
      <c r="FUF41" s="117" t="str">
        <f>IF(FUE41&lt;5,"SI","NO")</f>
        <v>NO</v>
      </c>
      <c r="FUG41" s="117" t="str">
        <f>IF(FUE41&lt;5,"Sin Riesgo",IF(FUE41 &lt;=14,"Bajo",IF(FUE41&lt;=35,"Medio",IF(FUE41&lt;=80,"Alto","Inviable Sanitariamente"))))</f>
        <v>Inviable Sanitariamente</v>
      </c>
      <c r="FUR41" s="117">
        <v>97.9</v>
      </c>
      <c r="FUT41" s="117">
        <f>AVERAGE(FUH41:FUS41)</f>
        <v>97.9</v>
      </c>
      <c r="FUU41" s="117" t="str">
        <f>IF(FUT41&lt;5,"SI","NO")</f>
        <v>NO</v>
      </c>
      <c r="FUV41" s="117" t="str">
        <f>IF(FUT41&lt;5,"Sin Riesgo",IF(FUT41 &lt;=14,"Bajo",IF(FUT41&lt;=35,"Medio",IF(FUT41&lt;=80,"Alto","Inviable Sanitariamente"))))</f>
        <v>Inviable Sanitariamente</v>
      </c>
      <c r="FVG41" s="117">
        <v>97.9</v>
      </c>
      <c r="FVI41" s="117">
        <f>AVERAGE(FUW41:FVH41)</f>
        <v>97.9</v>
      </c>
      <c r="FVJ41" s="117" t="str">
        <f>IF(FVI41&lt;5,"SI","NO")</f>
        <v>NO</v>
      </c>
      <c r="FVK41" s="117" t="str">
        <f>IF(FVI41&lt;5,"Sin Riesgo",IF(FVI41 &lt;=14,"Bajo",IF(FVI41&lt;=35,"Medio",IF(FVI41&lt;=80,"Alto","Inviable Sanitariamente"))))</f>
        <v>Inviable Sanitariamente</v>
      </c>
      <c r="FVV41" s="117">
        <v>97.9</v>
      </c>
      <c r="FVX41" s="117">
        <f>AVERAGE(FVL41:FVW41)</f>
        <v>97.9</v>
      </c>
      <c r="FVY41" s="117" t="str">
        <f>IF(FVX41&lt;5,"SI","NO")</f>
        <v>NO</v>
      </c>
      <c r="FVZ41" s="117" t="str">
        <f>IF(FVX41&lt;5,"Sin Riesgo",IF(FVX41 &lt;=14,"Bajo",IF(FVX41&lt;=35,"Medio",IF(FVX41&lt;=80,"Alto","Inviable Sanitariamente"))))</f>
        <v>Inviable Sanitariamente</v>
      </c>
      <c r="FWK41" s="117">
        <v>97.9</v>
      </c>
      <c r="FWM41" s="117">
        <f>AVERAGE(FWA41:FWL41)</f>
        <v>97.9</v>
      </c>
      <c r="FWN41" s="117" t="str">
        <f>IF(FWM41&lt;5,"SI","NO")</f>
        <v>NO</v>
      </c>
      <c r="FWO41" s="117" t="str">
        <f>IF(FWM41&lt;5,"Sin Riesgo",IF(FWM41 &lt;=14,"Bajo",IF(FWM41&lt;=35,"Medio",IF(FWM41&lt;=80,"Alto","Inviable Sanitariamente"))))</f>
        <v>Inviable Sanitariamente</v>
      </c>
      <c r="FWZ41" s="117">
        <v>97.9</v>
      </c>
      <c r="FXB41" s="117">
        <f>AVERAGE(FWP41:FXA41)</f>
        <v>97.9</v>
      </c>
      <c r="FXC41" s="117" t="str">
        <f>IF(FXB41&lt;5,"SI","NO")</f>
        <v>NO</v>
      </c>
      <c r="FXD41" s="117" t="str">
        <f>IF(FXB41&lt;5,"Sin Riesgo",IF(FXB41 &lt;=14,"Bajo",IF(FXB41&lt;=35,"Medio",IF(FXB41&lt;=80,"Alto","Inviable Sanitariamente"))))</f>
        <v>Inviable Sanitariamente</v>
      </c>
      <c r="FXO41" s="117">
        <v>97.9</v>
      </c>
      <c r="FXQ41" s="117">
        <f>AVERAGE(FXE41:FXP41)</f>
        <v>97.9</v>
      </c>
      <c r="FXR41" s="117" t="str">
        <f>IF(FXQ41&lt;5,"SI","NO")</f>
        <v>NO</v>
      </c>
      <c r="FXS41" s="117" t="str">
        <f>IF(FXQ41&lt;5,"Sin Riesgo",IF(FXQ41 &lt;=14,"Bajo",IF(FXQ41&lt;=35,"Medio",IF(FXQ41&lt;=80,"Alto","Inviable Sanitariamente"))))</f>
        <v>Inviable Sanitariamente</v>
      </c>
      <c r="FYD41" s="117">
        <v>97.9</v>
      </c>
      <c r="FYF41" s="117">
        <f>AVERAGE(FXT41:FYE41)</f>
        <v>97.9</v>
      </c>
      <c r="FYG41" s="117" t="str">
        <f>IF(FYF41&lt;5,"SI","NO")</f>
        <v>NO</v>
      </c>
      <c r="FYH41" s="117" t="str">
        <f>IF(FYF41&lt;5,"Sin Riesgo",IF(FYF41 &lt;=14,"Bajo",IF(FYF41&lt;=35,"Medio",IF(FYF41&lt;=80,"Alto","Inviable Sanitariamente"))))</f>
        <v>Inviable Sanitariamente</v>
      </c>
      <c r="FYS41" s="117">
        <v>97.9</v>
      </c>
      <c r="FYU41" s="117">
        <f>AVERAGE(FYI41:FYT41)</f>
        <v>97.9</v>
      </c>
      <c r="FYV41" s="117" t="str">
        <f>IF(FYU41&lt;5,"SI","NO")</f>
        <v>NO</v>
      </c>
      <c r="FYW41" s="117" t="str">
        <f>IF(FYU41&lt;5,"Sin Riesgo",IF(FYU41 &lt;=14,"Bajo",IF(FYU41&lt;=35,"Medio",IF(FYU41&lt;=80,"Alto","Inviable Sanitariamente"))))</f>
        <v>Inviable Sanitariamente</v>
      </c>
      <c r="FZH41" s="117">
        <v>97.9</v>
      </c>
      <c r="FZJ41" s="117">
        <f>AVERAGE(FYX41:FZI41)</f>
        <v>97.9</v>
      </c>
      <c r="FZK41" s="117" t="str">
        <f>IF(FZJ41&lt;5,"SI","NO")</f>
        <v>NO</v>
      </c>
      <c r="FZL41" s="117" t="str">
        <f>IF(FZJ41&lt;5,"Sin Riesgo",IF(FZJ41 &lt;=14,"Bajo",IF(FZJ41&lt;=35,"Medio",IF(FZJ41&lt;=80,"Alto","Inviable Sanitariamente"))))</f>
        <v>Inviable Sanitariamente</v>
      </c>
      <c r="FZW41" s="117">
        <v>97.9</v>
      </c>
      <c r="FZY41" s="117">
        <f>AVERAGE(FZM41:FZX41)</f>
        <v>97.9</v>
      </c>
      <c r="FZZ41" s="117" t="str">
        <f>IF(FZY41&lt;5,"SI","NO")</f>
        <v>NO</v>
      </c>
      <c r="GAA41" s="117" t="str">
        <f>IF(FZY41&lt;5,"Sin Riesgo",IF(FZY41 &lt;=14,"Bajo",IF(FZY41&lt;=35,"Medio",IF(FZY41&lt;=80,"Alto","Inviable Sanitariamente"))))</f>
        <v>Inviable Sanitariamente</v>
      </c>
      <c r="GAL41" s="117">
        <v>97.9</v>
      </c>
      <c r="GAN41" s="117">
        <f>AVERAGE(GAB41:GAM41)</f>
        <v>97.9</v>
      </c>
      <c r="GAO41" s="117" t="str">
        <f>IF(GAN41&lt;5,"SI","NO")</f>
        <v>NO</v>
      </c>
      <c r="GAP41" s="117" t="str">
        <f>IF(GAN41&lt;5,"Sin Riesgo",IF(GAN41 &lt;=14,"Bajo",IF(GAN41&lt;=35,"Medio",IF(GAN41&lt;=80,"Alto","Inviable Sanitariamente"))))</f>
        <v>Inviable Sanitariamente</v>
      </c>
      <c r="GBA41" s="117">
        <v>97.9</v>
      </c>
      <c r="GBC41" s="117">
        <f>AVERAGE(GAQ41:GBB41)</f>
        <v>97.9</v>
      </c>
      <c r="GBD41" s="117" t="str">
        <f>IF(GBC41&lt;5,"SI","NO")</f>
        <v>NO</v>
      </c>
      <c r="GBE41" s="117" t="str">
        <f>IF(GBC41&lt;5,"Sin Riesgo",IF(GBC41 &lt;=14,"Bajo",IF(GBC41&lt;=35,"Medio",IF(GBC41&lt;=80,"Alto","Inviable Sanitariamente"))))</f>
        <v>Inviable Sanitariamente</v>
      </c>
      <c r="GBP41" s="117">
        <v>97.9</v>
      </c>
      <c r="GBR41" s="117">
        <f>AVERAGE(GBF41:GBQ41)</f>
        <v>97.9</v>
      </c>
      <c r="GBS41" s="117" t="str">
        <f>IF(GBR41&lt;5,"SI","NO")</f>
        <v>NO</v>
      </c>
      <c r="GBT41" s="117" t="str">
        <f>IF(GBR41&lt;5,"Sin Riesgo",IF(GBR41 &lt;=14,"Bajo",IF(GBR41&lt;=35,"Medio",IF(GBR41&lt;=80,"Alto","Inviable Sanitariamente"))))</f>
        <v>Inviable Sanitariamente</v>
      </c>
      <c r="GCE41" s="117">
        <v>97.9</v>
      </c>
      <c r="GCG41" s="117">
        <f>AVERAGE(GBU41:GCF41)</f>
        <v>97.9</v>
      </c>
      <c r="GCH41" s="117" t="str">
        <f>IF(GCG41&lt;5,"SI","NO")</f>
        <v>NO</v>
      </c>
      <c r="GCI41" s="117" t="str">
        <f>IF(GCG41&lt;5,"Sin Riesgo",IF(GCG41 &lt;=14,"Bajo",IF(GCG41&lt;=35,"Medio",IF(GCG41&lt;=80,"Alto","Inviable Sanitariamente"))))</f>
        <v>Inviable Sanitariamente</v>
      </c>
      <c r="GCT41" s="117">
        <v>97.9</v>
      </c>
      <c r="GCV41" s="117">
        <f>AVERAGE(GCJ41:GCU41)</f>
        <v>97.9</v>
      </c>
      <c r="GCW41" s="117" t="str">
        <f>IF(GCV41&lt;5,"SI","NO")</f>
        <v>NO</v>
      </c>
      <c r="GCX41" s="117" t="str">
        <f>IF(GCV41&lt;5,"Sin Riesgo",IF(GCV41 &lt;=14,"Bajo",IF(GCV41&lt;=35,"Medio",IF(GCV41&lt;=80,"Alto","Inviable Sanitariamente"))))</f>
        <v>Inviable Sanitariamente</v>
      </c>
      <c r="GDI41" s="117">
        <v>97.9</v>
      </c>
      <c r="GDK41" s="117">
        <f>AVERAGE(GCY41:GDJ41)</f>
        <v>97.9</v>
      </c>
      <c r="GDL41" s="117" t="str">
        <f>IF(GDK41&lt;5,"SI","NO")</f>
        <v>NO</v>
      </c>
      <c r="GDM41" s="117" t="str">
        <f>IF(GDK41&lt;5,"Sin Riesgo",IF(GDK41 &lt;=14,"Bajo",IF(GDK41&lt;=35,"Medio",IF(GDK41&lt;=80,"Alto","Inviable Sanitariamente"))))</f>
        <v>Inviable Sanitariamente</v>
      </c>
      <c r="GDX41" s="117">
        <v>97.9</v>
      </c>
      <c r="GDZ41" s="117">
        <f>AVERAGE(GDN41:GDY41)</f>
        <v>97.9</v>
      </c>
      <c r="GEA41" s="117" t="str">
        <f>IF(GDZ41&lt;5,"SI","NO")</f>
        <v>NO</v>
      </c>
      <c r="GEB41" s="117" t="str">
        <f>IF(GDZ41&lt;5,"Sin Riesgo",IF(GDZ41 &lt;=14,"Bajo",IF(GDZ41&lt;=35,"Medio",IF(GDZ41&lt;=80,"Alto","Inviable Sanitariamente"))))</f>
        <v>Inviable Sanitariamente</v>
      </c>
      <c r="GEM41" s="117">
        <v>97.9</v>
      </c>
      <c r="GEO41" s="117">
        <f>AVERAGE(GEC41:GEN41)</f>
        <v>97.9</v>
      </c>
      <c r="GEP41" s="117" t="str">
        <f>IF(GEO41&lt;5,"SI","NO")</f>
        <v>NO</v>
      </c>
      <c r="GEQ41" s="117" t="str">
        <f>IF(GEO41&lt;5,"Sin Riesgo",IF(GEO41 &lt;=14,"Bajo",IF(GEO41&lt;=35,"Medio",IF(GEO41&lt;=80,"Alto","Inviable Sanitariamente"))))</f>
        <v>Inviable Sanitariamente</v>
      </c>
      <c r="GFB41" s="117">
        <v>97.9</v>
      </c>
      <c r="GFD41" s="117">
        <f>AVERAGE(GER41:GFC41)</f>
        <v>97.9</v>
      </c>
      <c r="GFE41" s="117" t="str">
        <f>IF(GFD41&lt;5,"SI","NO")</f>
        <v>NO</v>
      </c>
      <c r="GFF41" s="117" t="str">
        <f>IF(GFD41&lt;5,"Sin Riesgo",IF(GFD41 &lt;=14,"Bajo",IF(GFD41&lt;=35,"Medio",IF(GFD41&lt;=80,"Alto","Inviable Sanitariamente"))))</f>
        <v>Inviable Sanitariamente</v>
      </c>
      <c r="GFQ41" s="117">
        <v>97.9</v>
      </c>
      <c r="GFS41" s="117">
        <f>AVERAGE(GFG41:GFR41)</f>
        <v>97.9</v>
      </c>
      <c r="GFT41" s="117" t="str">
        <f>IF(GFS41&lt;5,"SI","NO")</f>
        <v>NO</v>
      </c>
      <c r="GFU41" s="117" t="str">
        <f>IF(GFS41&lt;5,"Sin Riesgo",IF(GFS41 &lt;=14,"Bajo",IF(GFS41&lt;=35,"Medio",IF(GFS41&lt;=80,"Alto","Inviable Sanitariamente"))))</f>
        <v>Inviable Sanitariamente</v>
      </c>
      <c r="GGF41" s="117">
        <v>97.9</v>
      </c>
      <c r="GGH41" s="117">
        <f>AVERAGE(GFV41:GGG41)</f>
        <v>97.9</v>
      </c>
      <c r="GGI41" s="117" t="str">
        <f>IF(GGH41&lt;5,"SI","NO")</f>
        <v>NO</v>
      </c>
      <c r="GGJ41" s="117" t="str">
        <f>IF(GGH41&lt;5,"Sin Riesgo",IF(GGH41 &lt;=14,"Bajo",IF(GGH41&lt;=35,"Medio",IF(GGH41&lt;=80,"Alto","Inviable Sanitariamente"))))</f>
        <v>Inviable Sanitariamente</v>
      </c>
      <c r="GGU41" s="117">
        <v>97.9</v>
      </c>
      <c r="GGW41" s="117">
        <f>AVERAGE(GGK41:GGV41)</f>
        <v>97.9</v>
      </c>
      <c r="GGX41" s="117" t="str">
        <f>IF(GGW41&lt;5,"SI","NO")</f>
        <v>NO</v>
      </c>
      <c r="GGY41" s="117" t="str">
        <f>IF(GGW41&lt;5,"Sin Riesgo",IF(GGW41 &lt;=14,"Bajo",IF(GGW41&lt;=35,"Medio",IF(GGW41&lt;=80,"Alto","Inviable Sanitariamente"))))</f>
        <v>Inviable Sanitariamente</v>
      </c>
      <c r="GHJ41" s="117">
        <v>97.9</v>
      </c>
      <c r="GHL41" s="117">
        <f>AVERAGE(GGZ41:GHK41)</f>
        <v>97.9</v>
      </c>
      <c r="GHM41" s="117" t="str">
        <f>IF(GHL41&lt;5,"SI","NO")</f>
        <v>NO</v>
      </c>
      <c r="GHN41" s="117" t="str">
        <f>IF(GHL41&lt;5,"Sin Riesgo",IF(GHL41 &lt;=14,"Bajo",IF(GHL41&lt;=35,"Medio",IF(GHL41&lt;=80,"Alto","Inviable Sanitariamente"))))</f>
        <v>Inviable Sanitariamente</v>
      </c>
      <c r="GHY41" s="117">
        <v>97.9</v>
      </c>
      <c r="GIA41" s="117">
        <f>AVERAGE(GHO41:GHZ41)</f>
        <v>97.9</v>
      </c>
      <c r="GIB41" s="117" t="str">
        <f>IF(GIA41&lt;5,"SI","NO")</f>
        <v>NO</v>
      </c>
      <c r="GIC41" s="117" t="str">
        <f>IF(GIA41&lt;5,"Sin Riesgo",IF(GIA41 &lt;=14,"Bajo",IF(GIA41&lt;=35,"Medio",IF(GIA41&lt;=80,"Alto","Inviable Sanitariamente"))))</f>
        <v>Inviable Sanitariamente</v>
      </c>
      <c r="GIN41" s="117">
        <v>97.9</v>
      </c>
      <c r="GIP41" s="117">
        <f>AVERAGE(GID41:GIO41)</f>
        <v>97.9</v>
      </c>
      <c r="GIQ41" s="117" t="str">
        <f>IF(GIP41&lt;5,"SI","NO")</f>
        <v>NO</v>
      </c>
      <c r="GIR41" s="117" t="str">
        <f>IF(GIP41&lt;5,"Sin Riesgo",IF(GIP41 &lt;=14,"Bajo",IF(GIP41&lt;=35,"Medio",IF(GIP41&lt;=80,"Alto","Inviable Sanitariamente"))))</f>
        <v>Inviable Sanitariamente</v>
      </c>
      <c r="GJC41" s="117">
        <v>97.9</v>
      </c>
      <c r="GJE41" s="117">
        <f>AVERAGE(GIS41:GJD41)</f>
        <v>97.9</v>
      </c>
      <c r="GJF41" s="117" t="str">
        <f>IF(GJE41&lt;5,"SI","NO")</f>
        <v>NO</v>
      </c>
      <c r="GJG41" s="117" t="str">
        <f>IF(GJE41&lt;5,"Sin Riesgo",IF(GJE41 &lt;=14,"Bajo",IF(GJE41&lt;=35,"Medio",IF(GJE41&lt;=80,"Alto","Inviable Sanitariamente"))))</f>
        <v>Inviable Sanitariamente</v>
      </c>
      <c r="GJR41" s="117">
        <v>97.9</v>
      </c>
      <c r="GJT41" s="117">
        <f>AVERAGE(GJH41:GJS41)</f>
        <v>97.9</v>
      </c>
      <c r="GJU41" s="117" t="str">
        <f>IF(GJT41&lt;5,"SI","NO")</f>
        <v>NO</v>
      </c>
      <c r="GJV41" s="117" t="str">
        <f>IF(GJT41&lt;5,"Sin Riesgo",IF(GJT41 &lt;=14,"Bajo",IF(GJT41&lt;=35,"Medio",IF(GJT41&lt;=80,"Alto","Inviable Sanitariamente"))))</f>
        <v>Inviable Sanitariamente</v>
      </c>
      <c r="GKG41" s="117">
        <v>97.9</v>
      </c>
      <c r="GKI41" s="117">
        <f>AVERAGE(GJW41:GKH41)</f>
        <v>97.9</v>
      </c>
      <c r="GKJ41" s="117" t="str">
        <f>IF(GKI41&lt;5,"SI","NO")</f>
        <v>NO</v>
      </c>
      <c r="GKK41" s="117" t="str">
        <f>IF(GKI41&lt;5,"Sin Riesgo",IF(GKI41 &lt;=14,"Bajo",IF(GKI41&lt;=35,"Medio",IF(GKI41&lt;=80,"Alto","Inviable Sanitariamente"))))</f>
        <v>Inviable Sanitariamente</v>
      </c>
      <c r="GKV41" s="117">
        <v>97.9</v>
      </c>
      <c r="GKX41" s="117">
        <f>AVERAGE(GKL41:GKW41)</f>
        <v>97.9</v>
      </c>
      <c r="GKY41" s="117" t="str">
        <f>IF(GKX41&lt;5,"SI","NO")</f>
        <v>NO</v>
      </c>
      <c r="GKZ41" s="117" t="str">
        <f>IF(GKX41&lt;5,"Sin Riesgo",IF(GKX41 &lt;=14,"Bajo",IF(GKX41&lt;=35,"Medio",IF(GKX41&lt;=80,"Alto","Inviable Sanitariamente"))))</f>
        <v>Inviable Sanitariamente</v>
      </c>
      <c r="GLK41" s="117">
        <v>97.9</v>
      </c>
      <c r="GLM41" s="117">
        <f>AVERAGE(GLA41:GLL41)</f>
        <v>97.9</v>
      </c>
      <c r="GLN41" s="117" t="str">
        <f>IF(GLM41&lt;5,"SI","NO")</f>
        <v>NO</v>
      </c>
      <c r="GLO41" s="117" t="str">
        <f>IF(GLM41&lt;5,"Sin Riesgo",IF(GLM41 &lt;=14,"Bajo",IF(GLM41&lt;=35,"Medio",IF(GLM41&lt;=80,"Alto","Inviable Sanitariamente"))))</f>
        <v>Inviable Sanitariamente</v>
      </c>
      <c r="GLZ41" s="117">
        <v>97.9</v>
      </c>
      <c r="GMB41" s="117">
        <f>AVERAGE(GLP41:GMA41)</f>
        <v>97.9</v>
      </c>
      <c r="GMC41" s="117" t="str">
        <f>IF(GMB41&lt;5,"SI","NO")</f>
        <v>NO</v>
      </c>
      <c r="GMD41" s="117" t="str">
        <f>IF(GMB41&lt;5,"Sin Riesgo",IF(GMB41 &lt;=14,"Bajo",IF(GMB41&lt;=35,"Medio",IF(GMB41&lt;=80,"Alto","Inviable Sanitariamente"))))</f>
        <v>Inviable Sanitariamente</v>
      </c>
      <c r="GMO41" s="117">
        <v>97.9</v>
      </c>
      <c r="GMQ41" s="117">
        <f>AVERAGE(GME41:GMP41)</f>
        <v>97.9</v>
      </c>
      <c r="GMR41" s="117" t="str">
        <f>IF(GMQ41&lt;5,"SI","NO")</f>
        <v>NO</v>
      </c>
      <c r="GMS41" s="117" t="str">
        <f>IF(GMQ41&lt;5,"Sin Riesgo",IF(GMQ41 &lt;=14,"Bajo",IF(GMQ41&lt;=35,"Medio",IF(GMQ41&lt;=80,"Alto","Inviable Sanitariamente"))))</f>
        <v>Inviable Sanitariamente</v>
      </c>
      <c r="GND41" s="117">
        <v>97.9</v>
      </c>
      <c r="GNF41" s="117">
        <f>AVERAGE(GMT41:GNE41)</f>
        <v>97.9</v>
      </c>
      <c r="GNG41" s="117" t="str">
        <f>IF(GNF41&lt;5,"SI","NO")</f>
        <v>NO</v>
      </c>
      <c r="GNH41" s="117" t="str">
        <f>IF(GNF41&lt;5,"Sin Riesgo",IF(GNF41 &lt;=14,"Bajo",IF(GNF41&lt;=35,"Medio",IF(GNF41&lt;=80,"Alto","Inviable Sanitariamente"))))</f>
        <v>Inviable Sanitariamente</v>
      </c>
      <c r="GNS41" s="117">
        <v>97.9</v>
      </c>
      <c r="GNU41" s="117">
        <f>AVERAGE(GNI41:GNT41)</f>
        <v>97.9</v>
      </c>
      <c r="GNV41" s="117" t="str">
        <f>IF(GNU41&lt;5,"SI","NO")</f>
        <v>NO</v>
      </c>
      <c r="GNW41" s="117" t="str">
        <f>IF(GNU41&lt;5,"Sin Riesgo",IF(GNU41 &lt;=14,"Bajo",IF(GNU41&lt;=35,"Medio",IF(GNU41&lt;=80,"Alto","Inviable Sanitariamente"))))</f>
        <v>Inviable Sanitariamente</v>
      </c>
      <c r="GOH41" s="117">
        <v>97.9</v>
      </c>
      <c r="GOJ41" s="117">
        <f>AVERAGE(GNX41:GOI41)</f>
        <v>97.9</v>
      </c>
      <c r="GOK41" s="117" t="str">
        <f>IF(GOJ41&lt;5,"SI","NO")</f>
        <v>NO</v>
      </c>
      <c r="GOL41" s="117" t="str">
        <f>IF(GOJ41&lt;5,"Sin Riesgo",IF(GOJ41 &lt;=14,"Bajo",IF(GOJ41&lt;=35,"Medio",IF(GOJ41&lt;=80,"Alto","Inviable Sanitariamente"))))</f>
        <v>Inviable Sanitariamente</v>
      </c>
      <c r="GOW41" s="117">
        <v>97.9</v>
      </c>
      <c r="GOY41" s="117">
        <f>AVERAGE(GOM41:GOX41)</f>
        <v>97.9</v>
      </c>
      <c r="GOZ41" s="117" t="str">
        <f>IF(GOY41&lt;5,"SI","NO")</f>
        <v>NO</v>
      </c>
      <c r="GPA41" s="117" t="str">
        <f>IF(GOY41&lt;5,"Sin Riesgo",IF(GOY41 &lt;=14,"Bajo",IF(GOY41&lt;=35,"Medio",IF(GOY41&lt;=80,"Alto","Inviable Sanitariamente"))))</f>
        <v>Inviable Sanitariamente</v>
      </c>
      <c r="GPL41" s="117">
        <v>97.9</v>
      </c>
      <c r="GPN41" s="117">
        <f>AVERAGE(GPB41:GPM41)</f>
        <v>97.9</v>
      </c>
      <c r="GPO41" s="117" t="str">
        <f>IF(GPN41&lt;5,"SI","NO")</f>
        <v>NO</v>
      </c>
      <c r="GPP41" s="117" t="str">
        <f>IF(GPN41&lt;5,"Sin Riesgo",IF(GPN41 &lt;=14,"Bajo",IF(GPN41&lt;=35,"Medio",IF(GPN41&lt;=80,"Alto","Inviable Sanitariamente"))))</f>
        <v>Inviable Sanitariamente</v>
      </c>
      <c r="GQA41" s="117">
        <v>97.9</v>
      </c>
      <c r="GQC41" s="117">
        <f>AVERAGE(GPQ41:GQB41)</f>
        <v>97.9</v>
      </c>
      <c r="GQD41" s="117" t="str">
        <f>IF(GQC41&lt;5,"SI","NO")</f>
        <v>NO</v>
      </c>
      <c r="GQE41" s="117" t="str">
        <f>IF(GQC41&lt;5,"Sin Riesgo",IF(GQC41 &lt;=14,"Bajo",IF(GQC41&lt;=35,"Medio",IF(GQC41&lt;=80,"Alto","Inviable Sanitariamente"))))</f>
        <v>Inviable Sanitariamente</v>
      </c>
      <c r="GQP41" s="117">
        <v>97.9</v>
      </c>
      <c r="GQR41" s="117">
        <f>AVERAGE(GQF41:GQQ41)</f>
        <v>97.9</v>
      </c>
      <c r="GQS41" s="117" t="str">
        <f>IF(GQR41&lt;5,"SI","NO")</f>
        <v>NO</v>
      </c>
      <c r="GQT41" s="117" t="str">
        <f>IF(GQR41&lt;5,"Sin Riesgo",IF(GQR41 &lt;=14,"Bajo",IF(GQR41&lt;=35,"Medio",IF(GQR41&lt;=80,"Alto","Inviable Sanitariamente"))))</f>
        <v>Inviable Sanitariamente</v>
      </c>
      <c r="GRE41" s="117">
        <v>97.9</v>
      </c>
      <c r="GRG41" s="117">
        <f>AVERAGE(GQU41:GRF41)</f>
        <v>97.9</v>
      </c>
      <c r="GRH41" s="117" t="str">
        <f>IF(GRG41&lt;5,"SI","NO")</f>
        <v>NO</v>
      </c>
      <c r="GRI41" s="117" t="str">
        <f>IF(GRG41&lt;5,"Sin Riesgo",IF(GRG41 &lt;=14,"Bajo",IF(GRG41&lt;=35,"Medio",IF(GRG41&lt;=80,"Alto","Inviable Sanitariamente"))))</f>
        <v>Inviable Sanitariamente</v>
      </c>
      <c r="GRT41" s="117">
        <v>97.9</v>
      </c>
      <c r="GRV41" s="117">
        <f>AVERAGE(GRJ41:GRU41)</f>
        <v>97.9</v>
      </c>
      <c r="GRW41" s="117" t="str">
        <f>IF(GRV41&lt;5,"SI","NO")</f>
        <v>NO</v>
      </c>
      <c r="GRX41" s="117" t="str">
        <f>IF(GRV41&lt;5,"Sin Riesgo",IF(GRV41 &lt;=14,"Bajo",IF(GRV41&lt;=35,"Medio",IF(GRV41&lt;=80,"Alto","Inviable Sanitariamente"))))</f>
        <v>Inviable Sanitariamente</v>
      </c>
      <c r="GSI41" s="117">
        <v>97.9</v>
      </c>
      <c r="GSK41" s="117">
        <f>AVERAGE(GRY41:GSJ41)</f>
        <v>97.9</v>
      </c>
      <c r="GSL41" s="117" t="str">
        <f>IF(GSK41&lt;5,"SI","NO")</f>
        <v>NO</v>
      </c>
      <c r="GSM41" s="117" t="str">
        <f>IF(GSK41&lt;5,"Sin Riesgo",IF(GSK41 &lt;=14,"Bajo",IF(GSK41&lt;=35,"Medio",IF(GSK41&lt;=80,"Alto","Inviable Sanitariamente"))))</f>
        <v>Inviable Sanitariamente</v>
      </c>
      <c r="GSX41" s="117">
        <v>97.9</v>
      </c>
      <c r="GSZ41" s="117">
        <f>AVERAGE(GSN41:GSY41)</f>
        <v>97.9</v>
      </c>
      <c r="GTA41" s="117" t="str">
        <f>IF(GSZ41&lt;5,"SI","NO")</f>
        <v>NO</v>
      </c>
      <c r="GTB41" s="117" t="str">
        <f>IF(GSZ41&lt;5,"Sin Riesgo",IF(GSZ41 &lt;=14,"Bajo",IF(GSZ41&lt;=35,"Medio",IF(GSZ41&lt;=80,"Alto","Inviable Sanitariamente"))))</f>
        <v>Inviable Sanitariamente</v>
      </c>
      <c r="GTM41" s="117">
        <v>97.9</v>
      </c>
      <c r="GTO41" s="117">
        <f>AVERAGE(GTC41:GTN41)</f>
        <v>97.9</v>
      </c>
      <c r="GTP41" s="117" t="str">
        <f>IF(GTO41&lt;5,"SI","NO")</f>
        <v>NO</v>
      </c>
      <c r="GTQ41" s="117" t="str">
        <f>IF(GTO41&lt;5,"Sin Riesgo",IF(GTO41 &lt;=14,"Bajo",IF(GTO41&lt;=35,"Medio",IF(GTO41&lt;=80,"Alto","Inviable Sanitariamente"))))</f>
        <v>Inviable Sanitariamente</v>
      </c>
      <c r="GUB41" s="117">
        <v>97.9</v>
      </c>
      <c r="GUD41" s="117">
        <f>AVERAGE(GTR41:GUC41)</f>
        <v>97.9</v>
      </c>
      <c r="GUE41" s="117" t="str">
        <f>IF(GUD41&lt;5,"SI","NO")</f>
        <v>NO</v>
      </c>
      <c r="GUF41" s="117" t="str">
        <f>IF(GUD41&lt;5,"Sin Riesgo",IF(GUD41 &lt;=14,"Bajo",IF(GUD41&lt;=35,"Medio",IF(GUD41&lt;=80,"Alto","Inviable Sanitariamente"))))</f>
        <v>Inviable Sanitariamente</v>
      </c>
      <c r="GUQ41" s="117">
        <v>97.9</v>
      </c>
      <c r="GUS41" s="117">
        <f>AVERAGE(GUG41:GUR41)</f>
        <v>97.9</v>
      </c>
      <c r="GUT41" s="117" t="str">
        <f>IF(GUS41&lt;5,"SI","NO")</f>
        <v>NO</v>
      </c>
      <c r="GUU41" s="117" t="str">
        <f>IF(GUS41&lt;5,"Sin Riesgo",IF(GUS41 &lt;=14,"Bajo",IF(GUS41&lt;=35,"Medio",IF(GUS41&lt;=80,"Alto","Inviable Sanitariamente"))))</f>
        <v>Inviable Sanitariamente</v>
      </c>
      <c r="GVF41" s="117">
        <v>97.9</v>
      </c>
      <c r="GVH41" s="117">
        <f>AVERAGE(GUV41:GVG41)</f>
        <v>97.9</v>
      </c>
      <c r="GVI41" s="117" t="str">
        <f>IF(GVH41&lt;5,"SI","NO")</f>
        <v>NO</v>
      </c>
      <c r="GVJ41" s="117" t="str">
        <f>IF(GVH41&lt;5,"Sin Riesgo",IF(GVH41 &lt;=14,"Bajo",IF(GVH41&lt;=35,"Medio",IF(GVH41&lt;=80,"Alto","Inviable Sanitariamente"))))</f>
        <v>Inviable Sanitariamente</v>
      </c>
      <c r="GVU41" s="117">
        <v>97.9</v>
      </c>
      <c r="GVW41" s="117">
        <f>AVERAGE(GVK41:GVV41)</f>
        <v>97.9</v>
      </c>
      <c r="GVX41" s="117" t="str">
        <f>IF(GVW41&lt;5,"SI","NO")</f>
        <v>NO</v>
      </c>
      <c r="GVY41" s="117" t="str">
        <f>IF(GVW41&lt;5,"Sin Riesgo",IF(GVW41 &lt;=14,"Bajo",IF(GVW41&lt;=35,"Medio",IF(GVW41&lt;=80,"Alto","Inviable Sanitariamente"))))</f>
        <v>Inviable Sanitariamente</v>
      </c>
      <c r="GWJ41" s="117">
        <v>97.9</v>
      </c>
      <c r="GWL41" s="117">
        <f>AVERAGE(GVZ41:GWK41)</f>
        <v>97.9</v>
      </c>
      <c r="GWM41" s="117" t="str">
        <f>IF(GWL41&lt;5,"SI","NO")</f>
        <v>NO</v>
      </c>
      <c r="GWN41" s="117" t="str">
        <f>IF(GWL41&lt;5,"Sin Riesgo",IF(GWL41 &lt;=14,"Bajo",IF(GWL41&lt;=35,"Medio",IF(GWL41&lt;=80,"Alto","Inviable Sanitariamente"))))</f>
        <v>Inviable Sanitariamente</v>
      </c>
      <c r="GWY41" s="117">
        <v>97.9</v>
      </c>
      <c r="GXA41" s="117">
        <f>AVERAGE(GWO41:GWZ41)</f>
        <v>97.9</v>
      </c>
      <c r="GXB41" s="117" t="str">
        <f>IF(GXA41&lt;5,"SI","NO")</f>
        <v>NO</v>
      </c>
      <c r="GXC41" s="117" t="str">
        <f>IF(GXA41&lt;5,"Sin Riesgo",IF(GXA41 &lt;=14,"Bajo",IF(GXA41&lt;=35,"Medio",IF(GXA41&lt;=80,"Alto","Inviable Sanitariamente"))))</f>
        <v>Inviable Sanitariamente</v>
      </c>
      <c r="GXN41" s="117">
        <v>97.9</v>
      </c>
      <c r="GXP41" s="117">
        <f>AVERAGE(GXD41:GXO41)</f>
        <v>97.9</v>
      </c>
      <c r="GXQ41" s="117" t="str">
        <f>IF(GXP41&lt;5,"SI","NO")</f>
        <v>NO</v>
      </c>
      <c r="GXR41" s="117" t="str">
        <f>IF(GXP41&lt;5,"Sin Riesgo",IF(GXP41 &lt;=14,"Bajo",IF(GXP41&lt;=35,"Medio",IF(GXP41&lt;=80,"Alto","Inviable Sanitariamente"))))</f>
        <v>Inviable Sanitariamente</v>
      </c>
      <c r="GYC41" s="117">
        <v>97.9</v>
      </c>
      <c r="GYE41" s="117">
        <f>AVERAGE(GXS41:GYD41)</f>
        <v>97.9</v>
      </c>
      <c r="GYF41" s="117" t="str">
        <f>IF(GYE41&lt;5,"SI","NO")</f>
        <v>NO</v>
      </c>
      <c r="GYG41" s="117" t="str">
        <f>IF(GYE41&lt;5,"Sin Riesgo",IF(GYE41 &lt;=14,"Bajo",IF(GYE41&lt;=35,"Medio",IF(GYE41&lt;=80,"Alto","Inviable Sanitariamente"))))</f>
        <v>Inviable Sanitariamente</v>
      </c>
      <c r="GYR41" s="117">
        <v>97.9</v>
      </c>
      <c r="GYT41" s="117">
        <f>AVERAGE(GYH41:GYS41)</f>
        <v>97.9</v>
      </c>
      <c r="GYU41" s="117" t="str">
        <f>IF(GYT41&lt;5,"SI","NO")</f>
        <v>NO</v>
      </c>
      <c r="GYV41" s="117" t="str">
        <f>IF(GYT41&lt;5,"Sin Riesgo",IF(GYT41 &lt;=14,"Bajo",IF(GYT41&lt;=35,"Medio",IF(GYT41&lt;=80,"Alto","Inviable Sanitariamente"))))</f>
        <v>Inviable Sanitariamente</v>
      </c>
      <c r="GZG41" s="117">
        <v>97.9</v>
      </c>
      <c r="GZI41" s="117">
        <f>AVERAGE(GYW41:GZH41)</f>
        <v>97.9</v>
      </c>
      <c r="GZJ41" s="117" t="str">
        <f>IF(GZI41&lt;5,"SI","NO")</f>
        <v>NO</v>
      </c>
      <c r="GZK41" s="117" t="str">
        <f>IF(GZI41&lt;5,"Sin Riesgo",IF(GZI41 &lt;=14,"Bajo",IF(GZI41&lt;=35,"Medio",IF(GZI41&lt;=80,"Alto","Inviable Sanitariamente"))))</f>
        <v>Inviable Sanitariamente</v>
      </c>
      <c r="GZV41" s="117">
        <v>97.9</v>
      </c>
      <c r="GZX41" s="117">
        <f>AVERAGE(GZL41:GZW41)</f>
        <v>97.9</v>
      </c>
      <c r="GZY41" s="117" t="str">
        <f>IF(GZX41&lt;5,"SI","NO")</f>
        <v>NO</v>
      </c>
      <c r="GZZ41" s="117" t="str">
        <f>IF(GZX41&lt;5,"Sin Riesgo",IF(GZX41 &lt;=14,"Bajo",IF(GZX41&lt;=35,"Medio",IF(GZX41&lt;=80,"Alto","Inviable Sanitariamente"))))</f>
        <v>Inviable Sanitariamente</v>
      </c>
      <c r="HAK41" s="117">
        <v>97.9</v>
      </c>
      <c r="HAM41" s="117">
        <f>AVERAGE(HAA41:HAL41)</f>
        <v>97.9</v>
      </c>
      <c r="HAN41" s="117" t="str">
        <f>IF(HAM41&lt;5,"SI","NO")</f>
        <v>NO</v>
      </c>
      <c r="HAO41" s="117" t="str">
        <f>IF(HAM41&lt;5,"Sin Riesgo",IF(HAM41 &lt;=14,"Bajo",IF(HAM41&lt;=35,"Medio",IF(HAM41&lt;=80,"Alto","Inviable Sanitariamente"))))</f>
        <v>Inviable Sanitariamente</v>
      </c>
      <c r="HAZ41" s="117">
        <v>97.9</v>
      </c>
      <c r="HBB41" s="117">
        <f>AVERAGE(HAP41:HBA41)</f>
        <v>97.9</v>
      </c>
      <c r="HBC41" s="117" t="str">
        <f>IF(HBB41&lt;5,"SI","NO")</f>
        <v>NO</v>
      </c>
      <c r="HBD41" s="117" t="str">
        <f>IF(HBB41&lt;5,"Sin Riesgo",IF(HBB41 &lt;=14,"Bajo",IF(HBB41&lt;=35,"Medio",IF(HBB41&lt;=80,"Alto","Inviable Sanitariamente"))))</f>
        <v>Inviable Sanitariamente</v>
      </c>
      <c r="HBO41" s="117">
        <v>97.9</v>
      </c>
      <c r="HBQ41" s="117">
        <f>AVERAGE(HBE41:HBP41)</f>
        <v>97.9</v>
      </c>
      <c r="HBR41" s="117" t="str">
        <f>IF(HBQ41&lt;5,"SI","NO")</f>
        <v>NO</v>
      </c>
      <c r="HBS41" s="117" t="str">
        <f>IF(HBQ41&lt;5,"Sin Riesgo",IF(HBQ41 &lt;=14,"Bajo",IF(HBQ41&lt;=35,"Medio",IF(HBQ41&lt;=80,"Alto","Inviable Sanitariamente"))))</f>
        <v>Inviable Sanitariamente</v>
      </c>
      <c r="HCD41" s="117">
        <v>97.9</v>
      </c>
      <c r="HCF41" s="117">
        <f>AVERAGE(HBT41:HCE41)</f>
        <v>97.9</v>
      </c>
      <c r="HCG41" s="117" t="str">
        <f>IF(HCF41&lt;5,"SI","NO")</f>
        <v>NO</v>
      </c>
      <c r="HCH41" s="117" t="str">
        <f>IF(HCF41&lt;5,"Sin Riesgo",IF(HCF41 &lt;=14,"Bajo",IF(HCF41&lt;=35,"Medio",IF(HCF41&lt;=80,"Alto","Inviable Sanitariamente"))))</f>
        <v>Inviable Sanitariamente</v>
      </c>
      <c r="HCS41" s="117">
        <v>97.9</v>
      </c>
      <c r="HCU41" s="117">
        <f>AVERAGE(HCI41:HCT41)</f>
        <v>97.9</v>
      </c>
      <c r="HCV41" s="117" t="str">
        <f>IF(HCU41&lt;5,"SI","NO")</f>
        <v>NO</v>
      </c>
      <c r="HCW41" s="117" t="str">
        <f>IF(HCU41&lt;5,"Sin Riesgo",IF(HCU41 &lt;=14,"Bajo",IF(HCU41&lt;=35,"Medio",IF(HCU41&lt;=80,"Alto","Inviable Sanitariamente"))))</f>
        <v>Inviable Sanitariamente</v>
      </c>
      <c r="HDH41" s="117">
        <v>97.9</v>
      </c>
      <c r="HDJ41" s="117">
        <f>AVERAGE(HCX41:HDI41)</f>
        <v>97.9</v>
      </c>
      <c r="HDK41" s="117" t="str">
        <f>IF(HDJ41&lt;5,"SI","NO")</f>
        <v>NO</v>
      </c>
      <c r="HDL41" s="117" t="str">
        <f>IF(HDJ41&lt;5,"Sin Riesgo",IF(HDJ41 &lt;=14,"Bajo",IF(HDJ41&lt;=35,"Medio",IF(HDJ41&lt;=80,"Alto","Inviable Sanitariamente"))))</f>
        <v>Inviable Sanitariamente</v>
      </c>
      <c r="HDW41" s="117">
        <v>97.9</v>
      </c>
      <c r="HDY41" s="117">
        <f>AVERAGE(HDM41:HDX41)</f>
        <v>97.9</v>
      </c>
      <c r="HDZ41" s="117" t="str">
        <f>IF(HDY41&lt;5,"SI","NO")</f>
        <v>NO</v>
      </c>
      <c r="HEA41" s="117" t="str">
        <f>IF(HDY41&lt;5,"Sin Riesgo",IF(HDY41 &lt;=14,"Bajo",IF(HDY41&lt;=35,"Medio",IF(HDY41&lt;=80,"Alto","Inviable Sanitariamente"))))</f>
        <v>Inviable Sanitariamente</v>
      </c>
      <c r="HEL41" s="117">
        <v>97.9</v>
      </c>
      <c r="HEN41" s="117">
        <f>AVERAGE(HEB41:HEM41)</f>
        <v>97.9</v>
      </c>
      <c r="HEO41" s="117" t="str">
        <f>IF(HEN41&lt;5,"SI","NO")</f>
        <v>NO</v>
      </c>
      <c r="HEP41" s="117" t="str">
        <f>IF(HEN41&lt;5,"Sin Riesgo",IF(HEN41 &lt;=14,"Bajo",IF(HEN41&lt;=35,"Medio",IF(HEN41&lt;=80,"Alto","Inviable Sanitariamente"))))</f>
        <v>Inviable Sanitariamente</v>
      </c>
      <c r="HFA41" s="117">
        <v>97.9</v>
      </c>
      <c r="HFC41" s="117">
        <f>AVERAGE(HEQ41:HFB41)</f>
        <v>97.9</v>
      </c>
      <c r="HFD41" s="117" t="str">
        <f>IF(HFC41&lt;5,"SI","NO")</f>
        <v>NO</v>
      </c>
      <c r="HFE41" s="117" t="str">
        <f>IF(HFC41&lt;5,"Sin Riesgo",IF(HFC41 &lt;=14,"Bajo",IF(HFC41&lt;=35,"Medio",IF(HFC41&lt;=80,"Alto","Inviable Sanitariamente"))))</f>
        <v>Inviable Sanitariamente</v>
      </c>
      <c r="HFP41" s="117">
        <v>97.9</v>
      </c>
      <c r="HFR41" s="117">
        <f>AVERAGE(HFF41:HFQ41)</f>
        <v>97.9</v>
      </c>
      <c r="HFS41" s="117" t="str">
        <f>IF(HFR41&lt;5,"SI","NO")</f>
        <v>NO</v>
      </c>
      <c r="HFT41" s="117" t="str">
        <f>IF(HFR41&lt;5,"Sin Riesgo",IF(HFR41 &lt;=14,"Bajo",IF(HFR41&lt;=35,"Medio",IF(HFR41&lt;=80,"Alto","Inviable Sanitariamente"))))</f>
        <v>Inviable Sanitariamente</v>
      </c>
      <c r="HGE41" s="117">
        <v>97.9</v>
      </c>
      <c r="HGG41" s="117">
        <f>AVERAGE(HFU41:HGF41)</f>
        <v>97.9</v>
      </c>
      <c r="HGH41" s="117" t="str">
        <f>IF(HGG41&lt;5,"SI","NO")</f>
        <v>NO</v>
      </c>
      <c r="HGI41" s="117" t="str">
        <f>IF(HGG41&lt;5,"Sin Riesgo",IF(HGG41 &lt;=14,"Bajo",IF(HGG41&lt;=35,"Medio",IF(HGG41&lt;=80,"Alto","Inviable Sanitariamente"))))</f>
        <v>Inviable Sanitariamente</v>
      </c>
      <c r="HGT41" s="117">
        <v>97.9</v>
      </c>
      <c r="HGV41" s="117">
        <f>AVERAGE(HGJ41:HGU41)</f>
        <v>97.9</v>
      </c>
      <c r="HGW41" s="117" t="str">
        <f>IF(HGV41&lt;5,"SI","NO")</f>
        <v>NO</v>
      </c>
      <c r="HGX41" s="117" t="str">
        <f>IF(HGV41&lt;5,"Sin Riesgo",IF(HGV41 &lt;=14,"Bajo",IF(HGV41&lt;=35,"Medio",IF(HGV41&lt;=80,"Alto","Inviable Sanitariamente"))))</f>
        <v>Inviable Sanitariamente</v>
      </c>
      <c r="HHI41" s="117">
        <v>97.9</v>
      </c>
      <c r="HHK41" s="117">
        <f>AVERAGE(HGY41:HHJ41)</f>
        <v>97.9</v>
      </c>
      <c r="HHL41" s="117" t="str">
        <f>IF(HHK41&lt;5,"SI","NO")</f>
        <v>NO</v>
      </c>
      <c r="HHM41" s="117" t="str">
        <f>IF(HHK41&lt;5,"Sin Riesgo",IF(HHK41 &lt;=14,"Bajo",IF(HHK41&lt;=35,"Medio",IF(HHK41&lt;=80,"Alto","Inviable Sanitariamente"))))</f>
        <v>Inviable Sanitariamente</v>
      </c>
      <c r="HHX41" s="117">
        <v>97.9</v>
      </c>
      <c r="HHZ41" s="117">
        <f>AVERAGE(HHN41:HHY41)</f>
        <v>97.9</v>
      </c>
      <c r="HIA41" s="117" t="str">
        <f>IF(HHZ41&lt;5,"SI","NO")</f>
        <v>NO</v>
      </c>
      <c r="HIB41" s="117" t="str">
        <f>IF(HHZ41&lt;5,"Sin Riesgo",IF(HHZ41 &lt;=14,"Bajo",IF(HHZ41&lt;=35,"Medio",IF(HHZ41&lt;=80,"Alto","Inviable Sanitariamente"))))</f>
        <v>Inviable Sanitariamente</v>
      </c>
      <c r="HIM41" s="117">
        <v>97.9</v>
      </c>
      <c r="HIO41" s="117">
        <f>AVERAGE(HIC41:HIN41)</f>
        <v>97.9</v>
      </c>
      <c r="HIP41" s="117" t="str">
        <f>IF(HIO41&lt;5,"SI","NO")</f>
        <v>NO</v>
      </c>
      <c r="HIQ41" s="117" t="str">
        <f>IF(HIO41&lt;5,"Sin Riesgo",IF(HIO41 &lt;=14,"Bajo",IF(HIO41&lt;=35,"Medio",IF(HIO41&lt;=80,"Alto","Inviable Sanitariamente"))))</f>
        <v>Inviable Sanitariamente</v>
      </c>
      <c r="HJB41" s="117">
        <v>97.9</v>
      </c>
      <c r="HJD41" s="117">
        <f>AVERAGE(HIR41:HJC41)</f>
        <v>97.9</v>
      </c>
      <c r="HJE41" s="117" t="str">
        <f>IF(HJD41&lt;5,"SI","NO")</f>
        <v>NO</v>
      </c>
      <c r="HJF41" s="117" t="str">
        <f>IF(HJD41&lt;5,"Sin Riesgo",IF(HJD41 &lt;=14,"Bajo",IF(HJD41&lt;=35,"Medio",IF(HJD41&lt;=80,"Alto","Inviable Sanitariamente"))))</f>
        <v>Inviable Sanitariamente</v>
      </c>
      <c r="HJQ41" s="117">
        <v>97.9</v>
      </c>
      <c r="HJS41" s="117">
        <f>AVERAGE(HJG41:HJR41)</f>
        <v>97.9</v>
      </c>
      <c r="HJT41" s="117" t="str">
        <f>IF(HJS41&lt;5,"SI","NO")</f>
        <v>NO</v>
      </c>
      <c r="HJU41" s="117" t="str">
        <f>IF(HJS41&lt;5,"Sin Riesgo",IF(HJS41 &lt;=14,"Bajo",IF(HJS41&lt;=35,"Medio",IF(HJS41&lt;=80,"Alto","Inviable Sanitariamente"))))</f>
        <v>Inviable Sanitariamente</v>
      </c>
      <c r="HKF41" s="117">
        <v>97.9</v>
      </c>
      <c r="HKH41" s="117">
        <f>AVERAGE(HJV41:HKG41)</f>
        <v>97.9</v>
      </c>
      <c r="HKI41" s="117" t="str">
        <f>IF(HKH41&lt;5,"SI","NO")</f>
        <v>NO</v>
      </c>
      <c r="HKJ41" s="117" t="str">
        <f>IF(HKH41&lt;5,"Sin Riesgo",IF(HKH41 &lt;=14,"Bajo",IF(HKH41&lt;=35,"Medio",IF(HKH41&lt;=80,"Alto","Inviable Sanitariamente"))))</f>
        <v>Inviable Sanitariamente</v>
      </c>
      <c r="HKU41" s="117">
        <v>97.9</v>
      </c>
      <c r="HKW41" s="117">
        <f>AVERAGE(HKK41:HKV41)</f>
        <v>97.9</v>
      </c>
      <c r="HKX41" s="117" t="str">
        <f>IF(HKW41&lt;5,"SI","NO")</f>
        <v>NO</v>
      </c>
      <c r="HKY41" s="117" t="str">
        <f>IF(HKW41&lt;5,"Sin Riesgo",IF(HKW41 &lt;=14,"Bajo",IF(HKW41&lt;=35,"Medio",IF(HKW41&lt;=80,"Alto","Inviable Sanitariamente"))))</f>
        <v>Inviable Sanitariamente</v>
      </c>
      <c r="HLJ41" s="117">
        <v>97.9</v>
      </c>
      <c r="HLL41" s="117">
        <f>AVERAGE(HKZ41:HLK41)</f>
        <v>97.9</v>
      </c>
      <c r="HLM41" s="117" t="str">
        <f>IF(HLL41&lt;5,"SI","NO")</f>
        <v>NO</v>
      </c>
      <c r="HLN41" s="117" t="str">
        <f>IF(HLL41&lt;5,"Sin Riesgo",IF(HLL41 &lt;=14,"Bajo",IF(HLL41&lt;=35,"Medio",IF(HLL41&lt;=80,"Alto","Inviable Sanitariamente"))))</f>
        <v>Inviable Sanitariamente</v>
      </c>
      <c r="HLY41" s="117">
        <v>97.9</v>
      </c>
      <c r="HMA41" s="117">
        <f>AVERAGE(HLO41:HLZ41)</f>
        <v>97.9</v>
      </c>
      <c r="HMB41" s="117" t="str">
        <f>IF(HMA41&lt;5,"SI","NO")</f>
        <v>NO</v>
      </c>
      <c r="HMC41" s="117" t="str">
        <f>IF(HMA41&lt;5,"Sin Riesgo",IF(HMA41 &lt;=14,"Bajo",IF(HMA41&lt;=35,"Medio",IF(HMA41&lt;=80,"Alto","Inviable Sanitariamente"))))</f>
        <v>Inviable Sanitariamente</v>
      </c>
      <c r="HMN41" s="117">
        <v>97.9</v>
      </c>
      <c r="HMP41" s="117">
        <f>AVERAGE(HMD41:HMO41)</f>
        <v>97.9</v>
      </c>
      <c r="HMQ41" s="117" t="str">
        <f>IF(HMP41&lt;5,"SI","NO")</f>
        <v>NO</v>
      </c>
      <c r="HMR41" s="117" t="str">
        <f>IF(HMP41&lt;5,"Sin Riesgo",IF(HMP41 &lt;=14,"Bajo",IF(HMP41&lt;=35,"Medio",IF(HMP41&lt;=80,"Alto","Inviable Sanitariamente"))))</f>
        <v>Inviable Sanitariamente</v>
      </c>
      <c r="HNC41" s="117">
        <v>97.9</v>
      </c>
      <c r="HNE41" s="117">
        <f>AVERAGE(HMS41:HND41)</f>
        <v>97.9</v>
      </c>
      <c r="HNF41" s="117" t="str">
        <f>IF(HNE41&lt;5,"SI","NO")</f>
        <v>NO</v>
      </c>
      <c r="HNG41" s="117" t="str">
        <f>IF(HNE41&lt;5,"Sin Riesgo",IF(HNE41 &lt;=14,"Bajo",IF(HNE41&lt;=35,"Medio",IF(HNE41&lt;=80,"Alto","Inviable Sanitariamente"))))</f>
        <v>Inviable Sanitariamente</v>
      </c>
      <c r="HNR41" s="117">
        <v>97.9</v>
      </c>
      <c r="HNT41" s="117">
        <f>AVERAGE(HNH41:HNS41)</f>
        <v>97.9</v>
      </c>
      <c r="HNU41" s="117" t="str">
        <f>IF(HNT41&lt;5,"SI","NO")</f>
        <v>NO</v>
      </c>
      <c r="HNV41" s="117" t="str">
        <f>IF(HNT41&lt;5,"Sin Riesgo",IF(HNT41 &lt;=14,"Bajo",IF(HNT41&lt;=35,"Medio",IF(HNT41&lt;=80,"Alto","Inviable Sanitariamente"))))</f>
        <v>Inviable Sanitariamente</v>
      </c>
      <c r="HOG41" s="117">
        <v>97.9</v>
      </c>
      <c r="HOI41" s="117">
        <f>AVERAGE(HNW41:HOH41)</f>
        <v>97.9</v>
      </c>
      <c r="HOJ41" s="117" t="str">
        <f>IF(HOI41&lt;5,"SI","NO")</f>
        <v>NO</v>
      </c>
      <c r="HOK41" s="117" t="str">
        <f>IF(HOI41&lt;5,"Sin Riesgo",IF(HOI41 &lt;=14,"Bajo",IF(HOI41&lt;=35,"Medio",IF(HOI41&lt;=80,"Alto","Inviable Sanitariamente"))))</f>
        <v>Inviable Sanitariamente</v>
      </c>
      <c r="HOV41" s="117">
        <v>97.9</v>
      </c>
      <c r="HOX41" s="117">
        <f>AVERAGE(HOL41:HOW41)</f>
        <v>97.9</v>
      </c>
      <c r="HOY41" s="117" t="str">
        <f>IF(HOX41&lt;5,"SI","NO")</f>
        <v>NO</v>
      </c>
      <c r="HOZ41" s="117" t="str">
        <f>IF(HOX41&lt;5,"Sin Riesgo",IF(HOX41 &lt;=14,"Bajo",IF(HOX41&lt;=35,"Medio",IF(HOX41&lt;=80,"Alto","Inviable Sanitariamente"))))</f>
        <v>Inviable Sanitariamente</v>
      </c>
      <c r="HPK41" s="117">
        <v>97.9</v>
      </c>
      <c r="HPM41" s="117">
        <f>AVERAGE(HPA41:HPL41)</f>
        <v>97.9</v>
      </c>
      <c r="HPN41" s="117" t="str">
        <f>IF(HPM41&lt;5,"SI","NO")</f>
        <v>NO</v>
      </c>
      <c r="HPO41" s="117" t="str">
        <f>IF(HPM41&lt;5,"Sin Riesgo",IF(HPM41 &lt;=14,"Bajo",IF(HPM41&lt;=35,"Medio",IF(HPM41&lt;=80,"Alto","Inviable Sanitariamente"))))</f>
        <v>Inviable Sanitariamente</v>
      </c>
      <c r="HPZ41" s="117">
        <v>97.9</v>
      </c>
      <c r="HQB41" s="117">
        <f>AVERAGE(HPP41:HQA41)</f>
        <v>97.9</v>
      </c>
      <c r="HQC41" s="117" t="str">
        <f>IF(HQB41&lt;5,"SI","NO")</f>
        <v>NO</v>
      </c>
      <c r="HQD41" s="117" t="str">
        <f>IF(HQB41&lt;5,"Sin Riesgo",IF(HQB41 &lt;=14,"Bajo",IF(HQB41&lt;=35,"Medio",IF(HQB41&lt;=80,"Alto","Inviable Sanitariamente"))))</f>
        <v>Inviable Sanitariamente</v>
      </c>
      <c r="HQO41" s="117">
        <v>97.9</v>
      </c>
      <c r="HQQ41" s="117">
        <f>AVERAGE(HQE41:HQP41)</f>
        <v>97.9</v>
      </c>
      <c r="HQR41" s="117" t="str">
        <f>IF(HQQ41&lt;5,"SI","NO")</f>
        <v>NO</v>
      </c>
      <c r="HQS41" s="117" t="str">
        <f>IF(HQQ41&lt;5,"Sin Riesgo",IF(HQQ41 &lt;=14,"Bajo",IF(HQQ41&lt;=35,"Medio",IF(HQQ41&lt;=80,"Alto","Inviable Sanitariamente"))))</f>
        <v>Inviable Sanitariamente</v>
      </c>
      <c r="HRD41" s="117">
        <v>97.9</v>
      </c>
      <c r="HRF41" s="117">
        <f>AVERAGE(HQT41:HRE41)</f>
        <v>97.9</v>
      </c>
      <c r="HRG41" s="117" t="str">
        <f>IF(HRF41&lt;5,"SI","NO")</f>
        <v>NO</v>
      </c>
      <c r="HRH41" s="117" t="str">
        <f>IF(HRF41&lt;5,"Sin Riesgo",IF(HRF41 &lt;=14,"Bajo",IF(HRF41&lt;=35,"Medio",IF(HRF41&lt;=80,"Alto","Inviable Sanitariamente"))))</f>
        <v>Inviable Sanitariamente</v>
      </c>
      <c r="HRS41" s="117">
        <v>97.9</v>
      </c>
      <c r="HRU41" s="117">
        <f>AVERAGE(HRI41:HRT41)</f>
        <v>97.9</v>
      </c>
      <c r="HRV41" s="117" t="str">
        <f>IF(HRU41&lt;5,"SI","NO")</f>
        <v>NO</v>
      </c>
      <c r="HRW41" s="117" t="str">
        <f>IF(HRU41&lt;5,"Sin Riesgo",IF(HRU41 &lt;=14,"Bajo",IF(HRU41&lt;=35,"Medio",IF(HRU41&lt;=80,"Alto","Inviable Sanitariamente"))))</f>
        <v>Inviable Sanitariamente</v>
      </c>
      <c r="HSH41" s="117">
        <v>97.9</v>
      </c>
      <c r="HSJ41" s="117">
        <f>AVERAGE(HRX41:HSI41)</f>
        <v>97.9</v>
      </c>
      <c r="HSK41" s="117" t="str">
        <f>IF(HSJ41&lt;5,"SI","NO")</f>
        <v>NO</v>
      </c>
      <c r="HSL41" s="117" t="str">
        <f>IF(HSJ41&lt;5,"Sin Riesgo",IF(HSJ41 &lt;=14,"Bajo",IF(HSJ41&lt;=35,"Medio",IF(HSJ41&lt;=80,"Alto","Inviable Sanitariamente"))))</f>
        <v>Inviable Sanitariamente</v>
      </c>
      <c r="HSW41" s="117">
        <v>97.9</v>
      </c>
      <c r="HSY41" s="117">
        <f>AVERAGE(HSM41:HSX41)</f>
        <v>97.9</v>
      </c>
      <c r="HSZ41" s="117" t="str">
        <f>IF(HSY41&lt;5,"SI","NO")</f>
        <v>NO</v>
      </c>
      <c r="HTA41" s="117" t="str">
        <f>IF(HSY41&lt;5,"Sin Riesgo",IF(HSY41 &lt;=14,"Bajo",IF(HSY41&lt;=35,"Medio",IF(HSY41&lt;=80,"Alto","Inviable Sanitariamente"))))</f>
        <v>Inviable Sanitariamente</v>
      </c>
      <c r="HTL41" s="117">
        <v>97.9</v>
      </c>
      <c r="HTN41" s="117">
        <f>AVERAGE(HTB41:HTM41)</f>
        <v>97.9</v>
      </c>
      <c r="HTO41" s="117" t="str">
        <f>IF(HTN41&lt;5,"SI","NO")</f>
        <v>NO</v>
      </c>
      <c r="HTP41" s="117" t="str">
        <f>IF(HTN41&lt;5,"Sin Riesgo",IF(HTN41 &lt;=14,"Bajo",IF(HTN41&lt;=35,"Medio",IF(HTN41&lt;=80,"Alto","Inviable Sanitariamente"))))</f>
        <v>Inviable Sanitariamente</v>
      </c>
      <c r="HUA41" s="117">
        <v>97.9</v>
      </c>
      <c r="HUC41" s="117">
        <f>AVERAGE(HTQ41:HUB41)</f>
        <v>97.9</v>
      </c>
      <c r="HUD41" s="117" t="str">
        <f>IF(HUC41&lt;5,"SI","NO")</f>
        <v>NO</v>
      </c>
      <c r="HUE41" s="117" t="str">
        <f>IF(HUC41&lt;5,"Sin Riesgo",IF(HUC41 &lt;=14,"Bajo",IF(HUC41&lt;=35,"Medio",IF(HUC41&lt;=80,"Alto","Inviable Sanitariamente"))))</f>
        <v>Inviable Sanitariamente</v>
      </c>
      <c r="HUP41" s="117">
        <v>97.9</v>
      </c>
      <c r="HUR41" s="117">
        <f>AVERAGE(HUF41:HUQ41)</f>
        <v>97.9</v>
      </c>
      <c r="HUS41" s="117" t="str">
        <f>IF(HUR41&lt;5,"SI","NO")</f>
        <v>NO</v>
      </c>
      <c r="HUT41" s="117" t="str">
        <f>IF(HUR41&lt;5,"Sin Riesgo",IF(HUR41 &lt;=14,"Bajo",IF(HUR41&lt;=35,"Medio",IF(HUR41&lt;=80,"Alto","Inviable Sanitariamente"))))</f>
        <v>Inviable Sanitariamente</v>
      </c>
      <c r="HVE41" s="117">
        <v>97.9</v>
      </c>
      <c r="HVG41" s="117">
        <f>AVERAGE(HUU41:HVF41)</f>
        <v>97.9</v>
      </c>
      <c r="HVH41" s="117" t="str">
        <f>IF(HVG41&lt;5,"SI","NO")</f>
        <v>NO</v>
      </c>
      <c r="HVI41" s="117" t="str">
        <f>IF(HVG41&lt;5,"Sin Riesgo",IF(HVG41 &lt;=14,"Bajo",IF(HVG41&lt;=35,"Medio",IF(HVG41&lt;=80,"Alto","Inviable Sanitariamente"))))</f>
        <v>Inviable Sanitariamente</v>
      </c>
      <c r="HVT41" s="117">
        <v>97.9</v>
      </c>
      <c r="HVV41" s="117">
        <f>AVERAGE(HVJ41:HVU41)</f>
        <v>97.9</v>
      </c>
      <c r="HVW41" s="117" t="str">
        <f>IF(HVV41&lt;5,"SI","NO")</f>
        <v>NO</v>
      </c>
      <c r="HVX41" s="117" t="str">
        <f>IF(HVV41&lt;5,"Sin Riesgo",IF(HVV41 &lt;=14,"Bajo",IF(HVV41&lt;=35,"Medio",IF(HVV41&lt;=80,"Alto","Inviable Sanitariamente"))))</f>
        <v>Inviable Sanitariamente</v>
      </c>
      <c r="HWI41" s="117">
        <v>97.9</v>
      </c>
      <c r="HWK41" s="117">
        <f>AVERAGE(HVY41:HWJ41)</f>
        <v>97.9</v>
      </c>
      <c r="HWL41" s="117" t="str">
        <f>IF(HWK41&lt;5,"SI","NO")</f>
        <v>NO</v>
      </c>
      <c r="HWM41" s="117" t="str">
        <f>IF(HWK41&lt;5,"Sin Riesgo",IF(HWK41 &lt;=14,"Bajo",IF(HWK41&lt;=35,"Medio",IF(HWK41&lt;=80,"Alto","Inviable Sanitariamente"))))</f>
        <v>Inviable Sanitariamente</v>
      </c>
      <c r="HWX41" s="117">
        <v>97.9</v>
      </c>
      <c r="HWZ41" s="117">
        <f>AVERAGE(HWN41:HWY41)</f>
        <v>97.9</v>
      </c>
      <c r="HXA41" s="117" t="str">
        <f>IF(HWZ41&lt;5,"SI","NO")</f>
        <v>NO</v>
      </c>
      <c r="HXB41" s="117" t="str">
        <f>IF(HWZ41&lt;5,"Sin Riesgo",IF(HWZ41 &lt;=14,"Bajo",IF(HWZ41&lt;=35,"Medio",IF(HWZ41&lt;=80,"Alto","Inviable Sanitariamente"))))</f>
        <v>Inviable Sanitariamente</v>
      </c>
      <c r="HXM41" s="117">
        <v>97.9</v>
      </c>
      <c r="HXO41" s="117">
        <f>AVERAGE(HXC41:HXN41)</f>
        <v>97.9</v>
      </c>
      <c r="HXP41" s="117" t="str">
        <f>IF(HXO41&lt;5,"SI","NO")</f>
        <v>NO</v>
      </c>
      <c r="HXQ41" s="117" t="str">
        <f>IF(HXO41&lt;5,"Sin Riesgo",IF(HXO41 &lt;=14,"Bajo",IF(HXO41&lt;=35,"Medio",IF(HXO41&lt;=80,"Alto","Inviable Sanitariamente"))))</f>
        <v>Inviable Sanitariamente</v>
      </c>
      <c r="HYB41" s="117">
        <v>97.9</v>
      </c>
      <c r="HYD41" s="117">
        <f>AVERAGE(HXR41:HYC41)</f>
        <v>97.9</v>
      </c>
      <c r="HYE41" s="117" t="str">
        <f>IF(HYD41&lt;5,"SI","NO")</f>
        <v>NO</v>
      </c>
      <c r="HYF41" s="117" t="str">
        <f>IF(HYD41&lt;5,"Sin Riesgo",IF(HYD41 &lt;=14,"Bajo",IF(HYD41&lt;=35,"Medio",IF(HYD41&lt;=80,"Alto","Inviable Sanitariamente"))))</f>
        <v>Inviable Sanitariamente</v>
      </c>
      <c r="HYQ41" s="117">
        <v>97.9</v>
      </c>
      <c r="HYS41" s="117">
        <f>AVERAGE(HYG41:HYR41)</f>
        <v>97.9</v>
      </c>
      <c r="HYT41" s="117" t="str">
        <f>IF(HYS41&lt;5,"SI","NO")</f>
        <v>NO</v>
      </c>
      <c r="HYU41" s="117" t="str">
        <f>IF(HYS41&lt;5,"Sin Riesgo",IF(HYS41 &lt;=14,"Bajo",IF(HYS41&lt;=35,"Medio",IF(HYS41&lt;=80,"Alto","Inviable Sanitariamente"))))</f>
        <v>Inviable Sanitariamente</v>
      </c>
      <c r="HZF41" s="117">
        <v>97.9</v>
      </c>
      <c r="HZH41" s="117">
        <f>AVERAGE(HYV41:HZG41)</f>
        <v>97.9</v>
      </c>
      <c r="HZI41" s="117" t="str">
        <f>IF(HZH41&lt;5,"SI","NO")</f>
        <v>NO</v>
      </c>
      <c r="HZJ41" s="117" t="str">
        <f>IF(HZH41&lt;5,"Sin Riesgo",IF(HZH41 &lt;=14,"Bajo",IF(HZH41&lt;=35,"Medio",IF(HZH41&lt;=80,"Alto","Inviable Sanitariamente"))))</f>
        <v>Inviable Sanitariamente</v>
      </c>
      <c r="HZU41" s="117">
        <v>97.9</v>
      </c>
      <c r="HZW41" s="117">
        <f>AVERAGE(HZK41:HZV41)</f>
        <v>97.9</v>
      </c>
      <c r="HZX41" s="117" t="str">
        <f>IF(HZW41&lt;5,"SI","NO")</f>
        <v>NO</v>
      </c>
      <c r="HZY41" s="117" t="str">
        <f>IF(HZW41&lt;5,"Sin Riesgo",IF(HZW41 &lt;=14,"Bajo",IF(HZW41&lt;=35,"Medio",IF(HZW41&lt;=80,"Alto","Inviable Sanitariamente"))))</f>
        <v>Inviable Sanitariamente</v>
      </c>
      <c r="IAJ41" s="117">
        <v>97.9</v>
      </c>
      <c r="IAL41" s="117">
        <f>AVERAGE(HZZ41:IAK41)</f>
        <v>97.9</v>
      </c>
      <c r="IAM41" s="117" t="str">
        <f>IF(IAL41&lt;5,"SI","NO")</f>
        <v>NO</v>
      </c>
      <c r="IAN41" s="117" t="str">
        <f>IF(IAL41&lt;5,"Sin Riesgo",IF(IAL41 &lt;=14,"Bajo",IF(IAL41&lt;=35,"Medio",IF(IAL41&lt;=80,"Alto","Inviable Sanitariamente"))))</f>
        <v>Inviable Sanitariamente</v>
      </c>
      <c r="IAY41" s="117">
        <v>97.9</v>
      </c>
      <c r="IBA41" s="117">
        <f>AVERAGE(IAO41:IAZ41)</f>
        <v>97.9</v>
      </c>
      <c r="IBB41" s="117" t="str">
        <f>IF(IBA41&lt;5,"SI","NO")</f>
        <v>NO</v>
      </c>
      <c r="IBC41" s="117" t="str">
        <f>IF(IBA41&lt;5,"Sin Riesgo",IF(IBA41 &lt;=14,"Bajo",IF(IBA41&lt;=35,"Medio",IF(IBA41&lt;=80,"Alto","Inviable Sanitariamente"))))</f>
        <v>Inviable Sanitariamente</v>
      </c>
      <c r="IBN41" s="117">
        <v>97.9</v>
      </c>
      <c r="IBP41" s="117">
        <f>AVERAGE(IBD41:IBO41)</f>
        <v>97.9</v>
      </c>
      <c r="IBQ41" s="117" t="str">
        <f>IF(IBP41&lt;5,"SI","NO")</f>
        <v>NO</v>
      </c>
      <c r="IBR41" s="117" t="str">
        <f>IF(IBP41&lt;5,"Sin Riesgo",IF(IBP41 &lt;=14,"Bajo",IF(IBP41&lt;=35,"Medio",IF(IBP41&lt;=80,"Alto","Inviable Sanitariamente"))))</f>
        <v>Inviable Sanitariamente</v>
      </c>
      <c r="ICC41" s="117">
        <v>97.9</v>
      </c>
      <c r="ICE41" s="117">
        <f>AVERAGE(IBS41:ICD41)</f>
        <v>97.9</v>
      </c>
      <c r="ICF41" s="117" t="str">
        <f>IF(ICE41&lt;5,"SI","NO")</f>
        <v>NO</v>
      </c>
      <c r="ICG41" s="117" t="str">
        <f>IF(ICE41&lt;5,"Sin Riesgo",IF(ICE41 &lt;=14,"Bajo",IF(ICE41&lt;=35,"Medio",IF(ICE41&lt;=80,"Alto","Inviable Sanitariamente"))))</f>
        <v>Inviable Sanitariamente</v>
      </c>
      <c r="ICR41" s="117">
        <v>97.9</v>
      </c>
      <c r="ICT41" s="117">
        <f>AVERAGE(ICH41:ICS41)</f>
        <v>97.9</v>
      </c>
      <c r="ICU41" s="117" t="str">
        <f>IF(ICT41&lt;5,"SI","NO")</f>
        <v>NO</v>
      </c>
      <c r="ICV41" s="117" t="str">
        <f>IF(ICT41&lt;5,"Sin Riesgo",IF(ICT41 &lt;=14,"Bajo",IF(ICT41&lt;=35,"Medio",IF(ICT41&lt;=80,"Alto","Inviable Sanitariamente"))))</f>
        <v>Inviable Sanitariamente</v>
      </c>
      <c r="IDG41" s="117">
        <v>97.9</v>
      </c>
      <c r="IDI41" s="117">
        <f>AVERAGE(ICW41:IDH41)</f>
        <v>97.9</v>
      </c>
      <c r="IDJ41" s="117" t="str">
        <f>IF(IDI41&lt;5,"SI","NO")</f>
        <v>NO</v>
      </c>
      <c r="IDK41" s="117" t="str">
        <f>IF(IDI41&lt;5,"Sin Riesgo",IF(IDI41 &lt;=14,"Bajo",IF(IDI41&lt;=35,"Medio",IF(IDI41&lt;=80,"Alto","Inviable Sanitariamente"))))</f>
        <v>Inviable Sanitariamente</v>
      </c>
      <c r="IDV41" s="117">
        <v>97.9</v>
      </c>
      <c r="IDX41" s="117">
        <f>AVERAGE(IDL41:IDW41)</f>
        <v>97.9</v>
      </c>
      <c r="IDY41" s="117" t="str">
        <f>IF(IDX41&lt;5,"SI","NO")</f>
        <v>NO</v>
      </c>
      <c r="IDZ41" s="117" t="str">
        <f>IF(IDX41&lt;5,"Sin Riesgo",IF(IDX41 &lt;=14,"Bajo",IF(IDX41&lt;=35,"Medio",IF(IDX41&lt;=80,"Alto","Inviable Sanitariamente"))))</f>
        <v>Inviable Sanitariamente</v>
      </c>
      <c r="IEK41" s="117">
        <v>97.9</v>
      </c>
      <c r="IEM41" s="117">
        <f>AVERAGE(IEA41:IEL41)</f>
        <v>97.9</v>
      </c>
      <c r="IEN41" s="117" t="str">
        <f>IF(IEM41&lt;5,"SI","NO")</f>
        <v>NO</v>
      </c>
      <c r="IEO41" s="117" t="str">
        <f>IF(IEM41&lt;5,"Sin Riesgo",IF(IEM41 &lt;=14,"Bajo",IF(IEM41&lt;=35,"Medio",IF(IEM41&lt;=80,"Alto","Inviable Sanitariamente"))))</f>
        <v>Inviable Sanitariamente</v>
      </c>
      <c r="IEZ41" s="117">
        <v>97.9</v>
      </c>
      <c r="IFB41" s="117">
        <f>AVERAGE(IEP41:IFA41)</f>
        <v>97.9</v>
      </c>
      <c r="IFC41" s="117" t="str">
        <f>IF(IFB41&lt;5,"SI","NO")</f>
        <v>NO</v>
      </c>
      <c r="IFD41" s="117" t="str">
        <f>IF(IFB41&lt;5,"Sin Riesgo",IF(IFB41 &lt;=14,"Bajo",IF(IFB41&lt;=35,"Medio",IF(IFB41&lt;=80,"Alto","Inviable Sanitariamente"))))</f>
        <v>Inviable Sanitariamente</v>
      </c>
      <c r="IFO41" s="117">
        <v>97.9</v>
      </c>
      <c r="IFQ41" s="117">
        <f>AVERAGE(IFE41:IFP41)</f>
        <v>97.9</v>
      </c>
      <c r="IFR41" s="117" t="str">
        <f>IF(IFQ41&lt;5,"SI","NO")</f>
        <v>NO</v>
      </c>
      <c r="IFS41" s="117" t="str">
        <f>IF(IFQ41&lt;5,"Sin Riesgo",IF(IFQ41 &lt;=14,"Bajo",IF(IFQ41&lt;=35,"Medio",IF(IFQ41&lt;=80,"Alto","Inviable Sanitariamente"))))</f>
        <v>Inviable Sanitariamente</v>
      </c>
      <c r="IGD41" s="117">
        <v>97.9</v>
      </c>
      <c r="IGF41" s="117">
        <f>AVERAGE(IFT41:IGE41)</f>
        <v>97.9</v>
      </c>
      <c r="IGG41" s="117" t="str">
        <f>IF(IGF41&lt;5,"SI","NO")</f>
        <v>NO</v>
      </c>
      <c r="IGH41" s="117" t="str">
        <f>IF(IGF41&lt;5,"Sin Riesgo",IF(IGF41 &lt;=14,"Bajo",IF(IGF41&lt;=35,"Medio",IF(IGF41&lt;=80,"Alto","Inviable Sanitariamente"))))</f>
        <v>Inviable Sanitariamente</v>
      </c>
      <c r="IGS41" s="117">
        <v>97.9</v>
      </c>
      <c r="IGU41" s="117">
        <f>AVERAGE(IGI41:IGT41)</f>
        <v>97.9</v>
      </c>
      <c r="IGV41" s="117" t="str">
        <f>IF(IGU41&lt;5,"SI","NO")</f>
        <v>NO</v>
      </c>
      <c r="IGW41" s="117" t="str">
        <f>IF(IGU41&lt;5,"Sin Riesgo",IF(IGU41 &lt;=14,"Bajo",IF(IGU41&lt;=35,"Medio",IF(IGU41&lt;=80,"Alto","Inviable Sanitariamente"))))</f>
        <v>Inviable Sanitariamente</v>
      </c>
      <c r="IHH41" s="117">
        <v>97.9</v>
      </c>
      <c r="IHJ41" s="117">
        <f>AVERAGE(IGX41:IHI41)</f>
        <v>97.9</v>
      </c>
      <c r="IHK41" s="117" t="str">
        <f>IF(IHJ41&lt;5,"SI","NO")</f>
        <v>NO</v>
      </c>
      <c r="IHL41" s="117" t="str">
        <f>IF(IHJ41&lt;5,"Sin Riesgo",IF(IHJ41 &lt;=14,"Bajo",IF(IHJ41&lt;=35,"Medio",IF(IHJ41&lt;=80,"Alto","Inviable Sanitariamente"))))</f>
        <v>Inviable Sanitariamente</v>
      </c>
      <c r="IHW41" s="117">
        <v>97.9</v>
      </c>
      <c r="IHY41" s="117">
        <f>AVERAGE(IHM41:IHX41)</f>
        <v>97.9</v>
      </c>
      <c r="IHZ41" s="117" t="str">
        <f>IF(IHY41&lt;5,"SI","NO")</f>
        <v>NO</v>
      </c>
      <c r="IIA41" s="117" t="str">
        <f>IF(IHY41&lt;5,"Sin Riesgo",IF(IHY41 &lt;=14,"Bajo",IF(IHY41&lt;=35,"Medio",IF(IHY41&lt;=80,"Alto","Inviable Sanitariamente"))))</f>
        <v>Inviable Sanitariamente</v>
      </c>
      <c r="IIL41" s="117">
        <v>97.9</v>
      </c>
      <c r="IIN41" s="117">
        <f>AVERAGE(IIB41:IIM41)</f>
        <v>97.9</v>
      </c>
      <c r="IIO41" s="117" t="str">
        <f>IF(IIN41&lt;5,"SI","NO")</f>
        <v>NO</v>
      </c>
      <c r="IIP41" s="117" t="str">
        <f>IF(IIN41&lt;5,"Sin Riesgo",IF(IIN41 &lt;=14,"Bajo",IF(IIN41&lt;=35,"Medio",IF(IIN41&lt;=80,"Alto","Inviable Sanitariamente"))))</f>
        <v>Inviable Sanitariamente</v>
      </c>
      <c r="IJA41" s="117">
        <v>97.9</v>
      </c>
      <c r="IJC41" s="117">
        <f>AVERAGE(IIQ41:IJB41)</f>
        <v>97.9</v>
      </c>
      <c r="IJD41" s="117" t="str">
        <f>IF(IJC41&lt;5,"SI","NO")</f>
        <v>NO</v>
      </c>
      <c r="IJE41" s="117" t="str">
        <f>IF(IJC41&lt;5,"Sin Riesgo",IF(IJC41 &lt;=14,"Bajo",IF(IJC41&lt;=35,"Medio",IF(IJC41&lt;=80,"Alto","Inviable Sanitariamente"))))</f>
        <v>Inviable Sanitariamente</v>
      </c>
      <c r="IJP41" s="117">
        <v>97.9</v>
      </c>
      <c r="IJR41" s="117">
        <f>AVERAGE(IJF41:IJQ41)</f>
        <v>97.9</v>
      </c>
      <c r="IJS41" s="117" t="str">
        <f>IF(IJR41&lt;5,"SI","NO")</f>
        <v>NO</v>
      </c>
      <c r="IJT41" s="117" t="str">
        <f>IF(IJR41&lt;5,"Sin Riesgo",IF(IJR41 &lt;=14,"Bajo",IF(IJR41&lt;=35,"Medio",IF(IJR41&lt;=80,"Alto","Inviable Sanitariamente"))))</f>
        <v>Inviable Sanitariamente</v>
      </c>
      <c r="IKE41" s="117">
        <v>97.9</v>
      </c>
      <c r="IKG41" s="117">
        <f>AVERAGE(IJU41:IKF41)</f>
        <v>97.9</v>
      </c>
      <c r="IKH41" s="117" t="str">
        <f>IF(IKG41&lt;5,"SI","NO")</f>
        <v>NO</v>
      </c>
      <c r="IKI41" s="117" t="str">
        <f>IF(IKG41&lt;5,"Sin Riesgo",IF(IKG41 &lt;=14,"Bajo",IF(IKG41&lt;=35,"Medio",IF(IKG41&lt;=80,"Alto","Inviable Sanitariamente"))))</f>
        <v>Inviable Sanitariamente</v>
      </c>
      <c r="IKT41" s="117">
        <v>97.9</v>
      </c>
      <c r="IKV41" s="117">
        <f>AVERAGE(IKJ41:IKU41)</f>
        <v>97.9</v>
      </c>
      <c r="IKW41" s="117" t="str">
        <f>IF(IKV41&lt;5,"SI","NO")</f>
        <v>NO</v>
      </c>
      <c r="IKX41" s="117" t="str">
        <f>IF(IKV41&lt;5,"Sin Riesgo",IF(IKV41 &lt;=14,"Bajo",IF(IKV41&lt;=35,"Medio",IF(IKV41&lt;=80,"Alto","Inviable Sanitariamente"))))</f>
        <v>Inviable Sanitariamente</v>
      </c>
      <c r="ILI41" s="117">
        <v>97.9</v>
      </c>
      <c r="ILK41" s="117">
        <f>AVERAGE(IKY41:ILJ41)</f>
        <v>97.9</v>
      </c>
      <c r="ILL41" s="117" t="str">
        <f>IF(ILK41&lt;5,"SI","NO")</f>
        <v>NO</v>
      </c>
      <c r="ILM41" s="117" t="str">
        <f>IF(ILK41&lt;5,"Sin Riesgo",IF(ILK41 &lt;=14,"Bajo",IF(ILK41&lt;=35,"Medio",IF(ILK41&lt;=80,"Alto","Inviable Sanitariamente"))))</f>
        <v>Inviable Sanitariamente</v>
      </c>
      <c r="ILX41" s="117">
        <v>97.9</v>
      </c>
      <c r="ILZ41" s="117">
        <f>AVERAGE(ILN41:ILY41)</f>
        <v>97.9</v>
      </c>
      <c r="IMA41" s="117" t="str">
        <f>IF(ILZ41&lt;5,"SI","NO")</f>
        <v>NO</v>
      </c>
      <c r="IMB41" s="117" t="str">
        <f>IF(ILZ41&lt;5,"Sin Riesgo",IF(ILZ41 &lt;=14,"Bajo",IF(ILZ41&lt;=35,"Medio",IF(ILZ41&lt;=80,"Alto","Inviable Sanitariamente"))))</f>
        <v>Inviable Sanitariamente</v>
      </c>
      <c r="IMM41" s="117">
        <v>97.9</v>
      </c>
      <c r="IMO41" s="117">
        <f>AVERAGE(IMC41:IMN41)</f>
        <v>97.9</v>
      </c>
      <c r="IMP41" s="117" t="str">
        <f>IF(IMO41&lt;5,"SI","NO")</f>
        <v>NO</v>
      </c>
      <c r="IMQ41" s="117" t="str">
        <f>IF(IMO41&lt;5,"Sin Riesgo",IF(IMO41 &lt;=14,"Bajo",IF(IMO41&lt;=35,"Medio",IF(IMO41&lt;=80,"Alto","Inviable Sanitariamente"))))</f>
        <v>Inviable Sanitariamente</v>
      </c>
      <c r="INB41" s="117">
        <v>97.9</v>
      </c>
      <c r="IND41" s="117">
        <f>AVERAGE(IMR41:INC41)</f>
        <v>97.9</v>
      </c>
      <c r="INE41" s="117" t="str">
        <f>IF(IND41&lt;5,"SI","NO")</f>
        <v>NO</v>
      </c>
      <c r="INF41" s="117" t="str">
        <f>IF(IND41&lt;5,"Sin Riesgo",IF(IND41 &lt;=14,"Bajo",IF(IND41&lt;=35,"Medio",IF(IND41&lt;=80,"Alto","Inviable Sanitariamente"))))</f>
        <v>Inviable Sanitariamente</v>
      </c>
      <c r="INQ41" s="117">
        <v>97.9</v>
      </c>
      <c r="INS41" s="117">
        <f>AVERAGE(ING41:INR41)</f>
        <v>97.9</v>
      </c>
      <c r="INT41" s="117" t="str">
        <f>IF(INS41&lt;5,"SI","NO")</f>
        <v>NO</v>
      </c>
      <c r="INU41" s="117" t="str">
        <f>IF(INS41&lt;5,"Sin Riesgo",IF(INS41 &lt;=14,"Bajo",IF(INS41&lt;=35,"Medio",IF(INS41&lt;=80,"Alto","Inviable Sanitariamente"))))</f>
        <v>Inviable Sanitariamente</v>
      </c>
      <c r="IOF41" s="117">
        <v>97.9</v>
      </c>
      <c r="IOH41" s="117">
        <f>AVERAGE(INV41:IOG41)</f>
        <v>97.9</v>
      </c>
      <c r="IOI41" s="117" t="str">
        <f>IF(IOH41&lt;5,"SI","NO")</f>
        <v>NO</v>
      </c>
      <c r="IOJ41" s="117" t="str">
        <f>IF(IOH41&lt;5,"Sin Riesgo",IF(IOH41 &lt;=14,"Bajo",IF(IOH41&lt;=35,"Medio",IF(IOH41&lt;=80,"Alto","Inviable Sanitariamente"))))</f>
        <v>Inviable Sanitariamente</v>
      </c>
      <c r="IOU41" s="117">
        <v>97.9</v>
      </c>
      <c r="IOW41" s="117">
        <f>AVERAGE(IOK41:IOV41)</f>
        <v>97.9</v>
      </c>
      <c r="IOX41" s="117" t="str">
        <f>IF(IOW41&lt;5,"SI","NO")</f>
        <v>NO</v>
      </c>
      <c r="IOY41" s="117" t="str">
        <f>IF(IOW41&lt;5,"Sin Riesgo",IF(IOW41 &lt;=14,"Bajo",IF(IOW41&lt;=35,"Medio",IF(IOW41&lt;=80,"Alto","Inviable Sanitariamente"))))</f>
        <v>Inviable Sanitariamente</v>
      </c>
      <c r="IPJ41" s="117">
        <v>97.9</v>
      </c>
      <c r="IPL41" s="117">
        <f>AVERAGE(IOZ41:IPK41)</f>
        <v>97.9</v>
      </c>
      <c r="IPM41" s="117" t="str">
        <f>IF(IPL41&lt;5,"SI","NO")</f>
        <v>NO</v>
      </c>
      <c r="IPN41" s="117" t="str">
        <f>IF(IPL41&lt;5,"Sin Riesgo",IF(IPL41 &lt;=14,"Bajo",IF(IPL41&lt;=35,"Medio",IF(IPL41&lt;=80,"Alto","Inviable Sanitariamente"))))</f>
        <v>Inviable Sanitariamente</v>
      </c>
      <c r="IPY41" s="117">
        <v>97.9</v>
      </c>
      <c r="IQA41" s="117">
        <f>AVERAGE(IPO41:IPZ41)</f>
        <v>97.9</v>
      </c>
      <c r="IQB41" s="117" t="str">
        <f>IF(IQA41&lt;5,"SI","NO")</f>
        <v>NO</v>
      </c>
      <c r="IQC41" s="117" t="str">
        <f>IF(IQA41&lt;5,"Sin Riesgo",IF(IQA41 &lt;=14,"Bajo",IF(IQA41&lt;=35,"Medio",IF(IQA41&lt;=80,"Alto","Inviable Sanitariamente"))))</f>
        <v>Inviable Sanitariamente</v>
      </c>
      <c r="IQN41" s="117">
        <v>97.9</v>
      </c>
      <c r="IQP41" s="117">
        <f>AVERAGE(IQD41:IQO41)</f>
        <v>97.9</v>
      </c>
      <c r="IQQ41" s="117" t="str">
        <f>IF(IQP41&lt;5,"SI","NO")</f>
        <v>NO</v>
      </c>
      <c r="IQR41" s="117" t="str">
        <f>IF(IQP41&lt;5,"Sin Riesgo",IF(IQP41 &lt;=14,"Bajo",IF(IQP41&lt;=35,"Medio",IF(IQP41&lt;=80,"Alto","Inviable Sanitariamente"))))</f>
        <v>Inviable Sanitariamente</v>
      </c>
      <c r="IRC41" s="117">
        <v>97.9</v>
      </c>
      <c r="IRE41" s="117">
        <f>AVERAGE(IQS41:IRD41)</f>
        <v>97.9</v>
      </c>
      <c r="IRF41" s="117" t="str">
        <f>IF(IRE41&lt;5,"SI","NO")</f>
        <v>NO</v>
      </c>
      <c r="IRG41" s="117" t="str">
        <f>IF(IRE41&lt;5,"Sin Riesgo",IF(IRE41 &lt;=14,"Bajo",IF(IRE41&lt;=35,"Medio",IF(IRE41&lt;=80,"Alto","Inviable Sanitariamente"))))</f>
        <v>Inviable Sanitariamente</v>
      </c>
      <c r="IRR41" s="117">
        <v>97.9</v>
      </c>
      <c r="IRT41" s="117">
        <f>AVERAGE(IRH41:IRS41)</f>
        <v>97.9</v>
      </c>
      <c r="IRU41" s="117" t="str">
        <f>IF(IRT41&lt;5,"SI","NO")</f>
        <v>NO</v>
      </c>
      <c r="IRV41" s="117" t="str">
        <f>IF(IRT41&lt;5,"Sin Riesgo",IF(IRT41 &lt;=14,"Bajo",IF(IRT41&lt;=35,"Medio",IF(IRT41&lt;=80,"Alto","Inviable Sanitariamente"))))</f>
        <v>Inviable Sanitariamente</v>
      </c>
      <c r="ISG41" s="117">
        <v>97.9</v>
      </c>
      <c r="ISI41" s="117">
        <f>AVERAGE(IRW41:ISH41)</f>
        <v>97.9</v>
      </c>
      <c r="ISJ41" s="117" t="str">
        <f>IF(ISI41&lt;5,"SI","NO")</f>
        <v>NO</v>
      </c>
      <c r="ISK41" s="117" t="str">
        <f>IF(ISI41&lt;5,"Sin Riesgo",IF(ISI41 &lt;=14,"Bajo",IF(ISI41&lt;=35,"Medio",IF(ISI41&lt;=80,"Alto","Inviable Sanitariamente"))))</f>
        <v>Inviable Sanitariamente</v>
      </c>
      <c r="ISV41" s="117">
        <v>97.9</v>
      </c>
      <c r="ISX41" s="117">
        <f>AVERAGE(ISL41:ISW41)</f>
        <v>97.9</v>
      </c>
      <c r="ISY41" s="117" t="str">
        <f>IF(ISX41&lt;5,"SI","NO")</f>
        <v>NO</v>
      </c>
      <c r="ISZ41" s="117" t="str">
        <f>IF(ISX41&lt;5,"Sin Riesgo",IF(ISX41 &lt;=14,"Bajo",IF(ISX41&lt;=35,"Medio",IF(ISX41&lt;=80,"Alto","Inviable Sanitariamente"))))</f>
        <v>Inviable Sanitariamente</v>
      </c>
      <c r="ITK41" s="117">
        <v>97.9</v>
      </c>
      <c r="ITM41" s="117">
        <f>AVERAGE(ITA41:ITL41)</f>
        <v>97.9</v>
      </c>
      <c r="ITN41" s="117" t="str">
        <f>IF(ITM41&lt;5,"SI","NO")</f>
        <v>NO</v>
      </c>
      <c r="ITO41" s="117" t="str">
        <f>IF(ITM41&lt;5,"Sin Riesgo",IF(ITM41 &lt;=14,"Bajo",IF(ITM41&lt;=35,"Medio",IF(ITM41&lt;=80,"Alto","Inviable Sanitariamente"))))</f>
        <v>Inviable Sanitariamente</v>
      </c>
      <c r="ITZ41" s="117">
        <v>97.9</v>
      </c>
      <c r="IUB41" s="117">
        <f>AVERAGE(ITP41:IUA41)</f>
        <v>97.9</v>
      </c>
      <c r="IUC41" s="117" t="str">
        <f>IF(IUB41&lt;5,"SI","NO")</f>
        <v>NO</v>
      </c>
      <c r="IUD41" s="117" t="str">
        <f>IF(IUB41&lt;5,"Sin Riesgo",IF(IUB41 &lt;=14,"Bajo",IF(IUB41&lt;=35,"Medio",IF(IUB41&lt;=80,"Alto","Inviable Sanitariamente"))))</f>
        <v>Inviable Sanitariamente</v>
      </c>
      <c r="IUO41" s="117">
        <v>97.9</v>
      </c>
      <c r="IUQ41" s="117">
        <f>AVERAGE(IUE41:IUP41)</f>
        <v>97.9</v>
      </c>
      <c r="IUR41" s="117" t="str">
        <f>IF(IUQ41&lt;5,"SI","NO")</f>
        <v>NO</v>
      </c>
      <c r="IUS41" s="117" t="str">
        <f>IF(IUQ41&lt;5,"Sin Riesgo",IF(IUQ41 &lt;=14,"Bajo",IF(IUQ41&lt;=35,"Medio",IF(IUQ41&lt;=80,"Alto","Inviable Sanitariamente"))))</f>
        <v>Inviable Sanitariamente</v>
      </c>
      <c r="IVD41" s="117">
        <v>97.9</v>
      </c>
      <c r="IVF41" s="117">
        <f>AVERAGE(IUT41:IVE41)</f>
        <v>97.9</v>
      </c>
      <c r="IVG41" s="117" t="str">
        <f>IF(IVF41&lt;5,"SI","NO")</f>
        <v>NO</v>
      </c>
      <c r="IVH41" s="117" t="str">
        <f>IF(IVF41&lt;5,"Sin Riesgo",IF(IVF41 &lt;=14,"Bajo",IF(IVF41&lt;=35,"Medio",IF(IVF41&lt;=80,"Alto","Inviable Sanitariamente"))))</f>
        <v>Inviable Sanitariamente</v>
      </c>
      <c r="IVS41" s="117">
        <v>97.9</v>
      </c>
      <c r="IVU41" s="117">
        <f>AVERAGE(IVI41:IVT41)</f>
        <v>97.9</v>
      </c>
      <c r="IVV41" s="117" t="str">
        <f>IF(IVU41&lt;5,"SI","NO")</f>
        <v>NO</v>
      </c>
      <c r="IVW41" s="117" t="str">
        <f>IF(IVU41&lt;5,"Sin Riesgo",IF(IVU41 &lt;=14,"Bajo",IF(IVU41&lt;=35,"Medio",IF(IVU41&lt;=80,"Alto","Inviable Sanitariamente"))))</f>
        <v>Inviable Sanitariamente</v>
      </c>
      <c r="IWH41" s="117">
        <v>97.9</v>
      </c>
      <c r="IWJ41" s="117">
        <f>AVERAGE(IVX41:IWI41)</f>
        <v>97.9</v>
      </c>
      <c r="IWK41" s="117" t="str">
        <f>IF(IWJ41&lt;5,"SI","NO")</f>
        <v>NO</v>
      </c>
      <c r="IWL41" s="117" t="str">
        <f>IF(IWJ41&lt;5,"Sin Riesgo",IF(IWJ41 &lt;=14,"Bajo",IF(IWJ41&lt;=35,"Medio",IF(IWJ41&lt;=80,"Alto","Inviable Sanitariamente"))))</f>
        <v>Inviable Sanitariamente</v>
      </c>
      <c r="IWW41" s="117">
        <v>97.9</v>
      </c>
      <c r="IWY41" s="117">
        <f>AVERAGE(IWM41:IWX41)</f>
        <v>97.9</v>
      </c>
      <c r="IWZ41" s="117" t="str">
        <f>IF(IWY41&lt;5,"SI","NO")</f>
        <v>NO</v>
      </c>
      <c r="IXA41" s="117" t="str">
        <f>IF(IWY41&lt;5,"Sin Riesgo",IF(IWY41 &lt;=14,"Bajo",IF(IWY41&lt;=35,"Medio",IF(IWY41&lt;=80,"Alto","Inviable Sanitariamente"))))</f>
        <v>Inviable Sanitariamente</v>
      </c>
      <c r="IXL41" s="117">
        <v>97.9</v>
      </c>
      <c r="IXN41" s="117">
        <f>AVERAGE(IXB41:IXM41)</f>
        <v>97.9</v>
      </c>
      <c r="IXO41" s="117" t="str">
        <f>IF(IXN41&lt;5,"SI","NO")</f>
        <v>NO</v>
      </c>
      <c r="IXP41" s="117" t="str">
        <f>IF(IXN41&lt;5,"Sin Riesgo",IF(IXN41 &lt;=14,"Bajo",IF(IXN41&lt;=35,"Medio",IF(IXN41&lt;=80,"Alto","Inviable Sanitariamente"))))</f>
        <v>Inviable Sanitariamente</v>
      </c>
      <c r="IYA41" s="117">
        <v>97.9</v>
      </c>
      <c r="IYC41" s="117">
        <f>AVERAGE(IXQ41:IYB41)</f>
        <v>97.9</v>
      </c>
      <c r="IYD41" s="117" t="str">
        <f>IF(IYC41&lt;5,"SI","NO")</f>
        <v>NO</v>
      </c>
      <c r="IYE41" s="117" t="str">
        <f>IF(IYC41&lt;5,"Sin Riesgo",IF(IYC41 &lt;=14,"Bajo",IF(IYC41&lt;=35,"Medio",IF(IYC41&lt;=80,"Alto","Inviable Sanitariamente"))))</f>
        <v>Inviable Sanitariamente</v>
      </c>
      <c r="IYP41" s="117">
        <v>97.9</v>
      </c>
      <c r="IYR41" s="117">
        <f>AVERAGE(IYF41:IYQ41)</f>
        <v>97.9</v>
      </c>
      <c r="IYS41" s="117" t="str">
        <f>IF(IYR41&lt;5,"SI","NO")</f>
        <v>NO</v>
      </c>
      <c r="IYT41" s="117" t="str">
        <f>IF(IYR41&lt;5,"Sin Riesgo",IF(IYR41 &lt;=14,"Bajo",IF(IYR41&lt;=35,"Medio",IF(IYR41&lt;=80,"Alto","Inviable Sanitariamente"))))</f>
        <v>Inviable Sanitariamente</v>
      </c>
      <c r="IZE41" s="117">
        <v>97.9</v>
      </c>
      <c r="IZG41" s="117">
        <f>AVERAGE(IYU41:IZF41)</f>
        <v>97.9</v>
      </c>
      <c r="IZH41" s="117" t="str">
        <f>IF(IZG41&lt;5,"SI","NO")</f>
        <v>NO</v>
      </c>
      <c r="IZI41" s="117" t="str">
        <f>IF(IZG41&lt;5,"Sin Riesgo",IF(IZG41 &lt;=14,"Bajo",IF(IZG41&lt;=35,"Medio",IF(IZG41&lt;=80,"Alto","Inviable Sanitariamente"))))</f>
        <v>Inviable Sanitariamente</v>
      </c>
      <c r="IZT41" s="117">
        <v>97.9</v>
      </c>
      <c r="IZV41" s="117">
        <f>AVERAGE(IZJ41:IZU41)</f>
        <v>97.9</v>
      </c>
      <c r="IZW41" s="117" t="str">
        <f>IF(IZV41&lt;5,"SI","NO")</f>
        <v>NO</v>
      </c>
      <c r="IZX41" s="117" t="str">
        <f>IF(IZV41&lt;5,"Sin Riesgo",IF(IZV41 &lt;=14,"Bajo",IF(IZV41&lt;=35,"Medio",IF(IZV41&lt;=80,"Alto","Inviable Sanitariamente"))))</f>
        <v>Inviable Sanitariamente</v>
      </c>
      <c r="JAI41" s="117">
        <v>97.9</v>
      </c>
      <c r="JAK41" s="117">
        <f>AVERAGE(IZY41:JAJ41)</f>
        <v>97.9</v>
      </c>
      <c r="JAL41" s="117" t="str">
        <f>IF(JAK41&lt;5,"SI","NO")</f>
        <v>NO</v>
      </c>
      <c r="JAM41" s="117" t="str">
        <f>IF(JAK41&lt;5,"Sin Riesgo",IF(JAK41 &lt;=14,"Bajo",IF(JAK41&lt;=35,"Medio",IF(JAK41&lt;=80,"Alto","Inviable Sanitariamente"))))</f>
        <v>Inviable Sanitariamente</v>
      </c>
      <c r="JAX41" s="117">
        <v>97.9</v>
      </c>
      <c r="JAZ41" s="117">
        <f>AVERAGE(JAN41:JAY41)</f>
        <v>97.9</v>
      </c>
      <c r="JBA41" s="117" t="str">
        <f>IF(JAZ41&lt;5,"SI","NO")</f>
        <v>NO</v>
      </c>
      <c r="JBB41" s="117" t="str">
        <f>IF(JAZ41&lt;5,"Sin Riesgo",IF(JAZ41 &lt;=14,"Bajo",IF(JAZ41&lt;=35,"Medio",IF(JAZ41&lt;=80,"Alto","Inviable Sanitariamente"))))</f>
        <v>Inviable Sanitariamente</v>
      </c>
      <c r="JBM41" s="117">
        <v>97.9</v>
      </c>
      <c r="JBO41" s="117">
        <f>AVERAGE(JBC41:JBN41)</f>
        <v>97.9</v>
      </c>
      <c r="JBP41" s="117" t="str">
        <f>IF(JBO41&lt;5,"SI","NO")</f>
        <v>NO</v>
      </c>
      <c r="JBQ41" s="117" t="str">
        <f>IF(JBO41&lt;5,"Sin Riesgo",IF(JBO41 &lt;=14,"Bajo",IF(JBO41&lt;=35,"Medio",IF(JBO41&lt;=80,"Alto","Inviable Sanitariamente"))))</f>
        <v>Inviable Sanitariamente</v>
      </c>
      <c r="JCB41" s="117">
        <v>97.9</v>
      </c>
      <c r="JCD41" s="117">
        <f>AVERAGE(JBR41:JCC41)</f>
        <v>97.9</v>
      </c>
      <c r="JCE41" s="117" t="str">
        <f>IF(JCD41&lt;5,"SI","NO")</f>
        <v>NO</v>
      </c>
      <c r="JCF41" s="117" t="str">
        <f>IF(JCD41&lt;5,"Sin Riesgo",IF(JCD41 &lt;=14,"Bajo",IF(JCD41&lt;=35,"Medio",IF(JCD41&lt;=80,"Alto","Inviable Sanitariamente"))))</f>
        <v>Inviable Sanitariamente</v>
      </c>
      <c r="JCQ41" s="117">
        <v>97.9</v>
      </c>
      <c r="JCS41" s="117">
        <f>AVERAGE(JCG41:JCR41)</f>
        <v>97.9</v>
      </c>
      <c r="JCT41" s="117" t="str">
        <f>IF(JCS41&lt;5,"SI","NO")</f>
        <v>NO</v>
      </c>
      <c r="JCU41" s="117" t="str">
        <f>IF(JCS41&lt;5,"Sin Riesgo",IF(JCS41 &lt;=14,"Bajo",IF(JCS41&lt;=35,"Medio",IF(JCS41&lt;=80,"Alto","Inviable Sanitariamente"))))</f>
        <v>Inviable Sanitariamente</v>
      </c>
      <c r="JDF41" s="117">
        <v>97.9</v>
      </c>
      <c r="JDH41" s="117">
        <f>AVERAGE(JCV41:JDG41)</f>
        <v>97.9</v>
      </c>
      <c r="JDI41" s="117" t="str">
        <f>IF(JDH41&lt;5,"SI","NO")</f>
        <v>NO</v>
      </c>
      <c r="JDJ41" s="117" t="str">
        <f>IF(JDH41&lt;5,"Sin Riesgo",IF(JDH41 &lt;=14,"Bajo",IF(JDH41&lt;=35,"Medio",IF(JDH41&lt;=80,"Alto","Inviable Sanitariamente"))))</f>
        <v>Inviable Sanitariamente</v>
      </c>
      <c r="JDU41" s="117">
        <v>97.9</v>
      </c>
      <c r="JDW41" s="117">
        <f>AVERAGE(JDK41:JDV41)</f>
        <v>97.9</v>
      </c>
      <c r="JDX41" s="117" t="str">
        <f>IF(JDW41&lt;5,"SI","NO")</f>
        <v>NO</v>
      </c>
      <c r="JDY41" s="117" t="str">
        <f>IF(JDW41&lt;5,"Sin Riesgo",IF(JDW41 &lt;=14,"Bajo",IF(JDW41&lt;=35,"Medio",IF(JDW41&lt;=80,"Alto","Inviable Sanitariamente"))))</f>
        <v>Inviable Sanitariamente</v>
      </c>
      <c r="JEJ41" s="117">
        <v>97.9</v>
      </c>
      <c r="JEL41" s="117">
        <f>AVERAGE(JDZ41:JEK41)</f>
        <v>97.9</v>
      </c>
      <c r="JEM41" s="117" t="str">
        <f>IF(JEL41&lt;5,"SI","NO")</f>
        <v>NO</v>
      </c>
      <c r="JEN41" s="117" t="str">
        <f>IF(JEL41&lt;5,"Sin Riesgo",IF(JEL41 &lt;=14,"Bajo",IF(JEL41&lt;=35,"Medio",IF(JEL41&lt;=80,"Alto","Inviable Sanitariamente"))))</f>
        <v>Inviable Sanitariamente</v>
      </c>
      <c r="JEY41" s="117">
        <v>97.9</v>
      </c>
      <c r="JFA41" s="117">
        <f>AVERAGE(JEO41:JEZ41)</f>
        <v>97.9</v>
      </c>
      <c r="JFB41" s="117" t="str">
        <f>IF(JFA41&lt;5,"SI","NO")</f>
        <v>NO</v>
      </c>
      <c r="JFC41" s="117" t="str">
        <f>IF(JFA41&lt;5,"Sin Riesgo",IF(JFA41 &lt;=14,"Bajo",IF(JFA41&lt;=35,"Medio",IF(JFA41&lt;=80,"Alto","Inviable Sanitariamente"))))</f>
        <v>Inviable Sanitariamente</v>
      </c>
      <c r="JFN41" s="117">
        <v>97.9</v>
      </c>
      <c r="JFP41" s="117">
        <f>AVERAGE(JFD41:JFO41)</f>
        <v>97.9</v>
      </c>
      <c r="JFQ41" s="117" t="str">
        <f>IF(JFP41&lt;5,"SI","NO")</f>
        <v>NO</v>
      </c>
      <c r="JFR41" s="117" t="str">
        <f>IF(JFP41&lt;5,"Sin Riesgo",IF(JFP41 &lt;=14,"Bajo",IF(JFP41&lt;=35,"Medio",IF(JFP41&lt;=80,"Alto","Inviable Sanitariamente"))))</f>
        <v>Inviable Sanitariamente</v>
      </c>
      <c r="JGC41" s="117">
        <v>97.9</v>
      </c>
      <c r="JGE41" s="117">
        <f>AVERAGE(JFS41:JGD41)</f>
        <v>97.9</v>
      </c>
      <c r="JGF41" s="117" t="str">
        <f>IF(JGE41&lt;5,"SI","NO")</f>
        <v>NO</v>
      </c>
      <c r="JGG41" s="117" t="str">
        <f>IF(JGE41&lt;5,"Sin Riesgo",IF(JGE41 &lt;=14,"Bajo",IF(JGE41&lt;=35,"Medio",IF(JGE41&lt;=80,"Alto","Inviable Sanitariamente"))))</f>
        <v>Inviable Sanitariamente</v>
      </c>
      <c r="JGR41" s="117">
        <v>97.9</v>
      </c>
      <c r="JGT41" s="117">
        <f>AVERAGE(JGH41:JGS41)</f>
        <v>97.9</v>
      </c>
      <c r="JGU41" s="117" t="str">
        <f>IF(JGT41&lt;5,"SI","NO")</f>
        <v>NO</v>
      </c>
      <c r="JGV41" s="117" t="str">
        <f>IF(JGT41&lt;5,"Sin Riesgo",IF(JGT41 &lt;=14,"Bajo",IF(JGT41&lt;=35,"Medio",IF(JGT41&lt;=80,"Alto","Inviable Sanitariamente"))))</f>
        <v>Inviable Sanitariamente</v>
      </c>
      <c r="JHG41" s="117">
        <v>97.9</v>
      </c>
      <c r="JHI41" s="117">
        <f>AVERAGE(JGW41:JHH41)</f>
        <v>97.9</v>
      </c>
      <c r="JHJ41" s="117" t="str">
        <f>IF(JHI41&lt;5,"SI","NO")</f>
        <v>NO</v>
      </c>
      <c r="JHK41" s="117" t="str">
        <f>IF(JHI41&lt;5,"Sin Riesgo",IF(JHI41 &lt;=14,"Bajo",IF(JHI41&lt;=35,"Medio",IF(JHI41&lt;=80,"Alto","Inviable Sanitariamente"))))</f>
        <v>Inviable Sanitariamente</v>
      </c>
      <c r="JHV41" s="117">
        <v>97.9</v>
      </c>
      <c r="JHX41" s="117">
        <f>AVERAGE(JHL41:JHW41)</f>
        <v>97.9</v>
      </c>
      <c r="JHY41" s="117" t="str">
        <f>IF(JHX41&lt;5,"SI","NO")</f>
        <v>NO</v>
      </c>
      <c r="JHZ41" s="117" t="str">
        <f>IF(JHX41&lt;5,"Sin Riesgo",IF(JHX41 &lt;=14,"Bajo",IF(JHX41&lt;=35,"Medio",IF(JHX41&lt;=80,"Alto","Inviable Sanitariamente"))))</f>
        <v>Inviable Sanitariamente</v>
      </c>
      <c r="JIK41" s="117">
        <v>97.9</v>
      </c>
      <c r="JIM41" s="117">
        <f>AVERAGE(JIA41:JIL41)</f>
        <v>97.9</v>
      </c>
      <c r="JIN41" s="117" t="str">
        <f>IF(JIM41&lt;5,"SI","NO")</f>
        <v>NO</v>
      </c>
      <c r="JIO41" s="117" t="str">
        <f>IF(JIM41&lt;5,"Sin Riesgo",IF(JIM41 &lt;=14,"Bajo",IF(JIM41&lt;=35,"Medio",IF(JIM41&lt;=80,"Alto","Inviable Sanitariamente"))))</f>
        <v>Inviable Sanitariamente</v>
      </c>
      <c r="JIZ41" s="117">
        <v>97.9</v>
      </c>
      <c r="JJB41" s="117">
        <f>AVERAGE(JIP41:JJA41)</f>
        <v>97.9</v>
      </c>
      <c r="JJC41" s="117" t="str">
        <f>IF(JJB41&lt;5,"SI","NO")</f>
        <v>NO</v>
      </c>
      <c r="JJD41" s="117" t="str">
        <f>IF(JJB41&lt;5,"Sin Riesgo",IF(JJB41 &lt;=14,"Bajo",IF(JJB41&lt;=35,"Medio",IF(JJB41&lt;=80,"Alto","Inviable Sanitariamente"))))</f>
        <v>Inviable Sanitariamente</v>
      </c>
      <c r="JJO41" s="117">
        <v>97.9</v>
      </c>
      <c r="JJQ41" s="117">
        <f>AVERAGE(JJE41:JJP41)</f>
        <v>97.9</v>
      </c>
      <c r="JJR41" s="117" t="str">
        <f>IF(JJQ41&lt;5,"SI","NO")</f>
        <v>NO</v>
      </c>
      <c r="JJS41" s="117" t="str">
        <f>IF(JJQ41&lt;5,"Sin Riesgo",IF(JJQ41 &lt;=14,"Bajo",IF(JJQ41&lt;=35,"Medio",IF(JJQ41&lt;=80,"Alto","Inviable Sanitariamente"))))</f>
        <v>Inviable Sanitariamente</v>
      </c>
      <c r="JKD41" s="117">
        <v>97.9</v>
      </c>
      <c r="JKF41" s="117">
        <f>AVERAGE(JJT41:JKE41)</f>
        <v>97.9</v>
      </c>
      <c r="JKG41" s="117" t="str">
        <f>IF(JKF41&lt;5,"SI","NO")</f>
        <v>NO</v>
      </c>
      <c r="JKH41" s="117" t="str">
        <f>IF(JKF41&lt;5,"Sin Riesgo",IF(JKF41 &lt;=14,"Bajo",IF(JKF41&lt;=35,"Medio",IF(JKF41&lt;=80,"Alto","Inviable Sanitariamente"))))</f>
        <v>Inviable Sanitariamente</v>
      </c>
      <c r="JKS41" s="117">
        <v>97.9</v>
      </c>
      <c r="JKU41" s="117">
        <f>AVERAGE(JKI41:JKT41)</f>
        <v>97.9</v>
      </c>
      <c r="JKV41" s="117" t="str">
        <f>IF(JKU41&lt;5,"SI","NO")</f>
        <v>NO</v>
      </c>
      <c r="JKW41" s="117" t="str">
        <f>IF(JKU41&lt;5,"Sin Riesgo",IF(JKU41 &lt;=14,"Bajo",IF(JKU41&lt;=35,"Medio",IF(JKU41&lt;=80,"Alto","Inviable Sanitariamente"))))</f>
        <v>Inviable Sanitariamente</v>
      </c>
      <c r="JLH41" s="117">
        <v>97.9</v>
      </c>
      <c r="JLJ41" s="117">
        <f>AVERAGE(JKX41:JLI41)</f>
        <v>97.9</v>
      </c>
      <c r="JLK41" s="117" t="str">
        <f>IF(JLJ41&lt;5,"SI","NO")</f>
        <v>NO</v>
      </c>
      <c r="JLL41" s="117" t="str">
        <f>IF(JLJ41&lt;5,"Sin Riesgo",IF(JLJ41 &lt;=14,"Bajo",IF(JLJ41&lt;=35,"Medio",IF(JLJ41&lt;=80,"Alto","Inviable Sanitariamente"))))</f>
        <v>Inviable Sanitariamente</v>
      </c>
      <c r="JLW41" s="117">
        <v>97.9</v>
      </c>
      <c r="JLY41" s="117">
        <f>AVERAGE(JLM41:JLX41)</f>
        <v>97.9</v>
      </c>
      <c r="JLZ41" s="117" t="str">
        <f>IF(JLY41&lt;5,"SI","NO")</f>
        <v>NO</v>
      </c>
      <c r="JMA41" s="117" t="str">
        <f>IF(JLY41&lt;5,"Sin Riesgo",IF(JLY41 &lt;=14,"Bajo",IF(JLY41&lt;=35,"Medio",IF(JLY41&lt;=80,"Alto","Inviable Sanitariamente"))))</f>
        <v>Inviable Sanitariamente</v>
      </c>
      <c r="JML41" s="117">
        <v>97.9</v>
      </c>
      <c r="JMN41" s="117">
        <f>AVERAGE(JMB41:JMM41)</f>
        <v>97.9</v>
      </c>
      <c r="JMO41" s="117" t="str">
        <f>IF(JMN41&lt;5,"SI","NO")</f>
        <v>NO</v>
      </c>
      <c r="JMP41" s="117" t="str">
        <f>IF(JMN41&lt;5,"Sin Riesgo",IF(JMN41 &lt;=14,"Bajo",IF(JMN41&lt;=35,"Medio",IF(JMN41&lt;=80,"Alto","Inviable Sanitariamente"))))</f>
        <v>Inviable Sanitariamente</v>
      </c>
      <c r="JNA41" s="117">
        <v>97.9</v>
      </c>
      <c r="JNC41" s="117">
        <f>AVERAGE(JMQ41:JNB41)</f>
        <v>97.9</v>
      </c>
      <c r="JND41" s="117" t="str">
        <f>IF(JNC41&lt;5,"SI","NO")</f>
        <v>NO</v>
      </c>
      <c r="JNE41" s="117" t="str">
        <f>IF(JNC41&lt;5,"Sin Riesgo",IF(JNC41 &lt;=14,"Bajo",IF(JNC41&lt;=35,"Medio",IF(JNC41&lt;=80,"Alto","Inviable Sanitariamente"))))</f>
        <v>Inviable Sanitariamente</v>
      </c>
      <c r="JNP41" s="117">
        <v>97.9</v>
      </c>
      <c r="JNR41" s="117">
        <f>AVERAGE(JNF41:JNQ41)</f>
        <v>97.9</v>
      </c>
      <c r="JNS41" s="117" t="str">
        <f>IF(JNR41&lt;5,"SI","NO")</f>
        <v>NO</v>
      </c>
      <c r="JNT41" s="117" t="str">
        <f>IF(JNR41&lt;5,"Sin Riesgo",IF(JNR41 &lt;=14,"Bajo",IF(JNR41&lt;=35,"Medio",IF(JNR41&lt;=80,"Alto","Inviable Sanitariamente"))))</f>
        <v>Inviable Sanitariamente</v>
      </c>
      <c r="JOE41" s="117">
        <v>97.9</v>
      </c>
      <c r="JOG41" s="117">
        <f>AVERAGE(JNU41:JOF41)</f>
        <v>97.9</v>
      </c>
      <c r="JOH41" s="117" t="str">
        <f>IF(JOG41&lt;5,"SI","NO")</f>
        <v>NO</v>
      </c>
      <c r="JOI41" s="117" t="str">
        <f>IF(JOG41&lt;5,"Sin Riesgo",IF(JOG41 &lt;=14,"Bajo",IF(JOG41&lt;=35,"Medio",IF(JOG41&lt;=80,"Alto","Inviable Sanitariamente"))))</f>
        <v>Inviable Sanitariamente</v>
      </c>
      <c r="JOT41" s="117">
        <v>97.9</v>
      </c>
      <c r="JOV41" s="117">
        <f>AVERAGE(JOJ41:JOU41)</f>
        <v>97.9</v>
      </c>
      <c r="JOW41" s="117" t="str">
        <f>IF(JOV41&lt;5,"SI","NO")</f>
        <v>NO</v>
      </c>
      <c r="JOX41" s="117" t="str">
        <f>IF(JOV41&lt;5,"Sin Riesgo",IF(JOV41 &lt;=14,"Bajo",IF(JOV41&lt;=35,"Medio",IF(JOV41&lt;=80,"Alto","Inviable Sanitariamente"))))</f>
        <v>Inviable Sanitariamente</v>
      </c>
      <c r="JPI41" s="117">
        <v>97.9</v>
      </c>
      <c r="JPK41" s="117">
        <f>AVERAGE(JOY41:JPJ41)</f>
        <v>97.9</v>
      </c>
      <c r="JPL41" s="117" t="str">
        <f>IF(JPK41&lt;5,"SI","NO")</f>
        <v>NO</v>
      </c>
      <c r="JPM41" s="117" t="str">
        <f>IF(JPK41&lt;5,"Sin Riesgo",IF(JPK41 &lt;=14,"Bajo",IF(JPK41&lt;=35,"Medio",IF(JPK41&lt;=80,"Alto","Inviable Sanitariamente"))))</f>
        <v>Inviable Sanitariamente</v>
      </c>
      <c r="JPX41" s="117">
        <v>97.9</v>
      </c>
      <c r="JPZ41" s="117">
        <f>AVERAGE(JPN41:JPY41)</f>
        <v>97.9</v>
      </c>
      <c r="JQA41" s="117" t="str">
        <f>IF(JPZ41&lt;5,"SI","NO")</f>
        <v>NO</v>
      </c>
      <c r="JQB41" s="117" t="str">
        <f>IF(JPZ41&lt;5,"Sin Riesgo",IF(JPZ41 &lt;=14,"Bajo",IF(JPZ41&lt;=35,"Medio",IF(JPZ41&lt;=80,"Alto","Inviable Sanitariamente"))))</f>
        <v>Inviable Sanitariamente</v>
      </c>
      <c r="JQM41" s="117">
        <v>97.9</v>
      </c>
      <c r="JQO41" s="117">
        <f>AVERAGE(JQC41:JQN41)</f>
        <v>97.9</v>
      </c>
      <c r="JQP41" s="117" t="str">
        <f>IF(JQO41&lt;5,"SI","NO")</f>
        <v>NO</v>
      </c>
      <c r="JQQ41" s="117" t="str">
        <f>IF(JQO41&lt;5,"Sin Riesgo",IF(JQO41 &lt;=14,"Bajo",IF(JQO41&lt;=35,"Medio",IF(JQO41&lt;=80,"Alto","Inviable Sanitariamente"))))</f>
        <v>Inviable Sanitariamente</v>
      </c>
      <c r="JRB41" s="117">
        <v>97.9</v>
      </c>
      <c r="JRD41" s="117">
        <f>AVERAGE(JQR41:JRC41)</f>
        <v>97.9</v>
      </c>
      <c r="JRE41" s="117" t="str">
        <f>IF(JRD41&lt;5,"SI","NO")</f>
        <v>NO</v>
      </c>
      <c r="JRF41" s="117" t="str">
        <f>IF(JRD41&lt;5,"Sin Riesgo",IF(JRD41 &lt;=14,"Bajo",IF(JRD41&lt;=35,"Medio",IF(JRD41&lt;=80,"Alto","Inviable Sanitariamente"))))</f>
        <v>Inviable Sanitariamente</v>
      </c>
      <c r="JRQ41" s="117">
        <v>97.9</v>
      </c>
      <c r="JRS41" s="117">
        <f>AVERAGE(JRG41:JRR41)</f>
        <v>97.9</v>
      </c>
      <c r="JRT41" s="117" t="str">
        <f>IF(JRS41&lt;5,"SI","NO")</f>
        <v>NO</v>
      </c>
      <c r="JRU41" s="117" t="str">
        <f>IF(JRS41&lt;5,"Sin Riesgo",IF(JRS41 &lt;=14,"Bajo",IF(JRS41&lt;=35,"Medio",IF(JRS41&lt;=80,"Alto","Inviable Sanitariamente"))))</f>
        <v>Inviable Sanitariamente</v>
      </c>
      <c r="JSF41" s="117">
        <v>97.9</v>
      </c>
      <c r="JSH41" s="117">
        <f>AVERAGE(JRV41:JSG41)</f>
        <v>97.9</v>
      </c>
      <c r="JSI41" s="117" t="str">
        <f>IF(JSH41&lt;5,"SI","NO")</f>
        <v>NO</v>
      </c>
      <c r="JSJ41" s="117" t="str">
        <f>IF(JSH41&lt;5,"Sin Riesgo",IF(JSH41 &lt;=14,"Bajo",IF(JSH41&lt;=35,"Medio",IF(JSH41&lt;=80,"Alto","Inviable Sanitariamente"))))</f>
        <v>Inviable Sanitariamente</v>
      </c>
      <c r="JSU41" s="117">
        <v>97.9</v>
      </c>
      <c r="JSW41" s="117">
        <f>AVERAGE(JSK41:JSV41)</f>
        <v>97.9</v>
      </c>
      <c r="JSX41" s="117" t="str">
        <f>IF(JSW41&lt;5,"SI","NO")</f>
        <v>NO</v>
      </c>
      <c r="JSY41" s="117" t="str">
        <f>IF(JSW41&lt;5,"Sin Riesgo",IF(JSW41 &lt;=14,"Bajo",IF(JSW41&lt;=35,"Medio",IF(JSW41&lt;=80,"Alto","Inviable Sanitariamente"))))</f>
        <v>Inviable Sanitariamente</v>
      </c>
      <c r="JTJ41" s="117">
        <v>97.9</v>
      </c>
      <c r="JTL41" s="117">
        <f>AVERAGE(JSZ41:JTK41)</f>
        <v>97.9</v>
      </c>
      <c r="JTM41" s="117" t="str">
        <f>IF(JTL41&lt;5,"SI","NO")</f>
        <v>NO</v>
      </c>
      <c r="JTN41" s="117" t="str">
        <f>IF(JTL41&lt;5,"Sin Riesgo",IF(JTL41 &lt;=14,"Bajo",IF(JTL41&lt;=35,"Medio",IF(JTL41&lt;=80,"Alto","Inviable Sanitariamente"))))</f>
        <v>Inviable Sanitariamente</v>
      </c>
      <c r="JTY41" s="117">
        <v>97.9</v>
      </c>
      <c r="JUA41" s="117">
        <f>AVERAGE(JTO41:JTZ41)</f>
        <v>97.9</v>
      </c>
      <c r="JUB41" s="117" t="str">
        <f>IF(JUA41&lt;5,"SI","NO")</f>
        <v>NO</v>
      </c>
      <c r="JUC41" s="117" t="str">
        <f>IF(JUA41&lt;5,"Sin Riesgo",IF(JUA41 &lt;=14,"Bajo",IF(JUA41&lt;=35,"Medio",IF(JUA41&lt;=80,"Alto","Inviable Sanitariamente"))))</f>
        <v>Inviable Sanitariamente</v>
      </c>
      <c r="JUN41" s="117">
        <v>97.9</v>
      </c>
      <c r="JUP41" s="117">
        <f>AVERAGE(JUD41:JUO41)</f>
        <v>97.9</v>
      </c>
      <c r="JUQ41" s="117" t="str">
        <f>IF(JUP41&lt;5,"SI","NO")</f>
        <v>NO</v>
      </c>
      <c r="JUR41" s="117" t="str">
        <f>IF(JUP41&lt;5,"Sin Riesgo",IF(JUP41 &lt;=14,"Bajo",IF(JUP41&lt;=35,"Medio",IF(JUP41&lt;=80,"Alto","Inviable Sanitariamente"))))</f>
        <v>Inviable Sanitariamente</v>
      </c>
      <c r="JVC41" s="117">
        <v>97.9</v>
      </c>
      <c r="JVE41" s="117">
        <f>AVERAGE(JUS41:JVD41)</f>
        <v>97.9</v>
      </c>
      <c r="JVF41" s="117" t="str">
        <f>IF(JVE41&lt;5,"SI","NO")</f>
        <v>NO</v>
      </c>
      <c r="JVG41" s="117" t="str">
        <f>IF(JVE41&lt;5,"Sin Riesgo",IF(JVE41 &lt;=14,"Bajo",IF(JVE41&lt;=35,"Medio",IF(JVE41&lt;=80,"Alto","Inviable Sanitariamente"))))</f>
        <v>Inviable Sanitariamente</v>
      </c>
      <c r="JVR41" s="117">
        <v>97.9</v>
      </c>
      <c r="JVT41" s="117">
        <f>AVERAGE(JVH41:JVS41)</f>
        <v>97.9</v>
      </c>
      <c r="JVU41" s="117" t="str">
        <f>IF(JVT41&lt;5,"SI","NO")</f>
        <v>NO</v>
      </c>
      <c r="JVV41" s="117" t="str">
        <f>IF(JVT41&lt;5,"Sin Riesgo",IF(JVT41 &lt;=14,"Bajo",IF(JVT41&lt;=35,"Medio",IF(JVT41&lt;=80,"Alto","Inviable Sanitariamente"))))</f>
        <v>Inviable Sanitariamente</v>
      </c>
      <c r="JWG41" s="117">
        <v>97.9</v>
      </c>
      <c r="JWI41" s="117">
        <f>AVERAGE(JVW41:JWH41)</f>
        <v>97.9</v>
      </c>
      <c r="JWJ41" s="117" t="str">
        <f>IF(JWI41&lt;5,"SI","NO")</f>
        <v>NO</v>
      </c>
      <c r="JWK41" s="117" t="str">
        <f>IF(JWI41&lt;5,"Sin Riesgo",IF(JWI41 &lt;=14,"Bajo",IF(JWI41&lt;=35,"Medio",IF(JWI41&lt;=80,"Alto","Inviable Sanitariamente"))))</f>
        <v>Inviable Sanitariamente</v>
      </c>
      <c r="JWV41" s="117">
        <v>97.9</v>
      </c>
      <c r="JWX41" s="117">
        <f>AVERAGE(JWL41:JWW41)</f>
        <v>97.9</v>
      </c>
      <c r="JWY41" s="117" t="str">
        <f>IF(JWX41&lt;5,"SI","NO")</f>
        <v>NO</v>
      </c>
      <c r="JWZ41" s="117" t="str">
        <f>IF(JWX41&lt;5,"Sin Riesgo",IF(JWX41 &lt;=14,"Bajo",IF(JWX41&lt;=35,"Medio",IF(JWX41&lt;=80,"Alto","Inviable Sanitariamente"))))</f>
        <v>Inviable Sanitariamente</v>
      </c>
      <c r="JXK41" s="117">
        <v>97.9</v>
      </c>
      <c r="JXM41" s="117">
        <f>AVERAGE(JXA41:JXL41)</f>
        <v>97.9</v>
      </c>
      <c r="JXN41" s="117" t="str">
        <f>IF(JXM41&lt;5,"SI","NO")</f>
        <v>NO</v>
      </c>
      <c r="JXO41" s="117" t="str">
        <f>IF(JXM41&lt;5,"Sin Riesgo",IF(JXM41 &lt;=14,"Bajo",IF(JXM41&lt;=35,"Medio",IF(JXM41&lt;=80,"Alto","Inviable Sanitariamente"))))</f>
        <v>Inviable Sanitariamente</v>
      </c>
      <c r="JXZ41" s="117">
        <v>97.9</v>
      </c>
      <c r="JYB41" s="117">
        <f>AVERAGE(JXP41:JYA41)</f>
        <v>97.9</v>
      </c>
      <c r="JYC41" s="117" t="str">
        <f>IF(JYB41&lt;5,"SI","NO")</f>
        <v>NO</v>
      </c>
      <c r="JYD41" s="117" t="str">
        <f>IF(JYB41&lt;5,"Sin Riesgo",IF(JYB41 &lt;=14,"Bajo",IF(JYB41&lt;=35,"Medio",IF(JYB41&lt;=80,"Alto","Inviable Sanitariamente"))))</f>
        <v>Inviable Sanitariamente</v>
      </c>
      <c r="JYO41" s="117">
        <v>97.9</v>
      </c>
      <c r="JYQ41" s="117">
        <f>AVERAGE(JYE41:JYP41)</f>
        <v>97.9</v>
      </c>
      <c r="JYR41" s="117" t="str">
        <f>IF(JYQ41&lt;5,"SI","NO")</f>
        <v>NO</v>
      </c>
      <c r="JYS41" s="117" t="str">
        <f>IF(JYQ41&lt;5,"Sin Riesgo",IF(JYQ41 &lt;=14,"Bajo",IF(JYQ41&lt;=35,"Medio",IF(JYQ41&lt;=80,"Alto","Inviable Sanitariamente"))))</f>
        <v>Inviable Sanitariamente</v>
      </c>
      <c r="JZD41" s="117">
        <v>97.9</v>
      </c>
      <c r="JZF41" s="117">
        <f>AVERAGE(JYT41:JZE41)</f>
        <v>97.9</v>
      </c>
      <c r="JZG41" s="117" t="str">
        <f>IF(JZF41&lt;5,"SI","NO")</f>
        <v>NO</v>
      </c>
      <c r="JZH41" s="117" t="str">
        <f>IF(JZF41&lt;5,"Sin Riesgo",IF(JZF41 &lt;=14,"Bajo",IF(JZF41&lt;=35,"Medio",IF(JZF41&lt;=80,"Alto","Inviable Sanitariamente"))))</f>
        <v>Inviable Sanitariamente</v>
      </c>
      <c r="JZS41" s="117">
        <v>97.9</v>
      </c>
      <c r="JZU41" s="117">
        <f>AVERAGE(JZI41:JZT41)</f>
        <v>97.9</v>
      </c>
      <c r="JZV41" s="117" t="str">
        <f>IF(JZU41&lt;5,"SI","NO")</f>
        <v>NO</v>
      </c>
      <c r="JZW41" s="117" t="str">
        <f>IF(JZU41&lt;5,"Sin Riesgo",IF(JZU41 &lt;=14,"Bajo",IF(JZU41&lt;=35,"Medio",IF(JZU41&lt;=80,"Alto","Inviable Sanitariamente"))))</f>
        <v>Inviable Sanitariamente</v>
      </c>
      <c r="KAH41" s="117">
        <v>97.9</v>
      </c>
      <c r="KAJ41" s="117">
        <f>AVERAGE(JZX41:KAI41)</f>
        <v>97.9</v>
      </c>
      <c r="KAK41" s="117" t="str">
        <f>IF(KAJ41&lt;5,"SI","NO")</f>
        <v>NO</v>
      </c>
      <c r="KAL41" s="117" t="str">
        <f>IF(KAJ41&lt;5,"Sin Riesgo",IF(KAJ41 &lt;=14,"Bajo",IF(KAJ41&lt;=35,"Medio",IF(KAJ41&lt;=80,"Alto","Inviable Sanitariamente"))))</f>
        <v>Inviable Sanitariamente</v>
      </c>
      <c r="KAW41" s="117">
        <v>97.9</v>
      </c>
      <c r="KAY41" s="117">
        <f>AVERAGE(KAM41:KAX41)</f>
        <v>97.9</v>
      </c>
      <c r="KAZ41" s="117" t="str">
        <f>IF(KAY41&lt;5,"SI","NO")</f>
        <v>NO</v>
      </c>
      <c r="KBA41" s="117" t="str">
        <f>IF(KAY41&lt;5,"Sin Riesgo",IF(KAY41 &lt;=14,"Bajo",IF(KAY41&lt;=35,"Medio",IF(KAY41&lt;=80,"Alto","Inviable Sanitariamente"))))</f>
        <v>Inviable Sanitariamente</v>
      </c>
      <c r="KBL41" s="117">
        <v>97.9</v>
      </c>
      <c r="KBN41" s="117">
        <f>AVERAGE(KBB41:KBM41)</f>
        <v>97.9</v>
      </c>
      <c r="KBO41" s="117" t="str">
        <f>IF(KBN41&lt;5,"SI","NO")</f>
        <v>NO</v>
      </c>
      <c r="KBP41" s="117" t="str">
        <f>IF(KBN41&lt;5,"Sin Riesgo",IF(KBN41 &lt;=14,"Bajo",IF(KBN41&lt;=35,"Medio",IF(KBN41&lt;=80,"Alto","Inviable Sanitariamente"))))</f>
        <v>Inviable Sanitariamente</v>
      </c>
      <c r="KCA41" s="117">
        <v>97.9</v>
      </c>
      <c r="KCC41" s="117">
        <f>AVERAGE(KBQ41:KCB41)</f>
        <v>97.9</v>
      </c>
      <c r="KCD41" s="117" t="str">
        <f>IF(KCC41&lt;5,"SI","NO")</f>
        <v>NO</v>
      </c>
      <c r="KCE41" s="117" t="str">
        <f>IF(KCC41&lt;5,"Sin Riesgo",IF(KCC41 &lt;=14,"Bajo",IF(KCC41&lt;=35,"Medio",IF(KCC41&lt;=80,"Alto","Inviable Sanitariamente"))))</f>
        <v>Inviable Sanitariamente</v>
      </c>
      <c r="KCP41" s="117">
        <v>97.9</v>
      </c>
      <c r="KCR41" s="117">
        <f>AVERAGE(KCF41:KCQ41)</f>
        <v>97.9</v>
      </c>
      <c r="KCS41" s="117" t="str">
        <f>IF(KCR41&lt;5,"SI","NO")</f>
        <v>NO</v>
      </c>
      <c r="KCT41" s="117" t="str">
        <f>IF(KCR41&lt;5,"Sin Riesgo",IF(KCR41 &lt;=14,"Bajo",IF(KCR41&lt;=35,"Medio",IF(KCR41&lt;=80,"Alto","Inviable Sanitariamente"))))</f>
        <v>Inviable Sanitariamente</v>
      </c>
      <c r="KDE41" s="117">
        <v>97.9</v>
      </c>
      <c r="KDG41" s="117">
        <f>AVERAGE(KCU41:KDF41)</f>
        <v>97.9</v>
      </c>
      <c r="KDH41" s="117" t="str">
        <f>IF(KDG41&lt;5,"SI","NO")</f>
        <v>NO</v>
      </c>
      <c r="KDI41" s="117" t="str">
        <f>IF(KDG41&lt;5,"Sin Riesgo",IF(KDG41 &lt;=14,"Bajo",IF(KDG41&lt;=35,"Medio",IF(KDG41&lt;=80,"Alto","Inviable Sanitariamente"))))</f>
        <v>Inviable Sanitariamente</v>
      </c>
      <c r="KDT41" s="117">
        <v>97.9</v>
      </c>
      <c r="KDV41" s="117">
        <f>AVERAGE(KDJ41:KDU41)</f>
        <v>97.9</v>
      </c>
      <c r="KDW41" s="117" t="str">
        <f>IF(KDV41&lt;5,"SI","NO")</f>
        <v>NO</v>
      </c>
      <c r="KDX41" s="117" t="str">
        <f>IF(KDV41&lt;5,"Sin Riesgo",IF(KDV41 &lt;=14,"Bajo",IF(KDV41&lt;=35,"Medio",IF(KDV41&lt;=80,"Alto","Inviable Sanitariamente"))))</f>
        <v>Inviable Sanitariamente</v>
      </c>
      <c r="KEI41" s="117">
        <v>97.9</v>
      </c>
      <c r="KEK41" s="117">
        <f>AVERAGE(KDY41:KEJ41)</f>
        <v>97.9</v>
      </c>
      <c r="KEL41" s="117" t="str">
        <f>IF(KEK41&lt;5,"SI","NO")</f>
        <v>NO</v>
      </c>
      <c r="KEM41" s="117" t="str">
        <f>IF(KEK41&lt;5,"Sin Riesgo",IF(KEK41 &lt;=14,"Bajo",IF(KEK41&lt;=35,"Medio",IF(KEK41&lt;=80,"Alto","Inviable Sanitariamente"))))</f>
        <v>Inviable Sanitariamente</v>
      </c>
      <c r="KEX41" s="117">
        <v>97.9</v>
      </c>
      <c r="KEZ41" s="117">
        <f>AVERAGE(KEN41:KEY41)</f>
        <v>97.9</v>
      </c>
      <c r="KFA41" s="117" t="str">
        <f>IF(KEZ41&lt;5,"SI","NO")</f>
        <v>NO</v>
      </c>
      <c r="KFB41" s="117" t="str">
        <f>IF(KEZ41&lt;5,"Sin Riesgo",IF(KEZ41 &lt;=14,"Bajo",IF(KEZ41&lt;=35,"Medio",IF(KEZ41&lt;=80,"Alto","Inviable Sanitariamente"))))</f>
        <v>Inviable Sanitariamente</v>
      </c>
      <c r="KFM41" s="117">
        <v>97.9</v>
      </c>
      <c r="KFO41" s="117">
        <f>AVERAGE(KFC41:KFN41)</f>
        <v>97.9</v>
      </c>
      <c r="KFP41" s="117" t="str">
        <f>IF(KFO41&lt;5,"SI","NO")</f>
        <v>NO</v>
      </c>
      <c r="KFQ41" s="117" t="str">
        <f>IF(KFO41&lt;5,"Sin Riesgo",IF(KFO41 &lt;=14,"Bajo",IF(KFO41&lt;=35,"Medio",IF(KFO41&lt;=80,"Alto","Inviable Sanitariamente"))))</f>
        <v>Inviable Sanitariamente</v>
      </c>
      <c r="KGB41" s="117">
        <v>97.9</v>
      </c>
      <c r="KGD41" s="117">
        <f>AVERAGE(KFR41:KGC41)</f>
        <v>97.9</v>
      </c>
      <c r="KGE41" s="117" t="str">
        <f>IF(KGD41&lt;5,"SI","NO")</f>
        <v>NO</v>
      </c>
      <c r="KGF41" s="117" t="str">
        <f>IF(KGD41&lt;5,"Sin Riesgo",IF(KGD41 &lt;=14,"Bajo",IF(KGD41&lt;=35,"Medio",IF(KGD41&lt;=80,"Alto","Inviable Sanitariamente"))))</f>
        <v>Inviable Sanitariamente</v>
      </c>
      <c r="KGQ41" s="117">
        <v>97.9</v>
      </c>
      <c r="KGS41" s="117">
        <f>AVERAGE(KGG41:KGR41)</f>
        <v>97.9</v>
      </c>
      <c r="KGT41" s="117" t="str">
        <f>IF(KGS41&lt;5,"SI","NO")</f>
        <v>NO</v>
      </c>
      <c r="KGU41" s="117" t="str">
        <f>IF(KGS41&lt;5,"Sin Riesgo",IF(KGS41 &lt;=14,"Bajo",IF(KGS41&lt;=35,"Medio",IF(KGS41&lt;=80,"Alto","Inviable Sanitariamente"))))</f>
        <v>Inviable Sanitariamente</v>
      </c>
      <c r="KHF41" s="117">
        <v>97.9</v>
      </c>
      <c r="KHH41" s="117">
        <f>AVERAGE(KGV41:KHG41)</f>
        <v>97.9</v>
      </c>
      <c r="KHI41" s="117" t="str">
        <f>IF(KHH41&lt;5,"SI","NO")</f>
        <v>NO</v>
      </c>
      <c r="KHJ41" s="117" t="str">
        <f>IF(KHH41&lt;5,"Sin Riesgo",IF(KHH41 &lt;=14,"Bajo",IF(KHH41&lt;=35,"Medio",IF(KHH41&lt;=80,"Alto","Inviable Sanitariamente"))))</f>
        <v>Inviable Sanitariamente</v>
      </c>
      <c r="KHU41" s="117">
        <v>97.9</v>
      </c>
      <c r="KHW41" s="117">
        <f>AVERAGE(KHK41:KHV41)</f>
        <v>97.9</v>
      </c>
      <c r="KHX41" s="117" t="str">
        <f>IF(KHW41&lt;5,"SI","NO")</f>
        <v>NO</v>
      </c>
      <c r="KHY41" s="117" t="str">
        <f>IF(KHW41&lt;5,"Sin Riesgo",IF(KHW41 &lt;=14,"Bajo",IF(KHW41&lt;=35,"Medio",IF(KHW41&lt;=80,"Alto","Inviable Sanitariamente"))))</f>
        <v>Inviable Sanitariamente</v>
      </c>
      <c r="KIJ41" s="117">
        <v>97.9</v>
      </c>
      <c r="KIL41" s="117">
        <f>AVERAGE(KHZ41:KIK41)</f>
        <v>97.9</v>
      </c>
      <c r="KIM41" s="117" t="str">
        <f>IF(KIL41&lt;5,"SI","NO")</f>
        <v>NO</v>
      </c>
      <c r="KIN41" s="117" t="str">
        <f>IF(KIL41&lt;5,"Sin Riesgo",IF(KIL41 &lt;=14,"Bajo",IF(KIL41&lt;=35,"Medio",IF(KIL41&lt;=80,"Alto","Inviable Sanitariamente"))))</f>
        <v>Inviable Sanitariamente</v>
      </c>
      <c r="KIY41" s="117">
        <v>97.9</v>
      </c>
      <c r="KJA41" s="117">
        <f>AVERAGE(KIO41:KIZ41)</f>
        <v>97.9</v>
      </c>
      <c r="KJB41" s="117" t="str">
        <f>IF(KJA41&lt;5,"SI","NO")</f>
        <v>NO</v>
      </c>
      <c r="KJC41" s="117" t="str">
        <f>IF(KJA41&lt;5,"Sin Riesgo",IF(KJA41 &lt;=14,"Bajo",IF(KJA41&lt;=35,"Medio",IF(KJA41&lt;=80,"Alto","Inviable Sanitariamente"))))</f>
        <v>Inviable Sanitariamente</v>
      </c>
      <c r="KJN41" s="117">
        <v>97.9</v>
      </c>
      <c r="KJP41" s="117">
        <f>AVERAGE(KJD41:KJO41)</f>
        <v>97.9</v>
      </c>
      <c r="KJQ41" s="117" t="str">
        <f>IF(KJP41&lt;5,"SI","NO")</f>
        <v>NO</v>
      </c>
      <c r="KJR41" s="117" t="str">
        <f>IF(KJP41&lt;5,"Sin Riesgo",IF(KJP41 &lt;=14,"Bajo",IF(KJP41&lt;=35,"Medio",IF(KJP41&lt;=80,"Alto","Inviable Sanitariamente"))))</f>
        <v>Inviable Sanitariamente</v>
      </c>
      <c r="KKC41" s="117">
        <v>97.9</v>
      </c>
      <c r="KKE41" s="117">
        <f>AVERAGE(KJS41:KKD41)</f>
        <v>97.9</v>
      </c>
      <c r="KKF41" s="117" t="str">
        <f>IF(KKE41&lt;5,"SI","NO")</f>
        <v>NO</v>
      </c>
      <c r="KKG41" s="117" t="str">
        <f>IF(KKE41&lt;5,"Sin Riesgo",IF(KKE41 &lt;=14,"Bajo",IF(KKE41&lt;=35,"Medio",IF(KKE41&lt;=80,"Alto","Inviable Sanitariamente"))))</f>
        <v>Inviable Sanitariamente</v>
      </c>
      <c r="KKR41" s="117">
        <v>97.9</v>
      </c>
      <c r="KKT41" s="117">
        <f>AVERAGE(KKH41:KKS41)</f>
        <v>97.9</v>
      </c>
      <c r="KKU41" s="117" t="str">
        <f>IF(KKT41&lt;5,"SI","NO")</f>
        <v>NO</v>
      </c>
      <c r="KKV41" s="117" t="str">
        <f>IF(KKT41&lt;5,"Sin Riesgo",IF(KKT41 &lt;=14,"Bajo",IF(KKT41&lt;=35,"Medio",IF(KKT41&lt;=80,"Alto","Inviable Sanitariamente"))))</f>
        <v>Inviable Sanitariamente</v>
      </c>
      <c r="KLG41" s="117">
        <v>97.9</v>
      </c>
      <c r="KLI41" s="117">
        <f>AVERAGE(KKW41:KLH41)</f>
        <v>97.9</v>
      </c>
      <c r="KLJ41" s="117" t="str">
        <f>IF(KLI41&lt;5,"SI","NO")</f>
        <v>NO</v>
      </c>
      <c r="KLK41" s="117" t="str">
        <f>IF(KLI41&lt;5,"Sin Riesgo",IF(KLI41 &lt;=14,"Bajo",IF(KLI41&lt;=35,"Medio",IF(KLI41&lt;=80,"Alto","Inviable Sanitariamente"))))</f>
        <v>Inviable Sanitariamente</v>
      </c>
      <c r="KLV41" s="117">
        <v>97.9</v>
      </c>
      <c r="KLX41" s="117">
        <f>AVERAGE(KLL41:KLW41)</f>
        <v>97.9</v>
      </c>
      <c r="KLY41" s="117" t="str">
        <f>IF(KLX41&lt;5,"SI","NO")</f>
        <v>NO</v>
      </c>
      <c r="KLZ41" s="117" t="str">
        <f>IF(KLX41&lt;5,"Sin Riesgo",IF(KLX41 &lt;=14,"Bajo",IF(KLX41&lt;=35,"Medio",IF(KLX41&lt;=80,"Alto","Inviable Sanitariamente"))))</f>
        <v>Inviable Sanitariamente</v>
      </c>
      <c r="KMK41" s="117">
        <v>97.9</v>
      </c>
      <c r="KMM41" s="117">
        <f>AVERAGE(KMA41:KML41)</f>
        <v>97.9</v>
      </c>
      <c r="KMN41" s="117" t="str">
        <f>IF(KMM41&lt;5,"SI","NO")</f>
        <v>NO</v>
      </c>
      <c r="KMO41" s="117" t="str">
        <f>IF(KMM41&lt;5,"Sin Riesgo",IF(KMM41 &lt;=14,"Bajo",IF(KMM41&lt;=35,"Medio",IF(KMM41&lt;=80,"Alto","Inviable Sanitariamente"))))</f>
        <v>Inviable Sanitariamente</v>
      </c>
      <c r="KMZ41" s="117">
        <v>97.9</v>
      </c>
      <c r="KNB41" s="117">
        <f>AVERAGE(KMP41:KNA41)</f>
        <v>97.9</v>
      </c>
      <c r="KNC41" s="117" t="str">
        <f>IF(KNB41&lt;5,"SI","NO")</f>
        <v>NO</v>
      </c>
      <c r="KND41" s="117" t="str">
        <f>IF(KNB41&lt;5,"Sin Riesgo",IF(KNB41 &lt;=14,"Bajo",IF(KNB41&lt;=35,"Medio",IF(KNB41&lt;=80,"Alto","Inviable Sanitariamente"))))</f>
        <v>Inviable Sanitariamente</v>
      </c>
      <c r="KNO41" s="117">
        <v>97.9</v>
      </c>
      <c r="KNQ41" s="117">
        <f>AVERAGE(KNE41:KNP41)</f>
        <v>97.9</v>
      </c>
      <c r="KNR41" s="117" t="str">
        <f>IF(KNQ41&lt;5,"SI","NO")</f>
        <v>NO</v>
      </c>
      <c r="KNS41" s="117" t="str">
        <f>IF(KNQ41&lt;5,"Sin Riesgo",IF(KNQ41 &lt;=14,"Bajo",IF(KNQ41&lt;=35,"Medio",IF(KNQ41&lt;=80,"Alto","Inviable Sanitariamente"))))</f>
        <v>Inviable Sanitariamente</v>
      </c>
      <c r="KOD41" s="117">
        <v>97.9</v>
      </c>
      <c r="KOF41" s="117">
        <f>AVERAGE(KNT41:KOE41)</f>
        <v>97.9</v>
      </c>
      <c r="KOG41" s="117" t="str">
        <f>IF(KOF41&lt;5,"SI","NO")</f>
        <v>NO</v>
      </c>
      <c r="KOH41" s="117" t="str">
        <f>IF(KOF41&lt;5,"Sin Riesgo",IF(KOF41 &lt;=14,"Bajo",IF(KOF41&lt;=35,"Medio",IF(KOF41&lt;=80,"Alto","Inviable Sanitariamente"))))</f>
        <v>Inviable Sanitariamente</v>
      </c>
      <c r="KOS41" s="117">
        <v>97.9</v>
      </c>
      <c r="KOU41" s="117">
        <f>AVERAGE(KOI41:KOT41)</f>
        <v>97.9</v>
      </c>
      <c r="KOV41" s="117" t="str">
        <f>IF(KOU41&lt;5,"SI","NO")</f>
        <v>NO</v>
      </c>
      <c r="KOW41" s="117" t="str">
        <f>IF(KOU41&lt;5,"Sin Riesgo",IF(KOU41 &lt;=14,"Bajo",IF(KOU41&lt;=35,"Medio",IF(KOU41&lt;=80,"Alto","Inviable Sanitariamente"))))</f>
        <v>Inviable Sanitariamente</v>
      </c>
      <c r="KPH41" s="117">
        <v>97.9</v>
      </c>
      <c r="KPJ41" s="117">
        <f>AVERAGE(KOX41:KPI41)</f>
        <v>97.9</v>
      </c>
      <c r="KPK41" s="117" t="str">
        <f>IF(KPJ41&lt;5,"SI","NO")</f>
        <v>NO</v>
      </c>
      <c r="KPL41" s="117" t="str">
        <f>IF(KPJ41&lt;5,"Sin Riesgo",IF(KPJ41 &lt;=14,"Bajo",IF(KPJ41&lt;=35,"Medio",IF(KPJ41&lt;=80,"Alto","Inviable Sanitariamente"))))</f>
        <v>Inviable Sanitariamente</v>
      </c>
      <c r="KPW41" s="117">
        <v>97.9</v>
      </c>
      <c r="KPY41" s="117">
        <f>AVERAGE(KPM41:KPX41)</f>
        <v>97.9</v>
      </c>
      <c r="KPZ41" s="117" t="str">
        <f>IF(KPY41&lt;5,"SI","NO")</f>
        <v>NO</v>
      </c>
      <c r="KQA41" s="117" t="str">
        <f>IF(KPY41&lt;5,"Sin Riesgo",IF(KPY41 &lt;=14,"Bajo",IF(KPY41&lt;=35,"Medio",IF(KPY41&lt;=80,"Alto","Inviable Sanitariamente"))))</f>
        <v>Inviable Sanitariamente</v>
      </c>
      <c r="KQL41" s="117">
        <v>97.9</v>
      </c>
      <c r="KQN41" s="117">
        <f>AVERAGE(KQB41:KQM41)</f>
        <v>97.9</v>
      </c>
      <c r="KQO41" s="117" t="str">
        <f>IF(KQN41&lt;5,"SI","NO")</f>
        <v>NO</v>
      </c>
      <c r="KQP41" s="117" t="str">
        <f>IF(KQN41&lt;5,"Sin Riesgo",IF(KQN41 &lt;=14,"Bajo",IF(KQN41&lt;=35,"Medio",IF(KQN41&lt;=80,"Alto","Inviable Sanitariamente"))))</f>
        <v>Inviable Sanitariamente</v>
      </c>
      <c r="KRA41" s="117">
        <v>97.9</v>
      </c>
      <c r="KRC41" s="117">
        <f>AVERAGE(KQQ41:KRB41)</f>
        <v>97.9</v>
      </c>
      <c r="KRD41" s="117" t="str">
        <f>IF(KRC41&lt;5,"SI","NO")</f>
        <v>NO</v>
      </c>
      <c r="KRE41" s="117" t="str">
        <f>IF(KRC41&lt;5,"Sin Riesgo",IF(KRC41 &lt;=14,"Bajo",IF(KRC41&lt;=35,"Medio",IF(KRC41&lt;=80,"Alto","Inviable Sanitariamente"))))</f>
        <v>Inviable Sanitariamente</v>
      </c>
      <c r="KRP41" s="117">
        <v>97.9</v>
      </c>
      <c r="KRR41" s="117">
        <f>AVERAGE(KRF41:KRQ41)</f>
        <v>97.9</v>
      </c>
      <c r="KRS41" s="117" t="str">
        <f>IF(KRR41&lt;5,"SI","NO")</f>
        <v>NO</v>
      </c>
      <c r="KRT41" s="117" t="str">
        <f>IF(KRR41&lt;5,"Sin Riesgo",IF(KRR41 &lt;=14,"Bajo",IF(KRR41&lt;=35,"Medio",IF(KRR41&lt;=80,"Alto","Inviable Sanitariamente"))))</f>
        <v>Inviable Sanitariamente</v>
      </c>
      <c r="KSE41" s="117">
        <v>97.9</v>
      </c>
      <c r="KSG41" s="117">
        <f>AVERAGE(KRU41:KSF41)</f>
        <v>97.9</v>
      </c>
      <c r="KSH41" s="117" t="str">
        <f>IF(KSG41&lt;5,"SI","NO")</f>
        <v>NO</v>
      </c>
      <c r="KSI41" s="117" t="str">
        <f>IF(KSG41&lt;5,"Sin Riesgo",IF(KSG41 &lt;=14,"Bajo",IF(KSG41&lt;=35,"Medio",IF(KSG41&lt;=80,"Alto","Inviable Sanitariamente"))))</f>
        <v>Inviable Sanitariamente</v>
      </c>
      <c r="KST41" s="117">
        <v>97.9</v>
      </c>
      <c r="KSV41" s="117">
        <f>AVERAGE(KSJ41:KSU41)</f>
        <v>97.9</v>
      </c>
      <c r="KSW41" s="117" t="str">
        <f>IF(KSV41&lt;5,"SI","NO")</f>
        <v>NO</v>
      </c>
      <c r="KSX41" s="117" t="str">
        <f>IF(KSV41&lt;5,"Sin Riesgo",IF(KSV41 &lt;=14,"Bajo",IF(KSV41&lt;=35,"Medio",IF(KSV41&lt;=80,"Alto","Inviable Sanitariamente"))))</f>
        <v>Inviable Sanitariamente</v>
      </c>
      <c r="KTI41" s="117">
        <v>97.9</v>
      </c>
      <c r="KTK41" s="117">
        <f>AVERAGE(KSY41:KTJ41)</f>
        <v>97.9</v>
      </c>
      <c r="KTL41" s="117" t="str">
        <f>IF(KTK41&lt;5,"SI","NO")</f>
        <v>NO</v>
      </c>
      <c r="KTM41" s="117" t="str">
        <f>IF(KTK41&lt;5,"Sin Riesgo",IF(KTK41 &lt;=14,"Bajo",IF(KTK41&lt;=35,"Medio",IF(KTK41&lt;=80,"Alto","Inviable Sanitariamente"))))</f>
        <v>Inviable Sanitariamente</v>
      </c>
      <c r="KTX41" s="117">
        <v>97.9</v>
      </c>
      <c r="KTZ41" s="117">
        <f>AVERAGE(KTN41:KTY41)</f>
        <v>97.9</v>
      </c>
      <c r="KUA41" s="117" t="str">
        <f>IF(KTZ41&lt;5,"SI","NO")</f>
        <v>NO</v>
      </c>
      <c r="KUB41" s="117" t="str">
        <f>IF(KTZ41&lt;5,"Sin Riesgo",IF(KTZ41 &lt;=14,"Bajo",IF(KTZ41&lt;=35,"Medio",IF(KTZ41&lt;=80,"Alto","Inviable Sanitariamente"))))</f>
        <v>Inviable Sanitariamente</v>
      </c>
      <c r="KUM41" s="117">
        <v>97.9</v>
      </c>
      <c r="KUO41" s="117">
        <f>AVERAGE(KUC41:KUN41)</f>
        <v>97.9</v>
      </c>
      <c r="KUP41" s="117" t="str">
        <f>IF(KUO41&lt;5,"SI","NO")</f>
        <v>NO</v>
      </c>
      <c r="KUQ41" s="117" t="str">
        <f>IF(KUO41&lt;5,"Sin Riesgo",IF(KUO41 &lt;=14,"Bajo",IF(KUO41&lt;=35,"Medio",IF(KUO41&lt;=80,"Alto","Inviable Sanitariamente"))))</f>
        <v>Inviable Sanitariamente</v>
      </c>
      <c r="KVB41" s="117">
        <v>97.9</v>
      </c>
      <c r="KVD41" s="117">
        <f>AVERAGE(KUR41:KVC41)</f>
        <v>97.9</v>
      </c>
      <c r="KVE41" s="117" t="str">
        <f>IF(KVD41&lt;5,"SI","NO")</f>
        <v>NO</v>
      </c>
      <c r="KVF41" s="117" t="str">
        <f>IF(KVD41&lt;5,"Sin Riesgo",IF(KVD41 &lt;=14,"Bajo",IF(KVD41&lt;=35,"Medio",IF(KVD41&lt;=80,"Alto","Inviable Sanitariamente"))))</f>
        <v>Inviable Sanitariamente</v>
      </c>
      <c r="KVQ41" s="117">
        <v>97.9</v>
      </c>
      <c r="KVS41" s="117">
        <f>AVERAGE(KVG41:KVR41)</f>
        <v>97.9</v>
      </c>
      <c r="KVT41" s="117" t="str">
        <f>IF(KVS41&lt;5,"SI","NO")</f>
        <v>NO</v>
      </c>
      <c r="KVU41" s="117" t="str">
        <f>IF(KVS41&lt;5,"Sin Riesgo",IF(KVS41 &lt;=14,"Bajo",IF(KVS41&lt;=35,"Medio",IF(KVS41&lt;=80,"Alto","Inviable Sanitariamente"))))</f>
        <v>Inviable Sanitariamente</v>
      </c>
      <c r="KWF41" s="117">
        <v>97.9</v>
      </c>
      <c r="KWH41" s="117">
        <f>AVERAGE(KVV41:KWG41)</f>
        <v>97.9</v>
      </c>
      <c r="KWI41" s="117" t="str">
        <f>IF(KWH41&lt;5,"SI","NO")</f>
        <v>NO</v>
      </c>
      <c r="KWJ41" s="117" t="str">
        <f>IF(KWH41&lt;5,"Sin Riesgo",IF(KWH41 &lt;=14,"Bajo",IF(KWH41&lt;=35,"Medio",IF(KWH41&lt;=80,"Alto","Inviable Sanitariamente"))))</f>
        <v>Inviable Sanitariamente</v>
      </c>
      <c r="KWU41" s="117">
        <v>97.9</v>
      </c>
      <c r="KWW41" s="117">
        <f>AVERAGE(KWK41:KWV41)</f>
        <v>97.9</v>
      </c>
      <c r="KWX41" s="117" t="str">
        <f>IF(KWW41&lt;5,"SI","NO")</f>
        <v>NO</v>
      </c>
      <c r="KWY41" s="117" t="str">
        <f>IF(KWW41&lt;5,"Sin Riesgo",IF(KWW41 &lt;=14,"Bajo",IF(KWW41&lt;=35,"Medio",IF(KWW41&lt;=80,"Alto","Inviable Sanitariamente"))))</f>
        <v>Inviable Sanitariamente</v>
      </c>
      <c r="KXJ41" s="117">
        <v>97.9</v>
      </c>
      <c r="KXL41" s="117">
        <f>AVERAGE(KWZ41:KXK41)</f>
        <v>97.9</v>
      </c>
      <c r="KXM41" s="117" t="str">
        <f>IF(KXL41&lt;5,"SI","NO")</f>
        <v>NO</v>
      </c>
      <c r="KXN41" s="117" t="str">
        <f>IF(KXL41&lt;5,"Sin Riesgo",IF(KXL41 &lt;=14,"Bajo",IF(KXL41&lt;=35,"Medio",IF(KXL41&lt;=80,"Alto","Inviable Sanitariamente"))))</f>
        <v>Inviable Sanitariamente</v>
      </c>
      <c r="KXY41" s="117">
        <v>97.9</v>
      </c>
      <c r="KYA41" s="117">
        <f>AVERAGE(KXO41:KXZ41)</f>
        <v>97.9</v>
      </c>
      <c r="KYB41" s="117" t="str">
        <f>IF(KYA41&lt;5,"SI","NO")</f>
        <v>NO</v>
      </c>
      <c r="KYC41" s="117" t="str">
        <f>IF(KYA41&lt;5,"Sin Riesgo",IF(KYA41 &lt;=14,"Bajo",IF(KYA41&lt;=35,"Medio",IF(KYA41&lt;=80,"Alto","Inviable Sanitariamente"))))</f>
        <v>Inviable Sanitariamente</v>
      </c>
      <c r="KYN41" s="117">
        <v>97.9</v>
      </c>
      <c r="KYP41" s="117">
        <f>AVERAGE(KYD41:KYO41)</f>
        <v>97.9</v>
      </c>
      <c r="KYQ41" s="117" t="str">
        <f>IF(KYP41&lt;5,"SI","NO")</f>
        <v>NO</v>
      </c>
      <c r="KYR41" s="117" t="str">
        <f>IF(KYP41&lt;5,"Sin Riesgo",IF(KYP41 &lt;=14,"Bajo",IF(KYP41&lt;=35,"Medio",IF(KYP41&lt;=80,"Alto","Inviable Sanitariamente"))))</f>
        <v>Inviable Sanitariamente</v>
      </c>
      <c r="KZC41" s="117">
        <v>97.9</v>
      </c>
      <c r="KZE41" s="117">
        <f>AVERAGE(KYS41:KZD41)</f>
        <v>97.9</v>
      </c>
      <c r="KZF41" s="117" t="str">
        <f>IF(KZE41&lt;5,"SI","NO")</f>
        <v>NO</v>
      </c>
      <c r="KZG41" s="117" t="str">
        <f>IF(KZE41&lt;5,"Sin Riesgo",IF(KZE41 &lt;=14,"Bajo",IF(KZE41&lt;=35,"Medio",IF(KZE41&lt;=80,"Alto","Inviable Sanitariamente"))))</f>
        <v>Inviable Sanitariamente</v>
      </c>
      <c r="KZR41" s="117">
        <v>97.9</v>
      </c>
      <c r="KZT41" s="117">
        <f>AVERAGE(KZH41:KZS41)</f>
        <v>97.9</v>
      </c>
      <c r="KZU41" s="117" t="str">
        <f>IF(KZT41&lt;5,"SI","NO")</f>
        <v>NO</v>
      </c>
      <c r="KZV41" s="117" t="str">
        <f>IF(KZT41&lt;5,"Sin Riesgo",IF(KZT41 &lt;=14,"Bajo",IF(KZT41&lt;=35,"Medio",IF(KZT41&lt;=80,"Alto","Inviable Sanitariamente"))))</f>
        <v>Inviable Sanitariamente</v>
      </c>
      <c r="LAG41" s="117">
        <v>97.9</v>
      </c>
      <c r="LAI41" s="117">
        <f>AVERAGE(KZW41:LAH41)</f>
        <v>97.9</v>
      </c>
      <c r="LAJ41" s="117" t="str">
        <f>IF(LAI41&lt;5,"SI","NO")</f>
        <v>NO</v>
      </c>
      <c r="LAK41" s="117" t="str">
        <f>IF(LAI41&lt;5,"Sin Riesgo",IF(LAI41 &lt;=14,"Bajo",IF(LAI41&lt;=35,"Medio",IF(LAI41&lt;=80,"Alto","Inviable Sanitariamente"))))</f>
        <v>Inviable Sanitariamente</v>
      </c>
      <c r="LAV41" s="117">
        <v>97.9</v>
      </c>
      <c r="LAX41" s="117">
        <f>AVERAGE(LAL41:LAW41)</f>
        <v>97.9</v>
      </c>
      <c r="LAY41" s="117" t="str">
        <f>IF(LAX41&lt;5,"SI","NO")</f>
        <v>NO</v>
      </c>
      <c r="LAZ41" s="117" t="str">
        <f>IF(LAX41&lt;5,"Sin Riesgo",IF(LAX41 &lt;=14,"Bajo",IF(LAX41&lt;=35,"Medio",IF(LAX41&lt;=80,"Alto","Inviable Sanitariamente"))))</f>
        <v>Inviable Sanitariamente</v>
      </c>
      <c r="LBK41" s="117">
        <v>97.9</v>
      </c>
      <c r="LBM41" s="117">
        <f>AVERAGE(LBA41:LBL41)</f>
        <v>97.9</v>
      </c>
      <c r="LBN41" s="117" t="str">
        <f>IF(LBM41&lt;5,"SI","NO")</f>
        <v>NO</v>
      </c>
      <c r="LBO41" s="117" t="str">
        <f>IF(LBM41&lt;5,"Sin Riesgo",IF(LBM41 &lt;=14,"Bajo",IF(LBM41&lt;=35,"Medio",IF(LBM41&lt;=80,"Alto","Inviable Sanitariamente"))))</f>
        <v>Inviable Sanitariamente</v>
      </c>
      <c r="LBZ41" s="117">
        <v>97.9</v>
      </c>
      <c r="LCB41" s="117">
        <f>AVERAGE(LBP41:LCA41)</f>
        <v>97.9</v>
      </c>
      <c r="LCC41" s="117" t="str">
        <f>IF(LCB41&lt;5,"SI","NO")</f>
        <v>NO</v>
      </c>
      <c r="LCD41" s="117" t="str">
        <f>IF(LCB41&lt;5,"Sin Riesgo",IF(LCB41 &lt;=14,"Bajo",IF(LCB41&lt;=35,"Medio",IF(LCB41&lt;=80,"Alto","Inviable Sanitariamente"))))</f>
        <v>Inviable Sanitariamente</v>
      </c>
      <c r="LCO41" s="117">
        <v>97.9</v>
      </c>
      <c r="LCQ41" s="117">
        <f>AVERAGE(LCE41:LCP41)</f>
        <v>97.9</v>
      </c>
      <c r="LCR41" s="117" t="str">
        <f>IF(LCQ41&lt;5,"SI","NO")</f>
        <v>NO</v>
      </c>
      <c r="LCS41" s="117" t="str">
        <f>IF(LCQ41&lt;5,"Sin Riesgo",IF(LCQ41 &lt;=14,"Bajo",IF(LCQ41&lt;=35,"Medio",IF(LCQ41&lt;=80,"Alto","Inviable Sanitariamente"))))</f>
        <v>Inviable Sanitariamente</v>
      </c>
      <c r="LDD41" s="117">
        <v>97.9</v>
      </c>
      <c r="LDF41" s="117">
        <f>AVERAGE(LCT41:LDE41)</f>
        <v>97.9</v>
      </c>
      <c r="LDG41" s="117" t="str">
        <f>IF(LDF41&lt;5,"SI","NO")</f>
        <v>NO</v>
      </c>
      <c r="LDH41" s="117" t="str">
        <f>IF(LDF41&lt;5,"Sin Riesgo",IF(LDF41 &lt;=14,"Bajo",IF(LDF41&lt;=35,"Medio",IF(LDF41&lt;=80,"Alto","Inviable Sanitariamente"))))</f>
        <v>Inviable Sanitariamente</v>
      </c>
      <c r="LDS41" s="117">
        <v>97.9</v>
      </c>
      <c r="LDU41" s="117">
        <f>AVERAGE(LDI41:LDT41)</f>
        <v>97.9</v>
      </c>
      <c r="LDV41" s="117" t="str">
        <f>IF(LDU41&lt;5,"SI","NO")</f>
        <v>NO</v>
      </c>
      <c r="LDW41" s="117" t="str">
        <f>IF(LDU41&lt;5,"Sin Riesgo",IF(LDU41 &lt;=14,"Bajo",IF(LDU41&lt;=35,"Medio",IF(LDU41&lt;=80,"Alto","Inviable Sanitariamente"))))</f>
        <v>Inviable Sanitariamente</v>
      </c>
      <c r="LEH41" s="117">
        <v>97.9</v>
      </c>
      <c r="LEJ41" s="117">
        <f>AVERAGE(LDX41:LEI41)</f>
        <v>97.9</v>
      </c>
      <c r="LEK41" s="117" t="str">
        <f>IF(LEJ41&lt;5,"SI","NO")</f>
        <v>NO</v>
      </c>
      <c r="LEL41" s="117" t="str">
        <f>IF(LEJ41&lt;5,"Sin Riesgo",IF(LEJ41 &lt;=14,"Bajo",IF(LEJ41&lt;=35,"Medio",IF(LEJ41&lt;=80,"Alto","Inviable Sanitariamente"))))</f>
        <v>Inviable Sanitariamente</v>
      </c>
      <c r="LEW41" s="117">
        <v>97.9</v>
      </c>
      <c r="LEY41" s="117">
        <f>AVERAGE(LEM41:LEX41)</f>
        <v>97.9</v>
      </c>
      <c r="LEZ41" s="117" t="str">
        <f>IF(LEY41&lt;5,"SI","NO")</f>
        <v>NO</v>
      </c>
      <c r="LFA41" s="117" t="str">
        <f>IF(LEY41&lt;5,"Sin Riesgo",IF(LEY41 &lt;=14,"Bajo",IF(LEY41&lt;=35,"Medio",IF(LEY41&lt;=80,"Alto","Inviable Sanitariamente"))))</f>
        <v>Inviable Sanitariamente</v>
      </c>
      <c r="LFL41" s="117">
        <v>97.9</v>
      </c>
      <c r="LFN41" s="117">
        <f>AVERAGE(LFB41:LFM41)</f>
        <v>97.9</v>
      </c>
      <c r="LFO41" s="117" t="str">
        <f>IF(LFN41&lt;5,"SI","NO")</f>
        <v>NO</v>
      </c>
      <c r="LFP41" s="117" t="str">
        <f>IF(LFN41&lt;5,"Sin Riesgo",IF(LFN41 &lt;=14,"Bajo",IF(LFN41&lt;=35,"Medio",IF(LFN41&lt;=80,"Alto","Inviable Sanitariamente"))))</f>
        <v>Inviable Sanitariamente</v>
      </c>
      <c r="LGA41" s="117">
        <v>97.9</v>
      </c>
      <c r="LGC41" s="117">
        <f>AVERAGE(LFQ41:LGB41)</f>
        <v>97.9</v>
      </c>
      <c r="LGD41" s="117" t="str">
        <f>IF(LGC41&lt;5,"SI","NO")</f>
        <v>NO</v>
      </c>
      <c r="LGE41" s="117" t="str">
        <f>IF(LGC41&lt;5,"Sin Riesgo",IF(LGC41 &lt;=14,"Bajo",IF(LGC41&lt;=35,"Medio",IF(LGC41&lt;=80,"Alto","Inviable Sanitariamente"))))</f>
        <v>Inviable Sanitariamente</v>
      </c>
      <c r="LGP41" s="117">
        <v>97.9</v>
      </c>
      <c r="LGR41" s="117">
        <f>AVERAGE(LGF41:LGQ41)</f>
        <v>97.9</v>
      </c>
      <c r="LGS41" s="117" t="str">
        <f>IF(LGR41&lt;5,"SI","NO")</f>
        <v>NO</v>
      </c>
      <c r="LGT41" s="117" t="str">
        <f>IF(LGR41&lt;5,"Sin Riesgo",IF(LGR41 &lt;=14,"Bajo",IF(LGR41&lt;=35,"Medio",IF(LGR41&lt;=80,"Alto","Inviable Sanitariamente"))))</f>
        <v>Inviable Sanitariamente</v>
      </c>
      <c r="LHE41" s="117">
        <v>97.9</v>
      </c>
      <c r="LHG41" s="117">
        <f>AVERAGE(LGU41:LHF41)</f>
        <v>97.9</v>
      </c>
      <c r="LHH41" s="117" t="str">
        <f>IF(LHG41&lt;5,"SI","NO")</f>
        <v>NO</v>
      </c>
      <c r="LHI41" s="117" t="str">
        <f>IF(LHG41&lt;5,"Sin Riesgo",IF(LHG41 &lt;=14,"Bajo",IF(LHG41&lt;=35,"Medio",IF(LHG41&lt;=80,"Alto","Inviable Sanitariamente"))))</f>
        <v>Inviable Sanitariamente</v>
      </c>
      <c r="LHT41" s="117">
        <v>97.9</v>
      </c>
      <c r="LHV41" s="117">
        <f>AVERAGE(LHJ41:LHU41)</f>
        <v>97.9</v>
      </c>
      <c r="LHW41" s="117" t="str">
        <f>IF(LHV41&lt;5,"SI","NO")</f>
        <v>NO</v>
      </c>
      <c r="LHX41" s="117" t="str">
        <f>IF(LHV41&lt;5,"Sin Riesgo",IF(LHV41 &lt;=14,"Bajo",IF(LHV41&lt;=35,"Medio",IF(LHV41&lt;=80,"Alto","Inviable Sanitariamente"))))</f>
        <v>Inviable Sanitariamente</v>
      </c>
      <c r="LII41" s="117">
        <v>97.9</v>
      </c>
      <c r="LIK41" s="117">
        <f>AVERAGE(LHY41:LIJ41)</f>
        <v>97.9</v>
      </c>
      <c r="LIL41" s="117" t="str">
        <f>IF(LIK41&lt;5,"SI","NO")</f>
        <v>NO</v>
      </c>
      <c r="LIM41" s="117" t="str">
        <f>IF(LIK41&lt;5,"Sin Riesgo",IF(LIK41 &lt;=14,"Bajo",IF(LIK41&lt;=35,"Medio",IF(LIK41&lt;=80,"Alto","Inviable Sanitariamente"))))</f>
        <v>Inviable Sanitariamente</v>
      </c>
      <c r="LIX41" s="117">
        <v>97.9</v>
      </c>
      <c r="LIZ41" s="117">
        <f>AVERAGE(LIN41:LIY41)</f>
        <v>97.9</v>
      </c>
      <c r="LJA41" s="117" t="str">
        <f>IF(LIZ41&lt;5,"SI","NO")</f>
        <v>NO</v>
      </c>
      <c r="LJB41" s="117" t="str">
        <f>IF(LIZ41&lt;5,"Sin Riesgo",IF(LIZ41 &lt;=14,"Bajo",IF(LIZ41&lt;=35,"Medio",IF(LIZ41&lt;=80,"Alto","Inviable Sanitariamente"))))</f>
        <v>Inviable Sanitariamente</v>
      </c>
      <c r="LJM41" s="117">
        <v>97.9</v>
      </c>
      <c r="LJO41" s="117">
        <f>AVERAGE(LJC41:LJN41)</f>
        <v>97.9</v>
      </c>
      <c r="LJP41" s="117" t="str">
        <f>IF(LJO41&lt;5,"SI","NO")</f>
        <v>NO</v>
      </c>
      <c r="LJQ41" s="117" t="str">
        <f>IF(LJO41&lt;5,"Sin Riesgo",IF(LJO41 &lt;=14,"Bajo",IF(LJO41&lt;=35,"Medio",IF(LJO41&lt;=80,"Alto","Inviable Sanitariamente"))))</f>
        <v>Inviable Sanitariamente</v>
      </c>
      <c r="LKB41" s="117">
        <v>97.9</v>
      </c>
      <c r="LKD41" s="117">
        <f>AVERAGE(LJR41:LKC41)</f>
        <v>97.9</v>
      </c>
      <c r="LKE41" s="117" t="str">
        <f>IF(LKD41&lt;5,"SI","NO")</f>
        <v>NO</v>
      </c>
      <c r="LKF41" s="117" t="str">
        <f>IF(LKD41&lt;5,"Sin Riesgo",IF(LKD41 &lt;=14,"Bajo",IF(LKD41&lt;=35,"Medio",IF(LKD41&lt;=80,"Alto","Inviable Sanitariamente"))))</f>
        <v>Inviable Sanitariamente</v>
      </c>
      <c r="LKQ41" s="117">
        <v>97.9</v>
      </c>
      <c r="LKS41" s="117">
        <f>AVERAGE(LKG41:LKR41)</f>
        <v>97.9</v>
      </c>
      <c r="LKT41" s="117" t="str">
        <f>IF(LKS41&lt;5,"SI","NO")</f>
        <v>NO</v>
      </c>
      <c r="LKU41" s="117" t="str">
        <f>IF(LKS41&lt;5,"Sin Riesgo",IF(LKS41 &lt;=14,"Bajo",IF(LKS41&lt;=35,"Medio",IF(LKS41&lt;=80,"Alto","Inviable Sanitariamente"))))</f>
        <v>Inviable Sanitariamente</v>
      </c>
      <c r="LLF41" s="117">
        <v>97.9</v>
      </c>
      <c r="LLH41" s="117">
        <f>AVERAGE(LKV41:LLG41)</f>
        <v>97.9</v>
      </c>
      <c r="LLI41" s="117" t="str">
        <f>IF(LLH41&lt;5,"SI","NO")</f>
        <v>NO</v>
      </c>
      <c r="LLJ41" s="117" t="str">
        <f>IF(LLH41&lt;5,"Sin Riesgo",IF(LLH41 &lt;=14,"Bajo",IF(LLH41&lt;=35,"Medio",IF(LLH41&lt;=80,"Alto","Inviable Sanitariamente"))))</f>
        <v>Inviable Sanitariamente</v>
      </c>
      <c r="LLU41" s="117">
        <v>97.9</v>
      </c>
      <c r="LLW41" s="117">
        <f>AVERAGE(LLK41:LLV41)</f>
        <v>97.9</v>
      </c>
      <c r="LLX41" s="117" t="str">
        <f>IF(LLW41&lt;5,"SI","NO")</f>
        <v>NO</v>
      </c>
      <c r="LLY41" s="117" t="str">
        <f>IF(LLW41&lt;5,"Sin Riesgo",IF(LLW41 &lt;=14,"Bajo",IF(LLW41&lt;=35,"Medio",IF(LLW41&lt;=80,"Alto","Inviable Sanitariamente"))))</f>
        <v>Inviable Sanitariamente</v>
      </c>
      <c r="LMJ41" s="117">
        <v>97.9</v>
      </c>
      <c r="LML41" s="117">
        <f>AVERAGE(LLZ41:LMK41)</f>
        <v>97.9</v>
      </c>
      <c r="LMM41" s="117" t="str">
        <f>IF(LML41&lt;5,"SI","NO")</f>
        <v>NO</v>
      </c>
      <c r="LMN41" s="117" t="str">
        <f>IF(LML41&lt;5,"Sin Riesgo",IF(LML41 &lt;=14,"Bajo",IF(LML41&lt;=35,"Medio",IF(LML41&lt;=80,"Alto","Inviable Sanitariamente"))))</f>
        <v>Inviable Sanitariamente</v>
      </c>
      <c r="LMY41" s="117">
        <v>97.9</v>
      </c>
      <c r="LNA41" s="117">
        <f>AVERAGE(LMO41:LMZ41)</f>
        <v>97.9</v>
      </c>
      <c r="LNB41" s="117" t="str">
        <f>IF(LNA41&lt;5,"SI","NO")</f>
        <v>NO</v>
      </c>
      <c r="LNC41" s="117" t="str">
        <f>IF(LNA41&lt;5,"Sin Riesgo",IF(LNA41 &lt;=14,"Bajo",IF(LNA41&lt;=35,"Medio",IF(LNA41&lt;=80,"Alto","Inviable Sanitariamente"))))</f>
        <v>Inviable Sanitariamente</v>
      </c>
      <c r="LNN41" s="117">
        <v>97.9</v>
      </c>
      <c r="LNP41" s="117">
        <f>AVERAGE(LND41:LNO41)</f>
        <v>97.9</v>
      </c>
      <c r="LNQ41" s="117" t="str">
        <f>IF(LNP41&lt;5,"SI","NO")</f>
        <v>NO</v>
      </c>
      <c r="LNR41" s="117" t="str">
        <f>IF(LNP41&lt;5,"Sin Riesgo",IF(LNP41 &lt;=14,"Bajo",IF(LNP41&lt;=35,"Medio",IF(LNP41&lt;=80,"Alto","Inviable Sanitariamente"))))</f>
        <v>Inviable Sanitariamente</v>
      </c>
      <c r="LOC41" s="117">
        <v>97.9</v>
      </c>
      <c r="LOE41" s="117">
        <f>AVERAGE(LNS41:LOD41)</f>
        <v>97.9</v>
      </c>
      <c r="LOF41" s="117" t="str">
        <f>IF(LOE41&lt;5,"SI","NO")</f>
        <v>NO</v>
      </c>
      <c r="LOG41" s="117" t="str">
        <f>IF(LOE41&lt;5,"Sin Riesgo",IF(LOE41 &lt;=14,"Bajo",IF(LOE41&lt;=35,"Medio",IF(LOE41&lt;=80,"Alto","Inviable Sanitariamente"))))</f>
        <v>Inviable Sanitariamente</v>
      </c>
      <c r="LOR41" s="117">
        <v>97.9</v>
      </c>
      <c r="LOT41" s="117">
        <f>AVERAGE(LOH41:LOS41)</f>
        <v>97.9</v>
      </c>
      <c r="LOU41" s="117" t="str">
        <f>IF(LOT41&lt;5,"SI","NO")</f>
        <v>NO</v>
      </c>
      <c r="LOV41" s="117" t="str">
        <f>IF(LOT41&lt;5,"Sin Riesgo",IF(LOT41 &lt;=14,"Bajo",IF(LOT41&lt;=35,"Medio",IF(LOT41&lt;=80,"Alto","Inviable Sanitariamente"))))</f>
        <v>Inviable Sanitariamente</v>
      </c>
      <c r="LPG41" s="117">
        <v>97.9</v>
      </c>
      <c r="LPI41" s="117">
        <f>AVERAGE(LOW41:LPH41)</f>
        <v>97.9</v>
      </c>
      <c r="LPJ41" s="117" t="str">
        <f>IF(LPI41&lt;5,"SI","NO")</f>
        <v>NO</v>
      </c>
      <c r="LPK41" s="117" t="str">
        <f>IF(LPI41&lt;5,"Sin Riesgo",IF(LPI41 &lt;=14,"Bajo",IF(LPI41&lt;=35,"Medio",IF(LPI41&lt;=80,"Alto","Inviable Sanitariamente"))))</f>
        <v>Inviable Sanitariamente</v>
      </c>
      <c r="LPV41" s="117">
        <v>97.9</v>
      </c>
      <c r="LPX41" s="117">
        <f>AVERAGE(LPL41:LPW41)</f>
        <v>97.9</v>
      </c>
      <c r="LPY41" s="117" t="str">
        <f>IF(LPX41&lt;5,"SI","NO")</f>
        <v>NO</v>
      </c>
      <c r="LPZ41" s="117" t="str">
        <f>IF(LPX41&lt;5,"Sin Riesgo",IF(LPX41 &lt;=14,"Bajo",IF(LPX41&lt;=35,"Medio",IF(LPX41&lt;=80,"Alto","Inviable Sanitariamente"))))</f>
        <v>Inviable Sanitariamente</v>
      </c>
      <c r="LQK41" s="117">
        <v>97.9</v>
      </c>
      <c r="LQM41" s="117">
        <f>AVERAGE(LQA41:LQL41)</f>
        <v>97.9</v>
      </c>
      <c r="LQN41" s="117" t="str">
        <f>IF(LQM41&lt;5,"SI","NO")</f>
        <v>NO</v>
      </c>
      <c r="LQO41" s="117" t="str">
        <f>IF(LQM41&lt;5,"Sin Riesgo",IF(LQM41 &lt;=14,"Bajo",IF(LQM41&lt;=35,"Medio",IF(LQM41&lt;=80,"Alto","Inviable Sanitariamente"))))</f>
        <v>Inviable Sanitariamente</v>
      </c>
      <c r="LQZ41" s="117">
        <v>97.9</v>
      </c>
      <c r="LRB41" s="117">
        <f>AVERAGE(LQP41:LRA41)</f>
        <v>97.9</v>
      </c>
      <c r="LRC41" s="117" t="str">
        <f>IF(LRB41&lt;5,"SI","NO")</f>
        <v>NO</v>
      </c>
      <c r="LRD41" s="117" t="str">
        <f>IF(LRB41&lt;5,"Sin Riesgo",IF(LRB41 &lt;=14,"Bajo",IF(LRB41&lt;=35,"Medio",IF(LRB41&lt;=80,"Alto","Inviable Sanitariamente"))))</f>
        <v>Inviable Sanitariamente</v>
      </c>
      <c r="LRO41" s="117">
        <v>97.9</v>
      </c>
      <c r="LRQ41" s="117">
        <f>AVERAGE(LRE41:LRP41)</f>
        <v>97.9</v>
      </c>
      <c r="LRR41" s="117" t="str">
        <f>IF(LRQ41&lt;5,"SI","NO")</f>
        <v>NO</v>
      </c>
      <c r="LRS41" s="117" t="str">
        <f>IF(LRQ41&lt;5,"Sin Riesgo",IF(LRQ41 &lt;=14,"Bajo",IF(LRQ41&lt;=35,"Medio",IF(LRQ41&lt;=80,"Alto","Inviable Sanitariamente"))))</f>
        <v>Inviable Sanitariamente</v>
      </c>
      <c r="LSD41" s="117">
        <v>97.9</v>
      </c>
      <c r="LSF41" s="117">
        <f>AVERAGE(LRT41:LSE41)</f>
        <v>97.9</v>
      </c>
      <c r="LSG41" s="117" t="str">
        <f>IF(LSF41&lt;5,"SI","NO")</f>
        <v>NO</v>
      </c>
      <c r="LSH41" s="117" t="str">
        <f>IF(LSF41&lt;5,"Sin Riesgo",IF(LSF41 &lt;=14,"Bajo",IF(LSF41&lt;=35,"Medio",IF(LSF41&lt;=80,"Alto","Inviable Sanitariamente"))))</f>
        <v>Inviable Sanitariamente</v>
      </c>
      <c r="LSS41" s="117">
        <v>97.9</v>
      </c>
      <c r="LSU41" s="117">
        <f>AVERAGE(LSI41:LST41)</f>
        <v>97.9</v>
      </c>
      <c r="LSV41" s="117" t="str">
        <f>IF(LSU41&lt;5,"SI","NO")</f>
        <v>NO</v>
      </c>
      <c r="LSW41" s="117" t="str">
        <f>IF(LSU41&lt;5,"Sin Riesgo",IF(LSU41 &lt;=14,"Bajo",IF(LSU41&lt;=35,"Medio",IF(LSU41&lt;=80,"Alto","Inviable Sanitariamente"))))</f>
        <v>Inviable Sanitariamente</v>
      </c>
      <c r="LTH41" s="117">
        <v>97.9</v>
      </c>
      <c r="LTJ41" s="117">
        <f>AVERAGE(LSX41:LTI41)</f>
        <v>97.9</v>
      </c>
      <c r="LTK41" s="117" t="str">
        <f>IF(LTJ41&lt;5,"SI","NO")</f>
        <v>NO</v>
      </c>
      <c r="LTL41" s="117" t="str">
        <f>IF(LTJ41&lt;5,"Sin Riesgo",IF(LTJ41 &lt;=14,"Bajo",IF(LTJ41&lt;=35,"Medio",IF(LTJ41&lt;=80,"Alto","Inviable Sanitariamente"))))</f>
        <v>Inviable Sanitariamente</v>
      </c>
      <c r="LTW41" s="117">
        <v>97.9</v>
      </c>
      <c r="LTY41" s="117">
        <f>AVERAGE(LTM41:LTX41)</f>
        <v>97.9</v>
      </c>
      <c r="LTZ41" s="117" t="str">
        <f>IF(LTY41&lt;5,"SI","NO")</f>
        <v>NO</v>
      </c>
      <c r="LUA41" s="117" t="str">
        <f>IF(LTY41&lt;5,"Sin Riesgo",IF(LTY41 &lt;=14,"Bajo",IF(LTY41&lt;=35,"Medio",IF(LTY41&lt;=80,"Alto","Inviable Sanitariamente"))))</f>
        <v>Inviable Sanitariamente</v>
      </c>
      <c r="LUL41" s="117">
        <v>97.9</v>
      </c>
      <c r="LUN41" s="117">
        <f>AVERAGE(LUB41:LUM41)</f>
        <v>97.9</v>
      </c>
      <c r="LUO41" s="117" t="str">
        <f>IF(LUN41&lt;5,"SI","NO")</f>
        <v>NO</v>
      </c>
      <c r="LUP41" s="117" t="str">
        <f>IF(LUN41&lt;5,"Sin Riesgo",IF(LUN41 &lt;=14,"Bajo",IF(LUN41&lt;=35,"Medio",IF(LUN41&lt;=80,"Alto","Inviable Sanitariamente"))))</f>
        <v>Inviable Sanitariamente</v>
      </c>
      <c r="LVA41" s="117">
        <v>97.9</v>
      </c>
      <c r="LVC41" s="117">
        <f>AVERAGE(LUQ41:LVB41)</f>
        <v>97.9</v>
      </c>
      <c r="LVD41" s="117" t="str">
        <f>IF(LVC41&lt;5,"SI","NO")</f>
        <v>NO</v>
      </c>
      <c r="LVE41" s="117" t="str">
        <f>IF(LVC41&lt;5,"Sin Riesgo",IF(LVC41 &lt;=14,"Bajo",IF(LVC41&lt;=35,"Medio",IF(LVC41&lt;=80,"Alto","Inviable Sanitariamente"))))</f>
        <v>Inviable Sanitariamente</v>
      </c>
      <c r="LVP41" s="117">
        <v>97.9</v>
      </c>
      <c r="LVR41" s="117">
        <f>AVERAGE(LVF41:LVQ41)</f>
        <v>97.9</v>
      </c>
      <c r="LVS41" s="117" t="str">
        <f>IF(LVR41&lt;5,"SI","NO")</f>
        <v>NO</v>
      </c>
      <c r="LVT41" s="117" t="str">
        <f>IF(LVR41&lt;5,"Sin Riesgo",IF(LVR41 &lt;=14,"Bajo",IF(LVR41&lt;=35,"Medio",IF(LVR41&lt;=80,"Alto","Inviable Sanitariamente"))))</f>
        <v>Inviable Sanitariamente</v>
      </c>
      <c r="LWE41" s="117">
        <v>97.9</v>
      </c>
      <c r="LWG41" s="117">
        <f>AVERAGE(LVU41:LWF41)</f>
        <v>97.9</v>
      </c>
      <c r="LWH41" s="117" t="str">
        <f>IF(LWG41&lt;5,"SI","NO")</f>
        <v>NO</v>
      </c>
      <c r="LWI41" s="117" t="str">
        <f>IF(LWG41&lt;5,"Sin Riesgo",IF(LWG41 &lt;=14,"Bajo",IF(LWG41&lt;=35,"Medio",IF(LWG41&lt;=80,"Alto","Inviable Sanitariamente"))))</f>
        <v>Inviable Sanitariamente</v>
      </c>
      <c r="LWT41" s="117">
        <v>97.9</v>
      </c>
      <c r="LWV41" s="117">
        <f>AVERAGE(LWJ41:LWU41)</f>
        <v>97.9</v>
      </c>
      <c r="LWW41" s="117" t="str">
        <f>IF(LWV41&lt;5,"SI","NO")</f>
        <v>NO</v>
      </c>
      <c r="LWX41" s="117" t="str">
        <f>IF(LWV41&lt;5,"Sin Riesgo",IF(LWV41 &lt;=14,"Bajo",IF(LWV41&lt;=35,"Medio",IF(LWV41&lt;=80,"Alto","Inviable Sanitariamente"))))</f>
        <v>Inviable Sanitariamente</v>
      </c>
      <c r="LXI41" s="117">
        <v>97.9</v>
      </c>
      <c r="LXK41" s="117">
        <f>AVERAGE(LWY41:LXJ41)</f>
        <v>97.9</v>
      </c>
      <c r="LXL41" s="117" t="str">
        <f>IF(LXK41&lt;5,"SI","NO")</f>
        <v>NO</v>
      </c>
      <c r="LXM41" s="117" t="str">
        <f>IF(LXK41&lt;5,"Sin Riesgo",IF(LXK41 &lt;=14,"Bajo",IF(LXK41&lt;=35,"Medio",IF(LXK41&lt;=80,"Alto","Inviable Sanitariamente"))))</f>
        <v>Inviable Sanitariamente</v>
      </c>
      <c r="LXX41" s="117">
        <v>97.9</v>
      </c>
      <c r="LXZ41" s="117">
        <f>AVERAGE(LXN41:LXY41)</f>
        <v>97.9</v>
      </c>
      <c r="LYA41" s="117" t="str">
        <f>IF(LXZ41&lt;5,"SI","NO")</f>
        <v>NO</v>
      </c>
      <c r="LYB41" s="117" t="str">
        <f>IF(LXZ41&lt;5,"Sin Riesgo",IF(LXZ41 &lt;=14,"Bajo",IF(LXZ41&lt;=35,"Medio",IF(LXZ41&lt;=80,"Alto","Inviable Sanitariamente"))))</f>
        <v>Inviable Sanitariamente</v>
      </c>
      <c r="LYM41" s="117">
        <v>97.9</v>
      </c>
      <c r="LYO41" s="117">
        <f>AVERAGE(LYC41:LYN41)</f>
        <v>97.9</v>
      </c>
      <c r="LYP41" s="117" t="str">
        <f>IF(LYO41&lt;5,"SI","NO")</f>
        <v>NO</v>
      </c>
      <c r="LYQ41" s="117" t="str">
        <f>IF(LYO41&lt;5,"Sin Riesgo",IF(LYO41 &lt;=14,"Bajo",IF(LYO41&lt;=35,"Medio",IF(LYO41&lt;=80,"Alto","Inviable Sanitariamente"))))</f>
        <v>Inviable Sanitariamente</v>
      </c>
      <c r="LZB41" s="117">
        <v>97.9</v>
      </c>
      <c r="LZD41" s="117">
        <f>AVERAGE(LYR41:LZC41)</f>
        <v>97.9</v>
      </c>
      <c r="LZE41" s="117" t="str">
        <f>IF(LZD41&lt;5,"SI","NO")</f>
        <v>NO</v>
      </c>
      <c r="LZF41" s="117" t="str">
        <f>IF(LZD41&lt;5,"Sin Riesgo",IF(LZD41 &lt;=14,"Bajo",IF(LZD41&lt;=35,"Medio",IF(LZD41&lt;=80,"Alto","Inviable Sanitariamente"))))</f>
        <v>Inviable Sanitariamente</v>
      </c>
      <c r="LZQ41" s="117">
        <v>97.9</v>
      </c>
      <c r="LZS41" s="117">
        <f>AVERAGE(LZG41:LZR41)</f>
        <v>97.9</v>
      </c>
      <c r="LZT41" s="117" t="str">
        <f>IF(LZS41&lt;5,"SI","NO")</f>
        <v>NO</v>
      </c>
      <c r="LZU41" s="117" t="str">
        <f>IF(LZS41&lt;5,"Sin Riesgo",IF(LZS41 &lt;=14,"Bajo",IF(LZS41&lt;=35,"Medio",IF(LZS41&lt;=80,"Alto","Inviable Sanitariamente"))))</f>
        <v>Inviable Sanitariamente</v>
      </c>
      <c r="MAF41" s="117">
        <v>97.9</v>
      </c>
      <c r="MAH41" s="117">
        <f>AVERAGE(LZV41:MAG41)</f>
        <v>97.9</v>
      </c>
      <c r="MAI41" s="117" t="str">
        <f>IF(MAH41&lt;5,"SI","NO")</f>
        <v>NO</v>
      </c>
      <c r="MAJ41" s="117" t="str">
        <f>IF(MAH41&lt;5,"Sin Riesgo",IF(MAH41 &lt;=14,"Bajo",IF(MAH41&lt;=35,"Medio",IF(MAH41&lt;=80,"Alto","Inviable Sanitariamente"))))</f>
        <v>Inviable Sanitariamente</v>
      </c>
      <c r="MAU41" s="117">
        <v>97.9</v>
      </c>
      <c r="MAW41" s="117">
        <f>AVERAGE(MAK41:MAV41)</f>
        <v>97.9</v>
      </c>
      <c r="MAX41" s="117" t="str">
        <f>IF(MAW41&lt;5,"SI","NO")</f>
        <v>NO</v>
      </c>
      <c r="MAY41" s="117" t="str">
        <f>IF(MAW41&lt;5,"Sin Riesgo",IF(MAW41 &lt;=14,"Bajo",IF(MAW41&lt;=35,"Medio",IF(MAW41&lt;=80,"Alto","Inviable Sanitariamente"))))</f>
        <v>Inviable Sanitariamente</v>
      </c>
      <c r="MBJ41" s="117">
        <v>97.9</v>
      </c>
      <c r="MBL41" s="117">
        <f>AVERAGE(MAZ41:MBK41)</f>
        <v>97.9</v>
      </c>
      <c r="MBM41" s="117" t="str">
        <f>IF(MBL41&lt;5,"SI","NO")</f>
        <v>NO</v>
      </c>
      <c r="MBN41" s="117" t="str">
        <f>IF(MBL41&lt;5,"Sin Riesgo",IF(MBL41 &lt;=14,"Bajo",IF(MBL41&lt;=35,"Medio",IF(MBL41&lt;=80,"Alto","Inviable Sanitariamente"))))</f>
        <v>Inviable Sanitariamente</v>
      </c>
      <c r="MBY41" s="117">
        <v>97.9</v>
      </c>
      <c r="MCA41" s="117">
        <f>AVERAGE(MBO41:MBZ41)</f>
        <v>97.9</v>
      </c>
      <c r="MCB41" s="117" t="str">
        <f>IF(MCA41&lt;5,"SI","NO")</f>
        <v>NO</v>
      </c>
      <c r="MCC41" s="117" t="str">
        <f>IF(MCA41&lt;5,"Sin Riesgo",IF(MCA41 &lt;=14,"Bajo",IF(MCA41&lt;=35,"Medio",IF(MCA41&lt;=80,"Alto","Inviable Sanitariamente"))))</f>
        <v>Inviable Sanitariamente</v>
      </c>
      <c r="MCN41" s="117">
        <v>97.9</v>
      </c>
      <c r="MCP41" s="117">
        <f>AVERAGE(MCD41:MCO41)</f>
        <v>97.9</v>
      </c>
      <c r="MCQ41" s="117" t="str">
        <f>IF(MCP41&lt;5,"SI","NO")</f>
        <v>NO</v>
      </c>
      <c r="MCR41" s="117" t="str">
        <f>IF(MCP41&lt;5,"Sin Riesgo",IF(MCP41 &lt;=14,"Bajo",IF(MCP41&lt;=35,"Medio",IF(MCP41&lt;=80,"Alto","Inviable Sanitariamente"))))</f>
        <v>Inviable Sanitariamente</v>
      </c>
      <c r="MDC41" s="117">
        <v>97.9</v>
      </c>
      <c r="MDE41" s="117">
        <f>AVERAGE(MCS41:MDD41)</f>
        <v>97.9</v>
      </c>
      <c r="MDF41" s="117" t="str">
        <f>IF(MDE41&lt;5,"SI","NO")</f>
        <v>NO</v>
      </c>
      <c r="MDG41" s="117" t="str">
        <f>IF(MDE41&lt;5,"Sin Riesgo",IF(MDE41 &lt;=14,"Bajo",IF(MDE41&lt;=35,"Medio",IF(MDE41&lt;=80,"Alto","Inviable Sanitariamente"))))</f>
        <v>Inviable Sanitariamente</v>
      </c>
      <c r="MDR41" s="117">
        <v>97.9</v>
      </c>
      <c r="MDT41" s="117">
        <f>AVERAGE(MDH41:MDS41)</f>
        <v>97.9</v>
      </c>
      <c r="MDU41" s="117" t="str">
        <f>IF(MDT41&lt;5,"SI","NO")</f>
        <v>NO</v>
      </c>
      <c r="MDV41" s="117" t="str">
        <f>IF(MDT41&lt;5,"Sin Riesgo",IF(MDT41 &lt;=14,"Bajo",IF(MDT41&lt;=35,"Medio",IF(MDT41&lt;=80,"Alto","Inviable Sanitariamente"))))</f>
        <v>Inviable Sanitariamente</v>
      </c>
      <c r="MEG41" s="117">
        <v>97.9</v>
      </c>
      <c r="MEI41" s="117">
        <f>AVERAGE(MDW41:MEH41)</f>
        <v>97.9</v>
      </c>
      <c r="MEJ41" s="117" t="str">
        <f>IF(MEI41&lt;5,"SI","NO")</f>
        <v>NO</v>
      </c>
      <c r="MEK41" s="117" t="str">
        <f>IF(MEI41&lt;5,"Sin Riesgo",IF(MEI41 &lt;=14,"Bajo",IF(MEI41&lt;=35,"Medio",IF(MEI41&lt;=80,"Alto","Inviable Sanitariamente"))))</f>
        <v>Inviable Sanitariamente</v>
      </c>
      <c r="MEV41" s="117">
        <v>97.9</v>
      </c>
      <c r="MEX41" s="117">
        <f>AVERAGE(MEL41:MEW41)</f>
        <v>97.9</v>
      </c>
      <c r="MEY41" s="117" t="str">
        <f>IF(MEX41&lt;5,"SI","NO")</f>
        <v>NO</v>
      </c>
      <c r="MEZ41" s="117" t="str">
        <f>IF(MEX41&lt;5,"Sin Riesgo",IF(MEX41 &lt;=14,"Bajo",IF(MEX41&lt;=35,"Medio",IF(MEX41&lt;=80,"Alto","Inviable Sanitariamente"))))</f>
        <v>Inviable Sanitariamente</v>
      </c>
      <c r="MFK41" s="117">
        <v>97.9</v>
      </c>
      <c r="MFM41" s="117">
        <f>AVERAGE(MFA41:MFL41)</f>
        <v>97.9</v>
      </c>
      <c r="MFN41" s="117" t="str">
        <f>IF(MFM41&lt;5,"SI","NO")</f>
        <v>NO</v>
      </c>
      <c r="MFO41" s="117" t="str">
        <f>IF(MFM41&lt;5,"Sin Riesgo",IF(MFM41 &lt;=14,"Bajo",IF(MFM41&lt;=35,"Medio",IF(MFM41&lt;=80,"Alto","Inviable Sanitariamente"))))</f>
        <v>Inviable Sanitariamente</v>
      </c>
      <c r="MFZ41" s="117">
        <v>97.9</v>
      </c>
      <c r="MGB41" s="117">
        <f>AVERAGE(MFP41:MGA41)</f>
        <v>97.9</v>
      </c>
      <c r="MGC41" s="117" t="str">
        <f>IF(MGB41&lt;5,"SI","NO")</f>
        <v>NO</v>
      </c>
      <c r="MGD41" s="117" t="str">
        <f>IF(MGB41&lt;5,"Sin Riesgo",IF(MGB41 &lt;=14,"Bajo",IF(MGB41&lt;=35,"Medio",IF(MGB41&lt;=80,"Alto","Inviable Sanitariamente"))))</f>
        <v>Inviable Sanitariamente</v>
      </c>
      <c r="MGO41" s="117">
        <v>97.9</v>
      </c>
      <c r="MGQ41" s="117">
        <f>AVERAGE(MGE41:MGP41)</f>
        <v>97.9</v>
      </c>
      <c r="MGR41" s="117" t="str">
        <f>IF(MGQ41&lt;5,"SI","NO")</f>
        <v>NO</v>
      </c>
      <c r="MGS41" s="117" t="str">
        <f>IF(MGQ41&lt;5,"Sin Riesgo",IF(MGQ41 &lt;=14,"Bajo",IF(MGQ41&lt;=35,"Medio",IF(MGQ41&lt;=80,"Alto","Inviable Sanitariamente"))))</f>
        <v>Inviable Sanitariamente</v>
      </c>
      <c r="MHD41" s="117">
        <v>97.9</v>
      </c>
      <c r="MHF41" s="117">
        <f>AVERAGE(MGT41:MHE41)</f>
        <v>97.9</v>
      </c>
      <c r="MHG41" s="117" t="str">
        <f>IF(MHF41&lt;5,"SI","NO")</f>
        <v>NO</v>
      </c>
      <c r="MHH41" s="117" t="str">
        <f>IF(MHF41&lt;5,"Sin Riesgo",IF(MHF41 &lt;=14,"Bajo",IF(MHF41&lt;=35,"Medio",IF(MHF41&lt;=80,"Alto","Inviable Sanitariamente"))))</f>
        <v>Inviable Sanitariamente</v>
      </c>
      <c r="MHS41" s="117">
        <v>97.9</v>
      </c>
      <c r="MHU41" s="117">
        <f>AVERAGE(MHI41:MHT41)</f>
        <v>97.9</v>
      </c>
      <c r="MHV41" s="117" t="str">
        <f>IF(MHU41&lt;5,"SI","NO")</f>
        <v>NO</v>
      </c>
      <c r="MHW41" s="117" t="str">
        <f>IF(MHU41&lt;5,"Sin Riesgo",IF(MHU41 &lt;=14,"Bajo",IF(MHU41&lt;=35,"Medio",IF(MHU41&lt;=80,"Alto","Inviable Sanitariamente"))))</f>
        <v>Inviable Sanitariamente</v>
      </c>
      <c r="MIH41" s="117">
        <v>97.9</v>
      </c>
      <c r="MIJ41" s="117">
        <f>AVERAGE(MHX41:MII41)</f>
        <v>97.9</v>
      </c>
      <c r="MIK41" s="117" t="str">
        <f>IF(MIJ41&lt;5,"SI","NO")</f>
        <v>NO</v>
      </c>
      <c r="MIL41" s="117" t="str">
        <f>IF(MIJ41&lt;5,"Sin Riesgo",IF(MIJ41 &lt;=14,"Bajo",IF(MIJ41&lt;=35,"Medio",IF(MIJ41&lt;=80,"Alto","Inviable Sanitariamente"))))</f>
        <v>Inviable Sanitariamente</v>
      </c>
      <c r="MIW41" s="117">
        <v>97.9</v>
      </c>
      <c r="MIY41" s="117">
        <f>AVERAGE(MIM41:MIX41)</f>
        <v>97.9</v>
      </c>
      <c r="MIZ41" s="117" t="str">
        <f>IF(MIY41&lt;5,"SI","NO")</f>
        <v>NO</v>
      </c>
      <c r="MJA41" s="117" t="str">
        <f>IF(MIY41&lt;5,"Sin Riesgo",IF(MIY41 &lt;=14,"Bajo",IF(MIY41&lt;=35,"Medio",IF(MIY41&lt;=80,"Alto","Inviable Sanitariamente"))))</f>
        <v>Inviable Sanitariamente</v>
      </c>
      <c r="MJL41" s="117">
        <v>97.9</v>
      </c>
      <c r="MJN41" s="117">
        <f>AVERAGE(MJB41:MJM41)</f>
        <v>97.9</v>
      </c>
      <c r="MJO41" s="117" t="str">
        <f>IF(MJN41&lt;5,"SI","NO")</f>
        <v>NO</v>
      </c>
      <c r="MJP41" s="117" t="str">
        <f>IF(MJN41&lt;5,"Sin Riesgo",IF(MJN41 &lt;=14,"Bajo",IF(MJN41&lt;=35,"Medio",IF(MJN41&lt;=80,"Alto","Inviable Sanitariamente"))))</f>
        <v>Inviable Sanitariamente</v>
      </c>
      <c r="MKA41" s="117">
        <v>97.9</v>
      </c>
      <c r="MKC41" s="117">
        <f>AVERAGE(MJQ41:MKB41)</f>
        <v>97.9</v>
      </c>
      <c r="MKD41" s="117" t="str">
        <f>IF(MKC41&lt;5,"SI","NO")</f>
        <v>NO</v>
      </c>
      <c r="MKE41" s="117" t="str">
        <f>IF(MKC41&lt;5,"Sin Riesgo",IF(MKC41 &lt;=14,"Bajo",IF(MKC41&lt;=35,"Medio",IF(MKC41&lt;=80,"Alto","Inviable Sanitariamente"))))</f>
        <v>Inviable Sanitariamente</v>
      </c>
      <c r="MKP41" s="117">
        <v>97.9</v>
      </c>
      <c r="MKR41" s="117">
        <f>AVERAGE(MKF41:MKQ41)</f>
        <v>97.9</v>
      </c>
      <c r="MKS41" s="117" t="str">
        <f>IF(MKR41&lt;5,"SI","NO")</f>
        <v>NO</v>
      </c>
      <c r="MKT41" s="117" t="str">
        <f>IF(MKR41&lt;5,"Sin Riesgo",IF(MKR41 &lt;=14,"Bajo",IF(MKR41&lt;=35,"Medio",IF(MKR41&lt;=80,"Alto","Inviable Sanitariamente"))))</f>
        <v>Inviable Sanitariamente</v>
      </c>
      <c r="MLE41" s="117">
        <v>97.9</v>
      </c>
      <c r="MLG41" s="117">
        <f>AVERAGE(MKU41:MLF41)</f>
        <v>97.9</v>
      </c>
      <c r="MLH41" s="117" t="str">
        <f>IF(MLG41&lt;5,"SI","NO")</f>
        <v>NO</v>
      </c>
      <c r="MLI41" s="117" t="str">
        <f>IF(MLG41&lt;5,"Sin Riesgo",IF(MLG41 &lt;=14,"Bajo",IF(MLG41&lt;=35,"Medio",IF(MLG41&lt;=80,"Alto","Inviable Sanitariamente"))))</f>
        <v>Inviable Sanitariamente</v>
      </c>
      <c r="MLT41" s="117">
        <v>97.9</v>
      </c>
      <c r="MLV41" s="117">
        <f>AVERAGE(MLJ41:MLU41)</f>
        <v>97.9</v>
      </c>
      <c r="MLW41" s="117" t="str">
        <f>IF(MLV41&lt;5,"SI","NO")</f>
        <v>NO</v>
      </c>
      <c r="MLX41" s="117" t="str">
        <f>IF(MLV41&lt;5,"Sin Riesgo",IF(MLV41 &lt;=14,"Bajo",IF(MLV41&lt;=35,"Medio",IF(MLV41&lt;=80,"Alto","Inviable Sanitariamente"))))</f>
        <v>Inviable Sanitariamente</v>
      </c>
      <c r="MMI41" s="117">
        <v>97.9</v>
      </c>
      <c r="MMK41" s="117">
        <f>AVERAGE(MLY41:MMJ41)</f>
        <v>97.9</v>
      </c>
      <c r="MML41" s="117" t="str">
        <f>IF(MMK41&lt;5,"SI","NO")</f>
        <v>NO</v>
      </c>
      <c r="MMM41" s="117" t="str">
        <f>IF(MMK41&lt;5,"Sin Riesgo",IF(MMK41 &lt;=14,"Bajo",IF(MMK41&lt;=35,"Medio",IF(MMK41&lt;=80,"Alto","Inviable Sanitariamente"))))</f>
        <v>Inviable Sanitariamente</v>
      </c>
      <c r="MMX41" s="117">
        <v>97.9</v>
      </c>
      <c r="MMZ41" s="117">
        <f>AVERAGE(MMN41:MMY41)</f>
        <v>97.9</v>
      </c>
      <c r="MNA41" s="117" t="str">
        <f>IF(MMZ41&lt;5,"SI","NO")</f>
        <v>NO</v>
      </c>
      <c r="MNB41" s="117" t="str">
        <f>IF(MMZ41&lt;5,"Sin Riesgo",IF(MMZ41 &lt;=14,"Bajo",IF(MMZ41&lt;=35,"Medio",IF(MMZ41&lt;=80,"Alto","Inviable Sanitariamente"))))</f>
        <v>Inviable Sanitariamente</v>
      </c>
      <c r="MNM41" s="117">
        <v>97.9</v>
      </c>
      <c r="MNO41" s="117">
        <f>AVERAGE(MNC41:MNN41)</f>
        <v>97.9</v>
      </c>
      <c r="MNP41" s="117" t="str">
        <f>IF(MNO41&lt;5,"SI","NO")</f>
        <v>NO</v>
      </c>
      <c r="MNQ41" s="117" t="str">
        <f>IF(MNO41&lt;5,"Sin Riesgo",IF(MNO41 &lt;=14,"Bajo",IF(MNO41&lt;=35,"Medio",IF(MNO41&lt;=80,"Alto","Inviable Sanitariamente"))))</f>
        <v>Inviable Sanitariamente</v>
      </c>
      <c r="MOB41" s="117">
        <v>97.9</v>
      </c>
      <c r="MOD41" s="117">
        <f>AVERAGE(MNR41:MOC41)</f>
        <v>97.9</v>
      </c>
      <c r="MOE41" s="117" t="str">
        <f>IF(MOD41&lt;5,"SI","NO")</f>
        <v>NO</v>
      </c>
      <c r="MOF41" s="117" t="str">
        <f>IF(MOD41&lt;5,"Sin Riesgo",IF(MOD41 &lt;=14,"Bajo",IF(MOD41&lt;=35,"Medio",IF(MOD41&lt;=80,"Alto","Inviable Sanitariamente"))))</f>
        <v>Inviable Sanitariamente</v>
      </c>
      <c r="MOQ41" s="117">
        <v>97.9</v>
      </c>
      <c r="MOS41" s="117">
        <f>AVERAGE(MOG41:MOR41)</f>
        <v>97.9</v>
      </c>
      <c r="MOT41" s="117" t="str">
        <f>IF(MOS41&lt;5,"SI","NO")</f>
        <v>NO</v>
      </c>
      <c r="MOU41" s="117" t="str">
        <f>IF(MOS41&lt;5,"Sin Riesgo",IF(MOS41 &lt;=14,"Bajo",IF(MOS41&lt;=35,"Medio",IF(MOS41&lt;=80,"Alto","Inviable Sanitariamente"))))</f>
        <v>Inviable Sanitariamente</v>
      </c>
      <c r="MPF41" s="117">
        <v>97.9</v>
      </c>
      <c r="MPH41" s="117">
        <f>AVERAGE(MOV41:MPG41)</f>
        <v>97.9</v>
      </c>
      <c r="MPI41" s="117" t="str">
        <f>IF(MPH41&lt;5,"SI","NO")</f>
        <v>NO</v>
      </c>
      <c r="MPJ41" s="117" t="str">
        <f>IF(MPH41&lt;5,"Sin Riesgo",IF(MPH41 &lt;=14,"Bajo",IF(MPH41&lt;=35,"Medio",IF(MPH41&lt;=80,"Alto","Inviable Sanitariamente"))))</f>
        <v>Inviable Sanitariamente</v>
      </c>
      <c r="MPU41" s="117">
        <v>97.9</v>
      </c>
      <c r="MPW41" s="117">
        <f>AVERAGE(MPK41:MPV41)</f>
        <v>97.9</v>
      </c>
      <c r="MPX41" s="117" t="str">
        <f>IF(MPW41&lt;5,"SI","NO")</f>
        <v>NO</v>
      </c>
      <c r="MPY41" s="117" t="str">
        <f>IF(MPW41&lt;5,"Sin Riesgo",IF(MPW41 &lt;=14,"Bajo",IF(MPW41&lt;=35,"Medio",IF(MPW41&lt;=80,"Alto","Inviable Sanitariamente"))))</f>
        <v>Inviable Sanitariamente</v>
      </c>
      <c r="MQJ41" s="117">
        <v>97.9</v>
      </c>
      <c r="MQL41" s="117">
        <f>AVERAGE(MPZ41:MQK41)</f>
        <v>97.9</v>
      </c>
      <c r="MQM41" s="117" t="str">
        <f>IF(MQL41&lt;5,"SI","NO")</f>
        <v>NO</v>
      </c>
      <c r="MQN41" s="117" t="str">
        <f>IF(MQL41&lt;5,"Sin Riesgo",IF(MQL41 &lt;=14,"Bajo",IF(MQL41&lt;=35,"Medio",IF(MQL41&lt;=80,"Alto","Inviable Sanitariamente"))))</f>
        <v>Inviable Sanitariamente</v>
      </c>
      <c r="MQY41" s="117">
        <v>97.9</v>
      </c>
      <c r="MRA41" s="117">
        <f>AVERAGE(MQO41:MQZ41)</f>
        <v>97.9</v>
      </c>
      <c r="MRB41" s="117" t="str">
        <f>IF(MRA41&lt;5,"SI","NO")</f>
        <v>NO</v>
      </c>
      <c r="MRC41" s="117" t="str">
        <f>IF(MRA41&lt;5,"Sin Riesgo",IF(MRA41 &lt;=14,"Bajo",IF(MRA41&lt;=35,"Medio",IF(MRA41&lt;=80,"Alto","Inviable Sanitariamente"))))</f>
        <v>Inviable Sanitariamente</v>
      </c>
      <c r="MRN41" s="117">
        <v>97.9</v>
      </c>
      <c r="MRP41" s="117">
        <f>AVERAGE(MRD41:MRO41)</f>
        <v>97.9</v>
      </c>
      <c r="MRQ41" s="117" t="str">
        <f>IF(MRP41&lt;5,"SI","NO")</f>
        <v>NO</v>
      </c>
      <c r="MRR41" s="117" t="str">
        <f>IF(MRP41&lt;5,"Sin Riesgo",IF(MRP41 &lt;=14,"Bajo",IF(MRP41&lt;=35,"Medio",IF(MRP41&lt;=80,"Alto","Inviable Sanitariamente"))))</f>
        <v>Inviable Sanitariamente</v>
      </c>
      <c r="MSC41" s="117">
        <v>97.9</v>
      </c>
      <c r="MSE41" s="117">
        <f>AVERAGE(MRS41:MSD41)</f>
        <v>97.9</v>
      </c>
      <c r="MSF41" s="117" t="str">
        <f>IF(MSE41&lt;5,"SI","NO")</f>
        <v>NO</v>
      </c>
      <c r="MSG41" s="117" t="str">
        <f>IF(MSE41&lt;5,"Sin Riesgo",IF(MSE41 &lt;=14,"Bajo",IF(MSE41&lt;=35,"Medio",IF(MSE41&lt;=80,"Alto","Inviable Sanitariamente"))))</f>
        <v>Inviable Sanitariamente</v>
      </c>
      <c r="MSR41" s="117">
        <v>97.9</v>
      </c>
      <c r="MST41" s="117">
        <f>AVERAGE(MSH41:MSS41)</f>
        <v>97.9</v>
      </c>
      <c r="MSU41" s="117" t="str">
        <f>IF(MST41&lt;5,"SI","NO")</f>
        <v>NO</v>
      </c>
      <c r="MSV41" s="117" t="str">
        <f>IF(MST41&lt;5,"Sin Riesgo",IF(MST41 &lt;=14,"Bajo",IF(MST41&lt;=35,"Medio",IF(MST41&lt;=80,"Alto","Inviable Sanitariamente"))))</f>
        <v>Inviable Sanitariamente</v>
      </c>
      <c r="MTG41" s="117">
        <v>97.9</v>
      </c>
      <c r="MTI41" s="117">
        <f>AVERAGE(MSW41:MTH41)</f>
        <v>97.9</v>
      </c>
      <c r="MTJ41" s="117" t="str">
        <f>IF(MTI41&lt;5,"SI","NO")</f>
        <v>NO</v>
      </c>
      <c r="MTK41" s="117" t="str">
        <f>IF(MTI41&lt;5,"Sin Riesgo",IF(MTI41 &lt;=14,"Bajo",IF(MTI41&lt;=35,"Medio",IF(MTI41&lt;=80,"Alto","Inviable Sanitariamente"))))</f>
        <v>Inviable Sanitariamente</v>
      </c>
      <c r="MTV41" s="117">
        <v>97.9</v>
      </c>
      <c r="MTX41" s="117">
        <f>AVERAGE(MTL41:MTW41)</f>
        <v>97.9</v>
      </c>
      <c r="MTY41" s="117" t="str">
        <f>IF(MTX41&lt;5,"SI","NO")</f>
        <v>NO</v>
      </c>
      <c r="MTZ41" s="117" t="str">
        <f>IF(MTX41&lt;5,"Sin Riesgo",IF(MTX41 &lt;=14,"Bajo",IF(MTX41&lt;=35,"Medio",IF(MTX41&lt;=80,"Alto","Inviable Sanitariamente"))))</f>
        <v>Inviable Sanitariamente</v>
      </c>
      <c r="MUK41" s="117">
        <v>97.9</v>
      </c>
      <c r="MUM41" s="117">
        <f>AVERAGE(MUA41:MUL41)</f>
        <v>97.9</v>
      </c>
      <c r="MUN41" s="117" t="str">
        <f>IF(MUM41&lt;5,"SI","NO")</f>
        <v>NO</v>
      </c>
      <c r="MUO41" s="117" t="str">
        <f>IF(MUM41&lt;5,"Sin Riesgo",IF(MUM41 &lt;=14,"Bajo",IF(MUM41&lt;=35,"Medio",IF(MUM41&lt;=80,"Alto","Inviable Sanitariamente"))))</f>
        <v>Inviable Sanitariamente</v>
      </c>
      <c r="MUZ41" s="117">
        <v>97.9</v>
      </c>
      <c r="MVB41" s="117">
        <f>AVERAGE(MUP41:MVA41)</f>
        <v>97.9</v>
      </c>
      <c r="MVC41" s="117" t="str">
        <f>IF(MVB41&lt;5,"SI","NO")</f>
        <v>NO</v>
      </c>
      <c r="MVD41" s="117" t="str">
        <f>IF(MVB41&lt;5,"Sin Riesgo",IF(MVB41 &lt;=14,"Bajo",IF(MVB41&lt;=35,"Medio",IF(MVB41&lt;=80,"Alto","Inviable Sanitariamente"))))</f>
        <v>Inviable Sanitariamente</v>
      </c>
      <c r="MVO41" s="117">
        <v>97.9</v>
      </c>
      <c r="MVQ41" s="117">
        <f>AVERAGE(MVE41:MVP41)</f>
        <v>97.9</v>
      </c>
      <c r="MVR41" s="117" t="str">
        <f>IF(MVQ41&lt;5,"SI","NO")</f>
        <v>NO</v>
      </c>
      <c r="MVS41" s="117" t="str">
        <f>IF(MVQ41&lt;5,"Sin Riesgo",IF(MVQ41 &lt;=14,"Bajo",IF(MVQ41&lt;=35,"Medio",IF(MVQ41&lt;=80,"Alto","Inviable Sanitariamente"))))</f>
        <v>Inviable Sanitariamente</v>
      </c>
      <c r="MWD41" s="117">
        <v>97.9</v>
      </c>
      <c r="MWF41" s="117">
        <f>AVERAGE(MVT41:MWE41)</f>
        <v>97.9</v>
      </c>
      <c r="MWG41" s="117" t="str">
        <f>IF(MWF41&lt;5,"SI","NO")</f>
        <v>NO</v>
      </c>
      <c r="MWH41" s="117" t="str">
        <f>IF(MWF41&lt;5,"Sin Riesgo",IF(MWF41 &lt;=14,"Bajo",IF(MWF41&lt;=35,"Medio",IF(MWF41&lt;=80,"Alto","Inviable Sanitariamente"))))</f>
        <v>Inviable Sanitariamente</v>
      </c>
      <c r="MWS41" s="117">
        <v>97.9</v>
      </c>
      <c r="MWU41" s="117">
        <f>AVERAGE(MWI41:MWT41)</f>
        <v>97.9</v>
      </c>
      <c r="MWV41" s="117" t="str">
        <f>IF(MWU41&lt;5,"SI","NO")</f>
        <v>NO</v>
      </c>
      <c r="MWW41" s="117" t="str">
        <f>IF(MWU41&lt;5,"Sin Riesgo",IF(MWU41 &lt;=14,"Bajo",IF(MWU41&lt;=35,"Medio",IF(MWU41&lt;=80,"Alto","Inviable Sanitariamente"))))</f>
        <v>Inviable Sanitariamente</v>
      </c>
      <c r="MXH41" s="117">
        <v>97.9</v>
      </c>
      <c r="MXJ41" s="117">
        <f>AVERAGE(MWX41:MXI41)</f>
        <v>97.9</v>
      </c>
      <c r="MXK41" s="117" t="str">
        <f>IF(MXJ41&lt;5,"SI","NO")</f>
        <v>NO</v>
      </c>
      <c r="MXL41" s="117" t="str">
        <f>IF(MXJ41&lt;5,"Sin Riesgo",IF(MXJ41 &lt;=14,"Bajo",IF(MXJ41&lt;=35,"Medio",IF(MXJ41&lt;=80,"Alto","Inviable Sanitariamente"))))</f>
        <v>Inviable Sanitariamente</v>
      </c>
      <c r="MXW41" s="117">
        <v>97.9</v>
      </c>
      <c r="MXY41" s="117">
        <f>AVERAGE(MXM41:MXX41)</f>
        <v>97.9</v>
      </c>
      <c r="MXZ41" s="117" t="str">
        <f>IF(MXY41&lt;5,"SI","NO")</f>
        <v>NO</v>
      </c>
      <c r="MYA41" s="117" t="str">
        <f>IF(MXY41&lt;5,"Sin Riesgo",IF(MXY41 &lt;=14,"Bajo",IF(MXY41&lt;=35,"Medio",IF(MXY41&lt;=80,"Alto","Inviable Sanitariamente"))))</f>
        <v>Inviable Sanitariamente</v>
      </c>
      <c r="MYL41" s="117">
        <v>97.9</v>
      </c>
      <c r="MYN41" s="117">
        <f>AVERAGE(MYB41:MYM41)</f>
        <v>97.9</v>
      </c>
      <c r="MYO41" s="117" t="str">
        <f>IF(MYN41&lt;5,"SI","NO")</f>
        <v>NO</v>
      </c>
      <c r="MYP41" s="117" t="str">
        <f>IF(MYN41&lt;5,"Sin Riesgo",IF(MYN41 &lt;=14,"Bajo",IF(MYN41&lt;=35,"Medio",IF(MYN41&lt;=80,"Alto","Inviable Sanitariamente"))))</f>
        <v>Inviable Sanitariamente</v>
      </c>
      <c r="MZA41" s="117">
        <v>97.9</v>
      </c>
      <c r="MZC41" s="117">
        <f>AVERAGE(MYQ41:MZB41)</f>
        <v>97.9</v>
      </c>
      <c r="MZD41" s="117" t="str">
        <f>IF(MZC41&lt;5,"SI","NO")</f>
        <v>NO</v>
      </c>
      <c r="MZE41" s="117" t="str">
        <f>IF(MZC41&lt;5,"Sin Riesgo",IF(MZC41 &lt;=14,"Bajo",IF(MZC41&lt;=35,"Medio",IF(MZC41&lt;=80,"Alto","Inviable Sanitariamente"))))</f>
        <v>Inviable Sanitariamente</v>
      </c>
      <c r="MZP41" s="117">
        <v>97.9</v>
      </c>
      <c r="MZR41" s="117">
        <f>AVERAGE(MZF41:MZQ41)</f>
        <v>97.9</v>
      </c>
      <c r="MZS41" s="117" t="str">
        <f>IF(MZR41&lt;5,"SI","NO")</f>
        <v>NO</v>
      </c>
      <c r="MZT41" s="117" t="str">
        <f>IF(MZR41&lt;5,"Sin Riesgo",IF(MZR41 &lt;=14,"Bajo",IF(MZR41&lt;=35,"Medio",IF(MZR41&lt;=80,"Alto","Inviable Sanitariamente"))))</f>
        <v>Inviable Sanitariamente</v>
      </c>
      <c r="NAE41" s="117">
        <v>97.9</v>
      </c>
      <c r="NAG41" s="117">
        <f>AVERAGE(MZU41:NAF41)</f>
        <v>97.9</v>
      </c>
      <c r="NAH41" s="117" t="str">
        <f>IF(NAG41&lt;5,"SI","NO")</f>
        <v>NO</v>
      </c>
      <c r="NAI41" s="117" t="str">
        <f>IF(NAG41&lt;5,"Sin Riesgo",IF(NAG41 &lt;=14,"Bajo",IF(NAG41&lt;=35,"Medio",IF(NAG41&lt;=80,"Alto","Inviable Sanitariamente"))))</f>
        <v>Inviable Sanitariamente</v>
      </c>
      <c r="NAT41" s="117">
        <v>97.9</v>
      </c>
      <c r="NAV41" s="117">
        <f>AVERAGE(NAJ41:NAU41)</f>
        <v>97.9</v>
      </c>
      <c r="NAW41" s="117" t="str">
        <f>IF(NAV41&lt;5,"SI","NO")</f>
        <v>NO</v>
      </c>
      <c r="NAX41" s="117" t="str">
        <f>IF(NAV41&lt;5,"Sin Riesgo",IF(NAV41 &lt;=14,"Bajo",IF(NAV41&lt;=35,"Medio",IF(NAV41&lt;=80,"Alto","Inviable Sanitariamente"))))</f>
        <v>Inviable Sanitariamente</v>
      </c>
      <c r="NBI41" s="117">
        <v>97.9</v>
      </c>
      <c r="NBK41" s="117">
        <f>AVERAGE(NAY41:NBJ41)</f>
        <v>97.9</v>
      </c>
      <c r="NBL41" s="117" t="str">
        <f>IF(NBK41&lt;5,"SI","NO")</f>
        <v>NO</v>
      </c>
      <c r="NBM41" s="117" t="str">
        <f>IF(NBK41&lt;5,"Sin Riesgo",IF(NBK41 &lt;=14,"Bajo",IF(NBK41&lt;=35,"Medio",IF(NBK41&lt;=80,"Alto","Inviable Sanitariamente"))))</f>
        <v>Inviable Sanitariamente</v>
      </c>
      <c r="NBX41" s="117">
        <v>97.9</v>
      </c>
      <c r="NBZ41" s="117">
        <f>AVERAGE(NBN41:NBY41)</f>
        <v>97.9</v>
      </c>
      <c r="NCA41" s="117" t="str">
        <f>IF(NBZ41&lt;5,"SI","NO")</f>
        <v>NO</v>
      </c>
      <c r="NCB41" s="117" t="str">
        <f>IF(NBZ41&lt;5,"Sin Riesgo",IF(NBZ41 &lt;=14,"Bajo",IF(NBZ41&lt;=35,"Medio",IF(NBZ41&lt;=80,"Alto","Inviable Sanitariamente"))))</f>
        <v>Inviable Sanitariamente</v>
      </c>
      <c r="NCM41" s="117">
        <v>97.9</v>
      </c>
      <c r="NCO41" s="117">
        <f>AVERAGE(NCC41:NCN41)</f>
        <v>97.9</v>
      </c>
      <c r="NCP41" s="117" t="str">
        <f>IF(NCO41&lt;5,"SI","NO")</f>
        <v>NO</v>
      </c>
      <c r="NCQ41" s="117" t="str">
        <f>IF(NCO41&lt;5,"Sin Riesgo",IF(NCO41 &lt;=14,"Bajo",IF(NCO41&lt;=35,"Medio",IF(NCO41&lt;=80,"Alto","Inviable Sanitariamente"))))</f>
        <v>Inviable Sanitariamente</v>
      </c>
      <c r="NDB41" s="117">
        <v>97.9</v>
      </c>
      <c r="NDD41" s="117">
        <f>AVERAGE(NCR41:NDC41)</f>
        <v>97.9</v>
      </c>
      <c r="NDE41" s="117" t="str">
        <f>IF(NDD41&lt;5,"SI","NO")</f>
        <v>NO</v>
      </c>
      <c r="NDF41" s="117" t="str">
        <f>IF(NDD41&lt;5,"Sin Riesgo",IF(NDD41 &lt;=14,"Bajo",IF(NDD41&lt;=35,"Medio",IF(NDD41&lt;=80,"Alto","Inviable Sanitariamente"))))</f>
        <v>Inviable Sanitariamente</v>
      </c>
      <c r="NDQ41" s="117">
        <v>97.9</v>
      </c>
      <c r="NDS41" s="117">
        <f>AVERAGE(NDG41:NDR41)</f>
        <v>97.9</v>
      </c>
      <c r="NDT41" s="117" t="str">
        <f>IF(NDS41&lt;5,"SI","NO")</f>
        <v>NO</v>
      </c>
      <c r="NDU41" s="117" t="str">
        <f>IF(NDS41&lt;5,"Sin Riesgo",IF(NDS41 &lt;=14,"Bajo",IF(NDS41&lt;=35,"Medio",IF(NDS41&lt;=80,"Alto","Inviable Sanitariamente"))))</f>
        <v>Inviable Sanitariamente</v>
      </c>
      <c r="NEF41" s="117">
        <v>97.9</v>
      </c>
      <c r="NEH41" s="117">
        <f>AVERAGE(NDV41:NEG41)</f>
        <v>97.9</v>
      </c>
      <c r="NEI41" s="117" t="str">
        <f>IF(NEH41&lt;5,"SI","NO")</f>
        <v>NO</v>
      </c>
      <c r="NEJ41" s="117" t="str">
        <f>IF(NEH41&lt;5,"Sin Riesgo",IF(NEH41 &lt;=14,"Bajo",IF(NEH41&lt;=35,"Medio",IF(NEH41&lt;=80,"Alto","Inviable Sanitariamente"))))</f>
        <v>Inviable Sanitariamente</v>
      </c>
      <c r="NEU41" s="117">
        <v>97.9</v>
      </c>
      <c r="NEW41" s="117">
        <f>AVERAGE(NEK41:NEV41)</f>
        <v>97.9</v>
      </c>
      <c r="NEX41" s="117" t="str">
        <f>IF(NEW41&lt;5,"SI","NO")</f>
        <v>NO</v>
      </c>
      <c r="NEY41" s="117" t="str">
        <f>IF(NEW41&lt;5,"Sin Riesgo",IF(NEW41 &lt;=14,"Bajo",IF(NEW41&lt;=35,"Medio",IF(NEW41&lt;=80,"Alto","Inviable Sanitariamente"))))</f>
        <v>Inviable Sanitariamente</v>
      </c>
      <c r="NFJ41" s="117">
        <v>97.9</v>
      </c>
      <c r="NFL41" s="117">
        <f>AVERAGE(NEZ41:NFK41)</f>
        <v>97.9</v>
      </c>
      <c r="NFM41" s="117" t="str">
        <f>IF(NFL41&lt;5,"SI","NO")</f>
        <v>NO</v>
      </c>
      <c r="NFN41" s="117" t="str">
        <f>IF(NFL41&lt;5,"Sin Riesgo",IF(NFL41 &lt;=14,"Bajo",IF(NFL41&lt;=35,"Medio",IF(NFL41&lt;=80,"Alto","Inviable Sanitariamente"))))</f>
        <v>Inviable Sanitariamente</v>
      </c>
      <c r="NFY41" s="117">
        <v>97.9</v>
      </c>
      <c r="NGA41" s="117">
        <f>AVERAGE(NFO41:NFZ41)</f>
        <v>97.9</v>
      </c>
      <c r="NGB41" s="117" t="str">
        <f>IF(NGA41&lt;5,"SI","NO")</f>
        <v>NO</v>
      </c>
      <c r="NGC41" s="117" t="str">
        <f>IF(NGA41&lt;5,"Sin Riesgo",IF(NGA41 &lt;=14,"Bajo",IF(NGA41&lt;=35,"Medio",IF(NGA41&lt;=80,"Alto","Inviable Sanitariamente"))))</f>
        <v>Inviable Sanitariamente</v>
      </c>
      <c r="NGN41" s="117">
        <v>97.9</v>
      </c>
      <c r="NGP41" s="117">
        <f>AVERAGE(NGD41:NGO41)</f>
        <v>97.9</v>
      </c>
      <c r="NGQ41" s="117" t="str">
        <f>IF(NGP41&lt;5,"SI","NO")</f>
        <v>NO</v>
      </c>
      <c r="NGR41" s="117" t="str">
        <f>IF(NGP41&lt;5,"Sin Riesgo",IF(NGP41 &lt;=14,"Bajo",IF(NGP41&lt;=35,"Medio",IF(NGP41&lt;=80,"Alto","Inviable Sanitariamente"))))</f>
        <v>Inviable Sanitariamente</v>
      </c>
      <c r="NHC41" s="117">
        <v>97.9</v>
      </c>
      <c r="NHE41" s="117">
        <f>AVERAGE(NGS41:NHD41)</f>
        <v>97.9</v>
      </c>
      <c r="NHF41" s="117" t="str">
        <f>IF(NHE41&lt;5,"SI","NO")</f>
        <v>NO</v>
      </c>
      <c r="NHG41" s="117" t="str">
        <f>IF(NHE41&lt;5,"Sin Riesgo",IF(NHE41 &lt;=14,"Bajo",IF(NHE41&lt;=35,"Medio",IF(NHE41&lt;=80,"Alto","Inviable Sanitariamente"))))</f>
        <v>Inviable Sanitariamente</v>
      </c>
      <c r="NHR41" s="117">
        <v>97.9</v>
      </c>
      <c r="NHT41" s="117">
        <f>AVERAGE(NHH41:NHS41)</f>
        <v>97.9</v>
      </c>
      <c r="NHU41" s="117" t="str">
        <f>IF(NHT41&lt;5,"SI","NO")</f>
        <v>NO</v>
      </c>
      <c r="NHV41" s="117" t="str">
        <f>IF(NHT41&lt;5,"Sin Riesgo",IF(NHT41 &lt;=14,"Bajo",IF(NHT41&lt;=35,"Medio",IF(NHT41&lt;=80,"Alto","Inviable Sanitariamente"))))</f>
        <v>Inviable Sanitariamente</v>
      </c>
      <c r="NIG41" s="117">
        <v>97.9</v>
      </c>
      <c r="NII41" s="117">
        <f>AVERAGE(NHW41:NIH41)</f>
        <v>97.9</v>
      </c>
      <c r="NIJ41" s="117" t="str">
        <f>IF(NII41&lt;5,"SI","NO")</f>
        <v>NO</v>
      </c>
      <c r="NIK41" s="117" t="str">
        <f>IF(NII41&lt;5,"Sin Riesgo",IF(NII41 &lt;=14,"Bajo",IF(NII41&lt;=35,"Medio",IF(NII41&lt;=80,"Alto","Inviable Sanitariamente"))))</f>
        <v>Inviable Sanitariamente</v>
      </c>
      <c r="NIV41" s="117">
        <v>97.9</v>
      </c>
      <c r="NIX41" s="117">
        <f>AVERAGE(NIL41:NIW41)</f>
        <v>97.9</v>
      </c>
      <c r="NIY41" s="117" t="str">
        <f>IF(NIX41&lt;5,"SI","NO")</f>
        <v>NO</v>
      </c>
      <c r="NIZ41" s="117" t="str">
        <f>IF(NIX41&lt;5,"Sin Riesgo",IF(NIX41 &lt;=14,"Bajo",IF(NIX41&lt;=35,"Medio",IF(NIX41&lt;=80,"Alto","Inviable Sanitariamente"))))</f>
        <v>Inviable Sanitariamente</v>
      </c>
      <c r="NJK41" s="117">
        <v>97.9</v>
      </c>
      <c r="NJM41" s="117">
        <f>AVERAGE(NJA41:NJL41)</f>
        <v>97.9</v>
      </c>
      <c r="NJN41" s="117" t="str">
        <f>IF(NJM41&lt;5,"SI","NO")</f>
        <v>NO</v>
      </c>
      <c r="NJO41" s="117" t="str">
        <f>IF(NJM41&lt;5,"Sin Riesgo",IF(NJM41 &lt;=14,"Bajo",IF(NJM41&lt;=35,"Medio",IF(NJM41&lt;=80,"Alto","Inviable Sanitariamente"))))</f>
        <v>Inviable Sanitariamente</v>
      </c>
      <c r="NJZ41" s="117">
        <v>97.9</v>
      </c>
      <c r="NKB41" s="117">
        <f>AVERAGE(NJP41:NKA41)</f>
        <v>97.9</v>
      </c>
      <c r="NKC41" s="117" t="str">
        <f>IF(NKB41&lt;5,"SI","NO")</f>
        <v>NO</v>
      </c>
      <c r="NKD41" s="117" t="str">
        <f>IF(NKB41&lt;5,"Sin Riesgo",IF(NKB41 &lt;=14,"Bajo",IF(NKB41&lt;=35,"Medio",IF(NKB41&lt;=80,"Alto","Inviable Sanitariamente"))))</f>
        <v>Inviable Sanitariamente</v>
      </c>
      <c r="NKO41" s="117">
        <v>97.9</v>
      </c>
      <c r="NKQ41" s="117">
        <f>AVERAGE(NKE41:NKP41)</f>
        <v>97.9</v>
      </c>
      <c r="NKR41" s="117" t="str">
        <f>IF(NKQ41&lt;5,"SI","NO")</f>
        <v>NO</v>
      </c>
      <c r="NKS41" s="117" t="str">
        <f>IF(NKQ41&lt;5,"Sin Riesgo",IF(NKQ41 &lt;=14,"Bajo",IF(NKQ41&lt;=35,"Medio",IF(NKQ41&lt;=80,"Alto","Inviable Sanitariamente"))))</f>
        <v>Inviable Sanitariamente</v>
      </c>
      <c r="NLD41" s="117">
        <v>97.9</v>
      </c>
      <c r="NLF41" s="117">
        <f>AVERAGE(NKT41:NLE41)</f>
        <v>97.9</v>
      </c>
      <c r="NLG41" s="117" t="str">
        <f>IF(NLF41&lt;5,"SI","NO")</f>
        <v>NO</v>
      </c>
      <c r="NLH41" s="117" t="str">
        <f>IF(NLF41&lt;5,"Sin Riesgo",IF(NLF41 &lt;=14,"Bajo",IF(NLF41&lt;=35,"Medio",IF(NLF41&lt;=80,"Alto","Inviable Sanitariamente"))))</f>
        <v>Inviable Sanitariamente</v>
      </c>
      <c r="NLS41" s="117">
        <v>97.9</v>
      </c>
      <c r="NLU41" s="117">
        <f>AVERAGE(NLI41:NLT41)</f>
        <v>97.9</v>
      </c>
      <c r="NLV41" s="117" t="str">
        <f>IF(NLU41&lt;5,"SI","NO")</f>
        <v>NO</v>
      </c>
      <c r="NLW41" s="117" t="str">
        <f>IF(NLU41&lt;5,"Sin Riesgo",IF(NLU41 &lt;=14,"Bajo",IF(NLU41&lt;=35,"Medio",IF(NLU41&lt;=80,"Alto","Inviable Sanitariamente"))))</f>
        <v>Inviable Sanitariamente</v>
      </c>
      <c r="NMH41" s="117">
        <v>97.9</v>
      </c>
      <c r="NMJ41" s="117">
        <f>AVERAGE(NLX41:NMI41)</f>
        <v>97.9</v>
      </c>
      <c r="NMK41" s="117" t="str">
        <f>IF(NMJ41&lt;5,"SI","NO")</f>
        <v>NO</v>
      </c>
      <c r="NML41" s="117" t="str">
        <f>IF(NMJ41&lt;5,"Sin Riesgo",IF(NMJ41 &lt;=14,"Bajo",IF(NMJ41&lt;=35,"Medio",IF(NMJ41&lt;=80,"Alto","Inviable Sanitariamente"))))</f>
        <v>Inviable Sanitariamente</v>
      </c>
      <c r="NMW41" s="117">
        <v>97.9</v>
      </c>
      <c r="NMY41" s="117">
        <f>AVERAGE(NMM41:NMX41)</f>
        <v>97.9</v>
      </c>
      <c r="NMZ41" s="117" t="str">
        <f>IF(NMY41&lt;5,"SI","NO")</f>
        <v>NO</v>
      </c>
      <c r="NNA41" s="117" t="str">
        <f>IF(NMY41&lt;5,"Sin Riesgo",IF(NMY41 &lt;=14,"Bajo",IF(NMY41&lt;=35,"Medio",IF(NMY41&lt;=80,"Alto","Inviable Sanitariamente"))))</f>
        <v>Inviable Sanitariamente</v>
      </c>
      <c r="NNL41" s="117">
        <v>97.9</v>
      </c>
      <c r="NNN41" s="117">
        <f>AVERAGE(NNB41:NNM41)</f>
        <v>97.9</v>
      </c>
      <c r="NNO41" s="117" t="str">
        <f>IF(NNN41&lt;5,"SI","NO")</f>
        <v>NO</v>
      </c>
      <c r="NNP41" s="117" t="str">
        <f>IF(NNN41&lt;5,"Sin Riesgo",IF(NNN41 &lt;=14,"Bajo",IF(NNN41&lt;=35,"Medio",IF(NNN41&lt;=80,"Alto","Inviable Sanitariamente"))))</f>
        <v>Inviable Sanitariamente</v>
      </c>
      <c r="NOA41" s="117">
        <v>97.9</v>
      </c>
      <c r="NOC41" s="117">
        <f>AVERAGE(NNQ41:NOB41)</f>
        <v>97.9</v>
      </c>
      <c r="NOD41" s="117" t="str">
        <f>IF(NOC41&lt;5,"SI","NO")</f>
        <v>NO</v>
      </c>
      <c r="NOE41" s="117" t="str">
        <f>IF(NOC41&lt;5,"Sin Riesgo",IF(NOC41 &lt;=14,"Bajo",IF(NOC41&lt;=35,"Medio",IF(NOC41&lt;=80,"Alto","Inviable Sanitariamente"))))</f>
        <v>Inviable Sanitariamente</v>
      </c>
      <c r="NOP41" s="117">
        <v>97.9</v>
      </c>
      <c r="NOR41" s="117">
        <f>AVERAGE(NOF41:NOQ41)</f>
        <v>97.9</v>
      </c>
      <c r="NOS41" s="117" t="str">
        <f>IF(NOR41&lt;5,"SI","NO")</f>
        <v>NO</v>
      </c>
      <c r="NOT41" s="117" t="str">
        <f>IF(NOR41&lt;5,"Sin Riesgo",IF(NOR41 &lt;=14,"Bajo",IF(NOR41&lt;=35,"Medio",IF(NOR41&lt;=80,"Alto","Inviable Sanitariamente"))))</f>
        <v>Inviable Sanitariamente</v>
      </c>
      <c r="NPE41" s="117">
        <v>97.9</v>
      </c>
      <c r="NPG41" s="117">
        <f>AVERAGE(NOU41:NPF41)</f>
        <v>97.9</v>
      </c>
      <c r="NPH41" s="117" t="str">
        <f>IF(NPG41&lt;5,"SI","NO")</f>
        <v>NO</v>
      </c>
      <c r="NPI41" s="117" t="str">
        <f>IF(NPG41&lt;5,"Sin Riesgo",IF(NPG41 &lt;=14,"Bajo",IF(NPG41&lt;=35,"Medio",IF(NPG41&lt;=80,"Alto","Inviable Sanitariamente"))))</f>
        <v>Inviable Sanitariamente</v>
      </c>
      <c r="NPT41" s="117">
        <v>97.9</v>
      </c>
      <c r="NPV41" s="117">
        <f>AVERAGE(NPJ41:NPU41)</f>
        <v>97.9</v>
      </c>
      <c r="NPW41" s="117" t="str">
        <f>IF(NPV41&lt;5,"SI","NO")</f>
        <v>NO</v>
      </c>
      <c r="NPX41" s="117" t="str">
        <f>IF(NPV41&lt;5,"Sin Riesgo",IF(NPV41 &lt;=14,"Bajo",IF(NPV41&lt;=35,"Medio",IF(NPV41&lt;=80,"Alto","Inviable Sanitariamente"))))</f>
        <v>Inviable Sanitariamente</v>
      </c>
      <c r="NQI41" s="117">
        <v>97.9</v>
      </c>
      <c r="NQK41" s="117">
        <f>AVERAGE(NPY41:NQJ41)</f>
        <v>97.9</v>
      </c>
      <c r="NQL41" s="117" t="str">
        <f>IF(NQK41&lt;5,"SI","NO")</f>
        <v>NO</v>
      </c>
      <c r="NQM41" s="117" t="str">
        <f>IF(NQK41&lt;5,"Sin Riesgo",IF(NQK41 &lt;=14,"Bajo",IF(NQK41&lt;=35,"Medio",IF(NQK41&lt;=80,"Alto","Inviable Sanitariamente"))))</f>
        <v>Inviable Sanitariamente</v>
      </c>
      <c r="NQX41" s="117">
        <v>97.9</v>
      </c>
      <c r="NQZ41" s="117">
        <f>AVERAGE(NQN41:NQY41)</f>
        <v>97.9</v>
      </c>
      <c r="NRA41" s="117" t="str">
        <f>IF(NQZ41&lt;5,"SI","NO")</f>
        <v>NO</v>
      </c>
      <c r="NRB41" s="117" t="str">
        <f>IF(NQZ41&lt;5,"Sin Riesgo",IF(NQZ41 &lt;=14,"Bajo",IF(NQZ41&lt;=35,"Medio",IF(NQZ41&lt;=80,"Alto","Inviable Sanitariamente"))))</f>
        <v>Inviable Sanitariamente</v>
      </c>
      <c r="NRM41" s="117">
        <v>97.9</v>
      </c>
      <c r="NRO41" s="117">
        <f>AVERAGE(NRC41:NRN41)</f>
        <v>97.9</v>
      </c>
      <c r="NRP41" s="117" t="str">
        <f>IF(NRO41&lt;5,"SI","NO")</f>
        <v>NO</v>
      </c>
      <c r="NRQ41" s="117" t="str">
        <f>IF(NRO41&lt;5,"Sin Riesgo",IF(NRO41 &lt;=14,"Bajo",IF(NRO41&lt;=35,"Medio",IF(NRO41&lt;=80,"Alto","Inviable Sanitariamente"))))</f>
        <v>Inviable Sanitariamente</v>
      </c>
      <c r="NSB41" s="117">
        <v>97.9</v>
      </c>
      <c r="NSD41" s="117">
        <f>AVERAGE(NRR41:NSC41)</f>
        <v>97.9</v>
      </c>
      <c r="NSE41" s="117" t="str">
        <f>IF(NSD41&lt;5,"SI","NO")</f>
        <v>NO</v>
      </c>
      <c r="NSF41" s="117" t="str">
        <f>IF(NSD41&lt;5,"Sin Riesgo",IF(NSD41 &lt;=14,"Bajo",IF(NSD41&lt;=35,"Medio",IF(NSD41&lt;=80,"Alto","Inviable Sanitariamente"))))</f>
        <v>Inviable Sanitariamente</v>
      </c>
      <c r="NSQ41" s="117">
        <v>97.9</v>
      </c>
      <c r="NSS41" s="117">
        <f>AVERAGE(NSG41:NSR41)</f>
        <v>97.9</v>
      </c>
      <c r="NST41" s="117" t="str">
        <f>IF(NSS41&lt;5,"SI","NO")</f>
        <v>NO</v>
      </c>
      <c r="NSU41" s="117" t="str">
        <f>IF(NSS41&lt;5,"Sin Riesgo",IF(NSS41 &lt;=14,"Bajo",IF(NSS41&lt;=35,"Medio",IF(NSS41&lt;=80,"Alto","Inviable Sanitariamente"))))</f>
        <v>Inviable Sanitariamente</v>
      </c>
      <c r="NTF41" s="117">
        <v>97.9</v>
      </c>
      <c r="NTH41" s="117">
        <f>AVERAGE(NSV41:NTG41)</f>
        <v>97.9</v>
      </c>
      <c r="NTI41" s="117" t="str">
        <f>IF(NTH41&lt;5,"SI","NO")</f>
        <v>NO</v>
      </c>
      <c r="NTJ41" s="117" t="str">
        <f>IF(NTH41&lt;5,"Sin Riesgo",IF(NTH41 &lt;=14,"Bajo",IF(NTH41&lt;=35,"Medio",IF(NTH41&lt;=80,"Alto","Inviable Sanitariamente"))))</f>
        <v>Inviable Sanitariamente</v>
      </c>
      <c r="NTU41" s="117">
        <v>97.9</v>
      </c>
      <c r="NTW41" s="117">
        <f>AVERAGE(NTK41:NTV41)</f>
        <v>97.9</v>
      </c>
      <c r="NTX41" s="117" t="str">
        <f>IF(NTW41&lt;5,"SI","NO")</f>
        <v>NO</v>
      </c>
      <c r="NTY41" s="117" t="str">
        <f>IF(NTW41&lt;5,"Sin Riesgo",IF(NTW41 &lt;=14,"Bajo",IF(NTW41&lt;=35,"Medio",IF(NTW41&lt;=80,"Alto","Inviable Sanitariamente"))))</f>
        <v>Inviable Sanitariamente</v>
      </c>
      <c r="NUJ41" s="117">
        <v>97.9</v>
      </c>
      <c r="NUL41" s="117">
        <f>AVERAGE(NTZ41:NUK41)</f>
        <v>97.9</v>
      </c>
      <c r="NUM41" s="117" t="str">
        <f>IF(NUL41&lt;5,"SI","NO")</f>
        <v>NO</v>
      </c>
      <c r="NUN41" s="117" t="str">
        <f>IF(NUL41&lt;5,"Sin Riesgo",IF(NUL41 &lt;=14,"Bajo",IF(NUL41&lt;=35,"Medio",IF(NUL41&lt;=80,"Alto","Inviable Sanitariamente"))))</f>
        <v>Inviable Sanitariamente</v>
      </c>
      <c r="NUY41" s="117">
        <v>97.9</v>
      </c>
      <c r="NVA41" s="117">
        <f>AVERAGE(NUO41:NUZ41)</f>
        <v>97.9</v>
      </c>
      <c r="NVB41" s="117" t="str">
        <f>IF(NVA41&lt;5,"SI","NO")</f>
        <v>NO</v>
      </c>
      <c r="NVC41" s="117" t="str">
        <f>IF(NVA41&lt;5,"Sin Riesgo",IF(NVA41 &lt;=14,"Bajo",IF(NVA41&lt;=35,"Medio",IF(NVA41&lt;=80,"Alto","Inviable Sanitariamente"))))</f>
        <v>Inviable Sanitariamente</v>
      </c>
      <c r="NVN41" s="117">
        <v>97.9</v>
      </c>
      <c r="NVP41" s="117">
        <f>AVERAGE(NVD41:NVO41)</f>
        <v>97.9</v>
      </c>
      <c r="NVQ41" s="117" t="str">
        <f>IF(NVP41&lt;5,"SI","NO")</f>
        <v>NO</v>
      </c>
      <c r="NVR41" s="117" t="str">
        <f>IF(NVP41&lt;5,"Sin Riesgo",IF(NVP41 &lt;=14,"Bajo",IF(NVP41&lt;=35,"Medio",IF(NVP41&lt;=80,"Alto","Inviable Sanitariamente"))))</f>
        <v>Inviable Sanitariamente</v>
      </c>
      <c r="NWC41" s="117">
        <v>97.9</v>
      </c>
      <c r="NWE41" s="117">
        <f>AVERAGE(NVS41:NWD41)</f>
        <v>97.9</v>
      </c>
      <c r="NWF41" s="117" t="str">
        <f>IF(NWE41&lt;5,"SI","NO")</f>
        <v>NO</v>
      </c>
      <c r="NWG41" s="117" t="str">
        <f>IF(NWE41&lt;5,"Sin Riesgo",IF(NWE41 &lt;=14,"Bajo",IF(NWE41&lt;=35,"Medio",IF(NWE41&lt;=80,"Alto","Inviable Sanitariamente"))))</f>
        <v>Inviable Sanitariamente</v>
      </c>
      <c r="NWR41" s="117">
        <v>97.9</v>
      </c>
      <c r="NWT41" s="117">
        <f>AVERAGE(NWH41:NWS41)</f>
        <v>97.9</v>
      </c>
      <c r="NWU41" s="117" t="str">
        <f>IF(NWT41&lt;5,"SI","NO")</f>
        <v>NO</v>
      </c>
      <c r="NWV41" s="117" t="str">
        <f>IF(NWT41&lt;5,"Sin Riesgo",IF(NWT41 &lt;=14,"Bajo",IF(NWT41&lt;=35,"Medio",IF(NWT41&lt;=80,"Alto","Inviable Sanitariamente"))))</f>
        <v>Inviable Sanitariamente</v>
      </c>
      <c r="NXG41" s="117">
        <v>97.9</v>
      </c>
      <c r="NXI41" s="117">
        <f>AVERAGE(NWW41:NXH41)</f>
        <v>97.9</v>
      </c>
      <c r="NXJ41" s="117" t="str">
        <f>IF(NXI41&lt;5,"SI","NO")</f>
        <v>NO</v>
      </c>
      <c r="NXK41" s="117" t="str">
        <f>IF(NXI41&lt;5,"Sin Riesgo",IF(NXI41 &lt;=14,"Bajo",IF(NXI41&lt;=35,"Medio",IF(NXI41&lt;=80,"Alto","Inviable Sanitariamente"))))</f>
        <v>Inviable Sanitariamente</v>
      </c>
      <c r="NXV41" s="117">
        <v>97.9</v>
      </c>
      <c r="NXX41" s="117">
        <f>AVERAGE(NXL41:NXW41)</f>
        <v>97.9</v>
      </c>
      <c r="NXY41" s="117" t="str">
        <f>IF(NXX41&lt;5,"SI","NO")</f>
        <v>NO</v>
      </c>
      <c r="NXZ41" s="117" t="str">
        <f>IF(NXX41&lt;5,"Sin Riesgo",IF(NXX41 &lt;=14,"Bajo",IF(NXX41&lt;=35,"Medio",IF(NXX41&lt;=80,"Alto","Inviable Sanitariamente"))))</f>
        <v>Inviable Sanitariamente</v>
      </c>
      <c r="NYK41" s="117">
        <v>97.9</v>
      </c>
      <c r="NYM41" s="117">
        <f>AVERAGE(NYA41:NYL41)</f>
        <v>97.9</v>
      </c>
      <c r="NYN41" s="117" t="str">
        <f>IF(NYM41&lt;5,"SI","NO")</f>
        <v>NO</v>
      </c>
      <c r="NYO41" s="117" t="str">
        <f>IF(NYM41&lt;5,"Sin Riesgo",IF(NYM41 &lt;=14,"Bajo",IF(NYM41&lt;=35,"Medio",IF(NYM41&lt;=80,"Alto","Inviable Sanitariamente"))))</f>
        <v>Inviable Sanitariamente</v>
      </c>
      <c r="NYZ41" s="117">
        <v>97.9</v>
      </c>
      <c r="NZB41" s="117">
        <f>AVERAGE(NYP41:NZA41)</f>
        <v>97.9</v>
      </c>
      <c r="NZC41" s="117" t="str">
        <f>IF(NZB41&lt;5,"SI","NO")</f>
        <v>NO</v>
      </c>
      <c r="NZD41" s="117" t="str">
        <f>IF(NZB41&lt;5,"Sin Riesgo",IF(NZB41 &lt;=14,"Bajo",IF(NZB41&lt;=35,"Medio",IF(NZB41&lt;=80,"Alto","Inviable Sanitariamente"))))</f>
        <v>Inviable Sanitariamente</v>
      </c>
      <c r="NZO41" s="117">
        <v>97.9</v>
      </c>
      <c r="NZQ41" s="117">
        <f>AVERAGE(NZE41:NZP41)</f>
        <v>97.9</v>
      </c>
      <c r="NZR41" s="117" t="str">
        <f>IF(NZQ41&lt;5,"SI","NO")</f>
        <v>NO</v>
      </c>
      <c r="NZS41" s="117" t="str">
        <f>IF(NZQ41&lt;5,"Sin Riesgo",IF(NZQ41 &lt;=14,"Bajo",IF(NZQ41&lt;=35,"Medio",IF(NZQ41&lt;=80,"Alto","Inviable Sanitariamente"))))</f>
        <v>Inviable Sanitariamente</v>
      </c>
      <c r="OAD41" s="117">
        <v>97.9</v>
      </c>
      <c r="OAF41" s="117">
        <f>AVERAGE(NZT41:OAE41)</f>
        <v>97.9</v>
      </c>
      <c r="OAG41" s="117" t="str">
        <f>IF(OAF41&lt;5,"SI","NO")</f>
        <v>NO</v>
      </c>
      <c r="OAH41" s="117" t="str">
        <f>IF(OAF41&lt;5,"Sin Riesgo",IF(OAF41 &lt;=14,"Bajo",IF(OAF41&lt;=35,"Medio",IF(OAF41&lt;=80,"Alto","Inviable Sanitariamente"))))</f>
        <v>Inviable Sanitariamente</v>
      </c>
      <c r="OAS41" s="117">
        <v>97.9</v>
      </c>
      <c r="OAU41" s="117">
        <f>AVERAGE(OAI41:OAT41)</f>
        <v>97.9</v>
      </c>
      <c r="OAV41" s="117" t="str">
        <f>IF(OAU41&lt;5,"SI","NO")</f>
        <v>NO</v>
      </c>
      <c r="OAW41" s="117" t="str">
        <f>IF(OAU41&lt;5,"Sin Riesgo",IF(OAU41 &lt;=14,"Bajo",IF(OAU41&lt;=35,"Medio",IF(OAU41&lt;=80,"Alto","Inviable Sanitariamente"))))</f>
        <v>Inviable Sanitariamente</v>
      </c>
      <c r="OBH41" s="117">
        <v>97.9</v>
      </c>
      <c r="OBJ41" s="117">
        <f>AVERAGE(OAX41:OBI41)</f>
        <v>97.9</v>
      </c>
      <c r="OBK41" s="117" t="str">
        <f>IF(OBJ41&lt;5,"SI","NO")</f>
        <v>NO</v>
      </c>
      <c r="OBL41" s="117" t="str">
        <f>IF(OBJ41&lt;5,"Sin Riesgo",IF(OBJ41 &lt;=14,"Bajo",IF(OBJ41&lt;=35,"Medio",IF(OBJ41&lt;=80,"Alto","Inviable Sanitariamente"))))</f>
        <v>Inviable Sanitariamente</v>
      </c>
      <c r="OBW41" s="117">
        <v>97.9</v>
      </c>
      <c r="OBY41" s="117">
        <f>AVERAGE(OBM41:OBX41)</f>
        <v>97.9</v>
      </c>
      <c r="OBZ41" s="117" t="str">
        <f>IF(OBY41&lt;5,"SI","NO")</f>
        <v>NO</v>
      </c>
      <c r="OCA41" s="117" t="str">
        <f>IF(OBY41&lt;5,"Sin Riesgo",IF(OBY41 &lt;=14,"Bajo",IF(OBY41&lt;=35,"Medio",IF(OBY41&lt;=80,"Alto","Inviable Sanitariamente"))))</f>
        <v>Inviable Sanitariamente</v>
      </c>
      <c r="OCL41" s="117">
        <v>97.9</v>
      </c>
      <c r="OCN41" s="117">
        <f>AVERAGE(OCB41:OCM41)</f>
        <v>97.9</v>
      </c>
      <c r="OCO41" s="117" t="str">
        <f>IF(OCN41&lt;5,"SI","NO")</f>
        <v>NO</v>
      </c>
      <c r="OCP41" s="117" t="str">
        <f>IF(OCN41&lt;5,"Sin Riesgo",IF(OCN41 &lt;=14,"Bajo",IF(OCN41&lt;=35,"Medio",IF(OCN41&lt;=80,"Alto","Inviable Sanitariamente"))))</f>
        <v>Inviable Sanitariamente</v>
      </c>
      <c r="ODA41" s="117">
        <v>97.9</v>
      </c>
      <c r="ODC41" s="117">
        <f>AVERAGE(OCQ41:ODB41)</f>
        <v>97.9</v>
      </c>
      <c r="ODD41" s="117" t="str">
        <f>IF(ODC41&lt;5,"SI","NO")</f>
        <v>NO</v>
      </c>
      <c r="ODE41" s="117" t="str">
        <f>IF(ODC41&lt;5,"Sin Riesgo",IF(ODC41 &lt;=14,"Bajo",IF(ODC41&lt;=35,"Medio",IF(ODC41&lt;=80,"Alto","Inviable Sanitariamente"))))</f>
        <v>Inviable Sanitariamente</v>
      </c>
      <c r="ODP41" s="117">
        <v>97.9</v>
      </c>
      <c r="ODR41" s="117">
        <f>AVERAGE(ODF41:ODQ41)</f>
        <v>97.9</v>
      </c>
      <c r="ODS41" s="117" t="str">
        <f>IF(ODR41&lt;5,"SI","NO")</f>
        <v>NO</v>
      </c>
      <c r="ODT41" s="117" t="str">
        <f>IF(ODR41&lt;5,"Sin Riesgo",IF(ODR41 &lt;=14,"Bajo",IF(ODR41&lt;=35,"Medio",IF(ODR41&lt;=80,"Alto","Inviable Sanitariamente"))))</f>
        <v>Inviable Sanitariamente</v>
      </c>
      <c r="OEE41" s="117">
        <v>97.9</v>
      </c>
      <c r="OEG41" s="117">
        <f>AVERAGE(ODU41:OEF41)</f>
        <v>97.9</v>
      </c>
      <c r="OEH41" s="117" t="str">
        <f>IF(OEG41&lt;5,"SI","NO")</f>
        <v>NO</v>
      </c>
      <c r="OEI41" s="117" t="str">
        <f>IF(OEG41&lt;5,"Sin Riesgo",IF(OEG41 &lt;=14,"Bajo",IF(OEG41&lt;=35,"Medio",IF(OEG41&lt;=80,"Alto","Inviable Sanitariamente"))))</f>
        <v>Inviable Sanitariamente</v>
      </c>
      <c r="OET41" s="117">
        <v>97.9</v>
      </c>
      <c r="OEV41" s="117">
        <f>AVERAGE(OEJ41:OEU41)</f>
        <v>97.9</v>
      </c>
      <c r="OEW41" s="117" t="str">
        <f>IF(OEV41&lt;5,"SI","NO")</f>
        <v>NO</v>
      </c>
      <c r="OEX41" s="117" t="str">
        <f>IF(OEV41&lt;5,"Sin Riesgo",IF(OEV41 &lt;=14,"Bajo",IF(OEV41&lt;=35,"Medio",IF(OEV41&lt;=80,"Alto","Inviable Sanitariamente"))))</f>
        <v>Inviable Sanitariamente</v>
      </c>
      <c r="OFI41" s="117">
        <v>97.9</v>
      </c>
      <c r="OFK41" s="117">
        <f>AVERAGE(OEY41:OFJ41)</f>
        <v>97.9</v>
      </c>
      <c r="OFL41" s="117" t="str">
        <f>IF(OFK41&lt;5,"SI","NO")</f>
        <v>NO</v>
      </c>
      <c r="OFM41" s="117" t="str">
        <f>IF(OFK41&lt;5,"Sin Riesgo",IF(OFK41 &lt;=14,"Bajo",IF(OFK41&lt;=35,"Medio",IF(OFK41&lt;=80,"Alto","Inviable Sanitariamente"))))</f>
        <v>Inviable Sanitariamente</v>
      </c>
      <c r="OFX41" s="117">
        <v>97.9</v>
      </c>
      <c r="OFZ41" s="117">
        <f>AVERAGE(OFN41:OFY41)</f>
        <v>97.9</v>
      </c>
      <c r="OGA41" s="117" t="str">
        <f>IF(OFZ41&lt;5,"SI","NO")</f>
        <v>NO</v>
      </c>
      <c r="OGB41" s="117" t="str">
        <f>IF(OFZ41&lt;5,"Sin Riesgo",IF(OFZ41 &lt;=14,"Bajo",IF(OFZ41&lt;=35,"Medio",IF(OFZ41&lt;=80,"Alto","Inviable Sanitariamente"))))</f>
        <v>Inviable Sanitariamente</v>
      </c>
      <c r="OGM41" s="117">
        <v>97.9</v>
      </c>
      <c r="OGO41" s="117">
        <f>AVERAGE(OGC41:OGN41)</f>
        <v>97.9</v>
      </c>
      <c r="OGP41" s="117" t="str">
        <f>IF(OGO41&lt;5,"SI","NO")</f>
        <v>NO</v>
      </c>
      <c r="OGQ41" s="117" t="str">
        <f>IF(OGO41&lt;5,"Sin Riesgo",IF(OGO41 &lt;=14,"Bajo",IF(OGO41&lt;=35,"Medio",IF(OGO41&lt;=80,"Alto","Inviable Sanitariamente"))))</f>
        <v>Inviable Sanitariamente</v>
      </c>
      <c r="OHB41" s="117">
        <v>97.9</v>
      </c>
      <c r="OHD41" s="117">
        <f>AVERAGE(OGR41:OHC41)</f>
        <v>97.9</v>
      </c>
      <c r="OHE41" s="117" t="str">
        <f>IF(OHD41&lt;5,"SI","NO")</f>
        <v>NO</v>
      </c>
      <c r="OHF41" s="117" t="str">
        <f>IF(OHD41&lt;5,"Sin Riesgo",IF(OHD41 &lt;=14,"Bajo",IF(OHD41&lt;=35,"Medio",IF(OHD41&lt;=80,"Alto","Inviable Sanitariamente"))))</f>
        <v>Inviable Sanitariamente</v>
      </c>
      <c r="OHQ41" s="117">
        <v>97.9</v>
      </c>
      <c r="OHS41" s="117">
        <f>AVERAGE(OHG41:OHR41)</f>
        <v>97.9</v>
      </c>
      <c r="OHT41" s="117" t="str">
        <f>IF(OHS41&lt;5,"SI","NO")</f>
        <v>NO</v>
      </c>
      <c r="OHU41" s="117" t="str">
        <f>IF(OHS41&lt;5,"Sin Riesgo",IF(OHS41 &lt;=14,"Bajo",IF(OHS41&lt;=35,"Medio",IF(OHS41&lt;=80,"Alto","Inviable Sanitariamente"))))</f>
        <v>Inviable Sanitariamente</v>
      </c>
      <c r="OIF41" s="117">
        <v>97.9</v>
      </c>
      <c r="OIH41" s="117">
        <f>AVERAGE(OHV41:OIG41)</f>
        <v>97.9</v>
      </c>
      <c r="OII41" s="117" t="str">
        <f>IF(OIH41&lt;5,"SI","NO")</f>
        <v>NO</v>
      </c>
      <c r="OIJ41" s="117" t="str">
        <f>IF(OIH41&lt;5,"Sin Riesgo",IF(OIH41 &lt;=14,"Bajo",IF(OIH41&lt;=35,"Medio",IF(OIH41&lt;=80,"Alto","Inviable Sanitariamente"))))</f>
        <v>Inviable Sanitariamente</v>
      </c>
      <c r="OIU41" s="117">
        <v>97.9</v>
      </c>
      <c r="OIW41" s="117">
        <f>AVERAGE(OIK41:OIV41)</f>
        <v>97.9</v>
      </c>
      <c r="OIX41" s="117" t="str">
        <f>IF(OIW41&lt;5,"SI","NO")</f>
        <v>NO</v>
      </c>
      <c r="OIY41" s="117" t="str">
        <f>IF(OIW41&lt;5,"Sin Riesgo",IF(OIW41 &lt;=14,"Bajo",IF(OIW41&lt;=35,"Medio",IF(OIW41&lt;=80,"Alto","Inviable Sanitariamente"))))</f>
        <v>Inviable Sanitariamente</v>
      </c>
      <c r="OJJ41" s="117">
        <v>97.9</v>
      </c>
      <c r="OJL41" s="117">
        <f>AVERAGE(OIZ41:OJK41)</f>
        <v>97.9</v>
      </c>
      <c r="OJM41" s="117" t="str">
        <f>IF(OJL41&lt;5,"SI","NO")</f>
        <v>NO</v>
      </c>
      <c r="OJN41" s="117" t="str">
        <f>IF(OJL41&lt;5,"Sin Riesgo",IF(OJL41 &lt;=14,"Bajo",IF(OJL41&lt;=35,"Medio",IF(OJL41&lt;=80,"Alto","Inviable Sanitariamente"))))</f>
        <v>Inviable Sanitariamente</v>
      </c>
      <c r="OJY41" s="117">
        <v>97.9</v>
      </c>
      <c r="OKA41" s="117">
        <f>AVERAGE(OJO41:OJZ41)</f>
        <v>97.9</v>
      </c>
      <c r="OKB41" s="117" t="str">
        <f>IF(OKA41&lt;5,"SI","NO")</f>
        <v>NO</v>
      </c>
      <c r="OKC41" s="117" t="str">
        <f>IF(OKA41&lt;5,"Sin Riesgo",IF(OKA41 &lt;=14,"Bajo",IF(OKA41&lt;=35,"Medio",IF(OKA41&lt;=80,"Alto","Inviable Sanitariamente"))))</f>
        <v>Inviable Sanitariamente</v>
      </c>
      <c r="OKN41" s="117">
        <v>97.9</v>
      </c>
      <c r="OKP41" s="117">
        <f>AVERAGE(OKD41:OKO41)</f>
        <v>97.9</v>
      </c>
      <c r="OKQ41" s="117" t="str">
        <f>IF(OKP41&lt;5,"SI","NO")</f>
        <v>NO</v>
      </c>
      <c r="OKR41" s="117" t="str">
        <f>IF(OKP41&lt;5,"Sin Riesgo",IF(OKP41 &lt;=14,"Bajo",IF(OKP41&lt;=35,"Medio",IF(OKP41&lt;=80,"Alto","Inviable Sanitariamente"))))</f>
        <v>Inviable Sanitariamente</v>
      </c>
      <c r="OLC41" s="117">
        <v>97.9</v>
      </c>
      <c r="OLE41" s="117">
        <f>AVERAGE(OKS41:OLD41)</f>
        <v>97.9</v>
      </c>
      <c r="OLF41" s="117" t="str">
        <f>IF(OLE41&lt;5,"SI","NO")</f>
        <v>NO</v>
      </c>
      <c r="OLG41" s="117" t="str">
        <f>IF(OLE41&lt;5,"Sin Riesgo",IF(OLE41 &lt;=14,"Bajo",IF(OLE41&lt;=35,"Medio",IF(OLE41&lt;=80,"Alto","Inviable Sanitariamente"))))</f>
        <v>Inviable Sanitariamente</v>
      </c>
      <c r="OLR41" s="117">
        <v>97.9</v>
      </c>
      <c r="OLT41" s="117">
        <f>AVERAGE(OLH41:OLS41)</f>
        <v>97.9</v>
      </c>
      <c r="OLU41" s="117" t="str">
        <f>IF(OLT41&lt;5,"SI","NO")</f>
        <v>NO</v>
      </c>
      <c r="OLV41" s="117" t="str">
        <f>IF(OLT41&lt;5,"Sin Riesgo",IF(OLT41 &lt;=14,"Bajo",IF(OLT41&lt;=35,"Medio",IF(OLT41&lt;=80,"Alto","Inviable Sanitariamente"))))</f>
        <v>Inviable Sanitariamente</v>
      </c>
      <c r="OMG41" s="117">
        <v>97.9</v>
      </c>
      <c r="OMI41" s="117">
        <f>AVERAGE(OLW41:OMH41)</f>
        <v>97.9</v>
      </c>
      <c r="OMJ41" s="117" t="str">
        <f>IF(OMI41&lt;5,"SI","NO")</f>
        <v>NO</v>
      </c>
      <c r="OMK41" s="117" t="str">
        <f>IF(OMI41&lt;5,"Sin Riesgo",IF(OMI41 &lt;=14,"Bajo",IF(OMI41&lt;=35,"Medio",IF(OMI41&lt;=80,"Alto","Inviable Sanitariamente"))))</f>
        <v>Inviable Sanitariamente</v>
      </c>
      <c r="OMV41" s="117">
        <v>97.9</v>
      </c>
      <c r="OMX41" s="117">
        <f>AVERAGE(OML41:OMW41)</f>
        <v>97.9</v>
      </c>
      <c r="OMY41" s="117" t="str">
        <f>IF(OMX41&lt;5,"SI","NO")</f>
        <v>NO</v>
      </c>
      <c r="OMZ41" s="117" t="str">
        <f>IF(OMX41&lt;5,"Sin Riesgo",IF(OMX41 &lt;=14,"Bajo",IF(OMX41&lt;=35,"Medio",IF(OMX41&lt;=80,"Alto","Inviable Sanitariamente"))))</f>
        <v>Inviable Sanitariamente</v>
      </c>
      <c r="ONK41" s="117">
        <v>97.9</v>
      </c>
      <c r="ONM41" s="117">
        <f>AVERAGE(ONA41:ONL41)</f>
        <v>97.9</v>
      </c>
      <c r="ONN41" s="117" t="str">
        <f>IF(ONM41&lt;5,"SI","NO")</f>
        <v>NO</v>
      </c>
      <c r="ONO41" s="117" t="str">
        <f>IF(ONM41&lt;5,"Sin Riesgo",IF(ONM41 &lt;=14,"Bajo",IF(ONM41&lt;=35,"Medio",IF(ONM41&lt;=80,"Alto","Inviable Sanitariamente"))))</f>
        <v>Inviable Sanitariamente</v>
      </c>
      <c r="ONZ41" s="117">
        <v>97.9</v>
      </c>
      <c r="OOB41" s="117">
        <f>AVERAGE(ONP41:OOA41)</f>
        <v>97.9</v>
      </c>
      <c r="OOC41" s="117" t="str">
        <f>IF(OOB41&lt;5,"SI","NO")</f>
        <v>NO</v>
      </c>
      <c r="OOD41" s="117" t="str">
        <f>IF(OOB41&lt;5,"Sin Riesgo",IF(OOB41 &lt;=14,"Bajo",IF(OOB41&lt;=35,"Medio",IF(OOB41&lt;=80,"Alto","Inviable Sanitariamente"))))</f>
        <v>Inviable Sanitariamente</v>
      </c>
      <c r="OOO41" s="117">
        <v>97.9</v>
      </c>
      <c r="OOQ41" s="117">
        <f>AVERAGE(OOE41:OOP41)</f>
        <v>97.9</v>
      </c>
      <c r="OOR41" s="117" t="str">
        <f>IF(OOQ41&lt;5,"SI","NO")</f>
        <v>NO</v>
      </c>
      <c r="OOS41" s="117" t="str">
        <f>IF(OOQ41&lt;5,"Sin Riesgo",IF(OOQ41 &lt;=14,"Bajo",IF(OOQ41&lt;=35,"Medio",IF(OOQ41&lt;=80,"Alto","Inviable Sanitariamente"))))</f>
        <v>Inviable Sanitariamente</v>
      </c>
      <c r="OPD41" s="117">
        <v>97.9</v>
      </c>
      <c r="OPF41" s="117">
        <f>AVERAGE(OOT41:OPE41)</f>
        <v>97.9</v>
      </c>
      <c r="OPG41" s="117" t="str">
        <f>IF(OPF41&lt;5,"SI","NO")</f>
        <v>NO</v>
      </c>
      <c r="OPH41" s="117" t="str">
        <f>IF(OPF41&lt;5,"Sin Riesgo",IF(OPF41 &lt;=14,"Bajo",IF(OPF41&lt;=35,"Medio",IF(OPF41&lt;=80,"Alto","Inviable Sanitariamente"))))</f>
        <v>Inviable Sanitariamente</v>
      </c>
      <c r="OPS41" s="117">
        <v>97.9</v>
      </c>
      <c r="OPU41" s="117">
        <f>AVERAGE(OPI41:OPT41)</f>
        <v>97.9</v>
      </c>
      <c r="OPV41" s="117" t="str">
        <f>IF(OPU41&lt;5,"SI","NO")</f>
        <v>NO</v>
      </c>
      <c r="OPW41" s="117" t="str">
        <f>IF(OPU41&lt;5,"Sin Riesgo",IF(OPU41 &lt;=14,"Bajo",IF(OPU41&lt;=35,"Medio",IF(OPU41&lt;=80,"Alto","Inviable Sanitariamente"))))</f>
        <v>Inviable Sanitariamente</v>
      </c>
      <c r="OQH41" s="117">
        <v>97.9</v>
      </c>
      <c r="OQJ41" s="117">
        <f>AVERAGE(OPX41:OQI41)</f>
        <v>97.9</v>
      </c>
      <c r="OQK41" s="117" t="str">
        <f>IF(OQJ41&lt;5,"SI","NO")</f>
        <v>NO</v>
      </c>
      <c r="OQL41" s="117" t="str">
        <f>IF(OQJ41&lt;5,"Sin Riesgo",IF(OQJ41 &lt;=14,"Bajo",IF(OQJ41&lt;=35,"Medio",IF(OQJ41&lt;=80,"Alto","Inviable Sanitariamente"))))</f>
        <v>Inviable Sanitariamente</v>
      </c>
      <c r="OQW41" s="117">
        <v>97.9</v>
      </c>
      <c r="OQY41" s="117">
        <f>AVERAGE(OQM41:OQX41)</f>
        <v>97.9</v>
      </c>
      <c r="OQZ41" s="117" t="str">
        <f>IF(OQY41&lt;5,"SI","NO")</f>
        <v>NO</v>
      </c>
      <c r="ORA41" s="117" t="str">
        <f>IF(OQY41&lt;5,"Sin Riesgo",IF(OQY41 &lt;=14,"Bajo",IF(OQY41&lt;=35,"Medio",IF(OQY41&lt;=80,"Alto","Inviable Sanitariamente"))))</f>
        <v>Inviable Sanitariamente</v>
      </c>
      <c r="ORL41" s="117">
        <v>97.9</v>
      </c>
      <c r="ORN41" s="117">
        <f>AVERAGE(ORB41:ORM41)</f>
        <v>97.9</v>
      </c>
      <c r="ORO41" s="117" t="str">
        <f>IF(ORN41&lt;5,"SI","NO")</f>
        <v>NO</v>
      </c>
      <c r="ORP41" s="117" t="str">
        <f>IF(ORN41&lt;5,"Sin Riesgo",IF(ORN41 &lt;=14,"Bajo",IF(ORN41&lt;=35,"Medio",IF(ORN41&lt;=80,"Alto","Inviable Sanitariamente"))))</f>
        <v>Inviable Sanitariamente</v>
      </c>
      <c r="OSA41" s="117">
        <v>97.9</v>
      </c>
      <c r="OSC41" s="117">
        <f>AVERAGE(ORQ41:OSB41)</f>
        <v>97.9</v>
      </c>
      <c r="OSD41" s="117" t="str">
        <f>IF(OSC41&lt;5,"SI","NO")</f>
        <v>NO</v>
      </c>
      <c r="OSE41" s="117" t="str">
        <f>IF(OSC41&lt;5,"Sin Riesgo",IF(OSC41 &lt;=14,"Bajo",IF(OSC41&lt;=35,"Medio",IF(OSC41&lt;=80,"Alto","Inviable Sanitariamente"))))</f>
        <v>Inviable Sanitariamente</v>
      </c>
      <c r="OSP41" s="117">
        <v>97.9</v>
      </c>
      <c r="OSR41" s="117">
        <f>AVERAGE(OSF41:OSQ41)</f>
        <v>97.9</v>
      </c>
      <c r="OSS41" s="117" t="str">
        <f>IF(OSR41&lt;5,"SI","NO")</f>
        <v>NO</v>
      </c>
      <c r="OST41" s="117" t="str">
        <f>IF(OSR41&lt;5,"Sin Riesgo",IF(OSR41 &lt;=14,"Bajo",IF(OSR41&lt;=35,"Medio",IF(OSR41&lt;=80,"Alto","Inviable Sanitariamente"))))</f>
        <v>Inviable Sanitariamente</v>
      </c>
      <c r="OTE41" s="117">
        <v>97.9</v>
      </c>
      <c r="OTG41" s="117">
        <f>AVERAGE(OSU41:OTF41)</f>
        <v>97.9</v>
      </c>
      <c r="OTH41" s="117" t="str">
        <f>IF(OTG41&lt;5,"SI","NO")</f>
        <v>NO</v>
      </c>
      <c r="OTI41" s="117" t="str">
        <f>IF(OTG41&lt;5,"Sin Riesgo",IF(OTG41 &lt;=14,"Bajo",IF(OTG41&lt;=35,"Medio",IF(OTG41&lt;=80,"Alto","Inviable Sanitariamente"))))</f>
        <v>Inviable Sanitariamente</v>
      </c>
      <c r="OTT41" s="117">
        <v>97.9</v>
      </c>
      <c r="OTV41" s="117">
        <f>AVERAGE(OTJ41:OTU41)</f>
        <v>97.9</v>
      </c>
      <c r="OTW41" s="117" t="str">
        <f>IF(OTV41&lt;5,"SI","NO")</f>
        <v>NO</v>
      </c>
      <c r="OTX41" s="117" t="str">
        <f>IF(OTV41&lt;5,"Sin Riesgo",IF(OTV41 &lt;=14,"Bajo",IF(OTV41&lt;=35,"Medio",IF(OTV41&lt;=80,"Alto","Inviable Sanitariamente"))))</f>
        <v>Inviable Sanitariamente</v>
      </c>
      <c r="OUI41" s="117">
        <v>97.9</v>
      </c>
      <c r="OUK41" s="117">
        <f>AVERAGE(OTY41:OUJ41)</f>
        <v>97.9</v>
      </c>
      <c r="OUL41" s="117" t="str">
        <f>IF(OUK41&lt;5,"SI","NO")</f>
        <v>NO</v>
      </c>
      <c r="OUM41" s="117" t="str">
        <f>IF(OUK41&lt;5,"Sin Riesgo",IF(OUK41 &lt;=14,"Bajo",IF(OUK41&lt;=35,"Medio",IF(OUK41&lt;=80,"Alto","Inviable Sanitariamente"))))</f>
        <v>Inviable Sanitariamente</v>
      </c>
      <c r="OUX41" s="117">
        <v>97.9</v>
      </c>
      <c r="OUZ41" s="117">
        <f>AVERAGE(OUN41:OUY41)</f>
        <v>97.9</v>
      </c>
      <c r="OVA41" s="117" t="str">
        <f>IF(OUZ41&lt;5,"SI","NO")</f>
        <v>NO</v>
      </c>
      <c r="OVB41" s="117" t="str">
        <f>IF(OUZ41&lt;5,"Sin Riesgo",IF(OUZ41 &lt;=14,"Bajo",IF(OUZ41&lt;=35,"Medio",IF(OUZ41&lt;=80,"Alto","Inviable Sanitariamente"))))</f>
        <v>Inviable Sanitariamente</v>
      </c>
      <c r="OVM41" s="117">
        <v>97.9</v>
      </c>
      <c r="OVO41" s="117">
        <f>AVERAGE(OVC41:OVN41)</f>
        <v>97.9</v>
      </c>
      <c r="OVP41" s="117" t="str">
        <f>IF(OVO41&lt;5,"SI","NO")</f>
        <v>NO</v>
      </c>
      <c r="OVQ41" s="117" t="str">
        <f>IF(OVO41&lt;5,"Sin Riesgo",IF(OVO41 &lt;=14,"Bajo",IF(OVO41&lt;=35,"Medio",IF(OVO41&lt;=80,"Alto","Inviable Sanitariamente"))))</f>
        <v>Inviable Sanitariamente</v>
      </c>
      <c r="OWB41" s="117">
        <v>97.9</v>
      </c>
      <c r="OWD41" s="117">
        <f>AVERAGE(OVR41:OWC41)</f>
        <v>97.9</v>
      </c>
      <c r="OWE41" s="117" t="str">
        <f>IF(OWD41&lt;5,"SI","NO")</f>
        <v>NO</v>
      </c>
      <c r="OWF41" s="117" t="str">
        <f>IF(OWD41&lt;5,"Sin Riesgo",IF(OWD41 &lt;=14,"Bajo",IF(OWD41&lt;=35,"Medio",IF(OWD41&lt;=80,"Alto","Inviable Sanitariamente"))))</f>
        <v>Inviable Sanitariamente</v>
      </c>
      <c r="OWQ41" s="117">
        <v>97.9</v>
      </c>
      <c r="OWS41" s="117">
        <f>AVERAGE(OWG41:OWR41)</f>
        <v>97.9</v>
      </c>
      <c r="OWT41" s="117" t="str">
        <f>IF(OWS41&lt;5,"SI","NO")</f>
        <v>NO</v>
      </c>
      <c r="OWU41" s="117" t="str">
        <f>IF(OWS41&lt;5,"Sin Riesgo",IF(OWS41 &lt;=14,"Bajo",IF(OWS41&lt;=35,"Medio",IF(OWS41&lt;=80,"Alto","Inviable Sanitariamente"))))</f>
        <v>Inviable Sanitariamente</v>
      </c>
      <c r="OXF41" s="117">
        <v>97.9</v>
      </c>
      <c r="OXH41" s="117">
        <f>AVERAGE(OWV41:OXG41)</f>
        <v>97.9</v>
      </c>
      <c r="OXI41" s="117" t="str">
        <f>IF(OXH41&lt;5,"SI","NO")</f>
        <v>NO</v>
      </c>
      <c r="OXJ41" s="117" t="str">
        <f>IF(OXH41&lt;5,"Sin Riesgo",IF(OXH41 &lt;=14,"Bajo",IF(OXH41&lt;=35,"Medio",IF(OXH41&lt;=80,"Alto","Inviable Sanitariamente"))))</f>
        <v>Inviable Sanitariamente</v>
      </c>
      <c r="OXU41" s="117">
        <v>97.9</v>
      </c>
      <c r="OXW41" s="117">
        <f>AVERAGE(OXK41:OXV41)</f>
        <v>97.9</v>
      </c>
      <c r="OXX41" s="117" t="str">
        <f>IF(OXW41&lt;5,"SI","NO")</f>
        <v>NO</v>
      </c>
      <c r="OXY41" s="117" t="str">
        <f>IF(OXW41&lt;5,"Sin Riesgo",IF(OXW41 &lt;=14,"Bajo",IF(OXW41&lt;=35,"Medio",IF(OXW41&lt;=80,"Alto","Inviable Sanitariamente"))))</f>
        <v>Inviable Sanitariamente</v>
      </c>
      <c r="OYJ41" s="117">
        <v>97.9</v>
      </c>
      <c r="OYL41" s="117">
        <f>AVERAGE(OXZ41:OYK41)</f>
        <v>97.9</v>
      </c>
      <c r="OYM41" s="117" t="str">
        <f>IF(OYL41&lt;5,"SI","NO")</f>
        <v>NO</v>
      </c>
      <c r="OYN41" s="117" t="str">
        <f>IF(OYL41&lt;5,"Sin Riesgo",IF(OYL41 &lt;=14,"Bajo",IF(OYL41&lt;=35,"Medio",IF(OYL41&lt;=80,"Alto","Inviable Sanitariamente"))))</f>
        <v>Inviable Sanitariamente</v>
      </c>
      <c r="OYY41" s="117">
        <v>97.9</v>
      </c>
      <c r="OZA41" s="117">
        <f>AVERAGE(OYO41:OYZ41)</f>
        <v>97.9</v>
      </c>
      <c r="OZB41" s="117" t="str">
        <f>IF(OZA41&lt;5,"SI","NO")</f>
        <v>NO</v>
      </c>
      <c r="OZC41" s="117" t="str">
        <f>IF(OZA41&lt;5,"Sin Riesgo",IF(OZA41 &lt;=14,"Bajo",IF(OZA41&lt;=35,"Medio",IF(OZA41&lt;=80,"Alto","Inviable Sanitariamente"))))</f>
        <v>Inviable Sanitariamente</v>
      </c>
      <c r="OZN41" s="117">
        <v>97.9</v>
      </c>
      <c r="OZP41" s="117">
        <f>AVERAGE(OZD41:OZO41)</f>
        <v>97.9</v>
      </c>
      <c r="OZQ41" s="117" t="str">
        <f>IF(OZP41&lt;5,"SI","NO")</f>
        <v>NO</v>
      </c>
      <c r="OZR41" s="117" t="str">
        <f>IF(OZP41&lt;5,"Sin Riesgo",IF(OZP41 &lt;=14,"Bajo",IF(OZP41&lt;=35,"Medio",IF(OZP41&lt;=80,"Alto","Inviable Sanitariamente"))))</f>
        <v>Inviable Sanitariamente</v>
      </c>
      <c r="PAC41" s="117">
        <v>97.9</v>
      </c>
      <c r="PAE41" s="117">
        <f>AVERAGE(OZS41:PAD41)</f>
        <v>97.9</v>
      </c>
      <c r="PAF41" s="117" t="str">
        <f>IF(PAE41&lt;5,"SI","NO")</f>
        <v>NO</v>
      </c>
      <c r="PAG41" s="117" t="str">
        <f>IF(PAE41&lt;5,"Sin Riesgo",IF(PAE41 &lt;=14,"Bajo",IF(PAE41&lt;=35,"Medio",IF(PAE41&lt;=80,"Alto","Inviable Sanitariamente"))))</f>
        <v>Inviable Sanitariamente</v>
      </c>
      <c r="PAR41" s="117">
        <v>97.9</v>
      </c>
      <c r="PAT41" s="117">
        <f>AVERAGE(PAH41:PAS41)</f>
        <v>97.9</v>
      </c>
      <c r="PAU41" s="117" t="str">
        <f>IF(PAT41&lt;5,"SI","NO")</f>
        <v>NO</v>
      </c>
      <c r="PAV41" s="117" t="str">
        <f>IF(PAT41&lt;5,"Sin Riesgo",IF(PAT41 &lt;=14,"Bajo",IF(PAT41&lt;=35,"Medio",IF(PAT41&lt;=80,"Alto","Inviable Sanitariamente"))))</f>
        <v>Inviable Sanitariamente</v>
      </c>
      <c r="PBG41" s="117">
        <v>97.9</v>
      </c>
      <c r="PBI41" s="117">
        <f>AVERAGE(PAW41:PBH41)</f>
        <v>97.9</v>
      </c>
      <c r="PBJ41" s="117" t="str">
        <f>IF(PBI41&lt;5,"SI","NO")</f>
        <v>NO</v>
      </c>
      <c r="PBK41" s="117" t="str">
        <f>IF(PBI41&lt;5,"Sin Riesgo",IF(PBI41 &lt;=14,"Bajo",IF(PBI41&lt;=35,"Medio",IF(PBI41&lt;=80,"Alto","Inviable Sanitariamente"))))</f>
        <v>Inviable Sanitariamente</v>
      </c>
      <c r="PBV41" s="117">
        <v>97.9</v>
      </c>
      <c r="PBX41" s="117">
        <f>AVERAGE(PBL41:PBW41)</f>
        <v>97.9</v>
      </c>
      <c r="PBY41" s="117" t="str">
        <f>IF(PBX41&lt;5,"SI","NO")</f>
        <v>NO</v>
      </c>
      <c r="PBZ41" s="117" t="str">
        <f>IF(PBX41&lt;5,"Sin Riesgo",IF(PBX41 &lt;=14,"Bajo",IF(PBX41&lt;=35,"Medio",IF(PBX41&lt;=80,"Alto","Inviable Sanitariamente"))))</f>
        <v>Inviable Sanitariamente</v>
      </c>
      <c r="PCK41" s="117">
        <v>97.9</v>
      </c>
      <c r="PCM41" s="117">
        <f>AVERAGE(PCA41:PCL41)</f>
        <v>97.9</v>
      </c>
      <c r="PCN41" s="117" t="str">
        <f>IF(PCM41&lt;5,"SI","NO")</f>
        <v>NO</v>
      </c>
      <c r="PCO41" s="117" t="str">
        <f>IF(PCM41&lt;5,"Sin Riesgo",IF(PCM41 &lt;=14,"Bajo",IF(PCM41&lt;=35,"Medio",IF(PCM41&lt;=80,"Alto","Inviable Sanitariamente"))))</f>
        <v>Inviable Sanitariamente</v>
      </c>
      <c r="PCZ41" s="117">
        <v>97.9</v>
      </c>
      <c r="PDB41" s="117">
        <f>AVERAGE(PCP41:PDA41)</f>
        <v>97.9</v>
      </c>
      <c r="PDC41" s="117" t="str">
        <f>IF(PDB41&lt;5,"SI","NO")</f>
        <v>NO</v>
      </c>
      <c r="PDD41" s="117" t="str">
        <f>IF(PDB41&lt;5,"Sin Riesgo",IF(PDB41 &lt;=14,"Bajo",IF(PDB41&lt;=35,"Medio",IF(PDB41&lt;=80,"Alto","Inviable Sanitariamente"))))</f>
        <v>Inviable Sanitariamente</v>
      </c>
      <c r="PDO41" s="117">
        <v>97.9</v>
      </c>
      <c r="PDQ41" s="117">
        <f>AVERAGE(PDE41:PDP41)</f>
        <v>97.9</v>
      </c>
      <c r="PDR41" s="117" t="str">
        <f>IF(PDQ41&lt;5,"SI","NO")</f>
        <v>NO</v>
      </c>
      <c r="PDS41" s="117" t="str">
        <f>IF(PDQ41&lt;5,"Sin Riesgo",IF(PDQ41 &lt;=14,"Bajo",IF(PDQ41&lt;=35,"Medio",IF(PDQ41&lt;=80,"Alto","Inviable Sanitariamente"))))</f>
        <v>Inviable Sanitariamente</v>
      </c>
      <c r="PED41" s="117">
        <v>97.9</v>
      </c>
      <c r="PEF41" s="117">
        <f>AVERAGE(PDT41:PEE41)</f>
        <v>97.9</v>
      </c>
      <c r="PEG41" s="117" t="str">
        <f>IF(PEF41&lt;5,"SI","NO")</f>
        <v>NO</v>
      </c>
      <c r="PEH41" s="117" t="str">
        <f>IF(PEF41&lt;5,"Sin Riesgo",IF(PEF41 &lt;=14,"Bajo",IF(PEF41&lt;=35,"Medio",IF(PEF41&lt;=80,"Alto","Inviable Sanitariamente"))))</f>
        <v>Inviable Sanitariamente</v>
      </c>
      <c r="PES41" s="117">
        <v>97.9</v>
      </c>
      <c r="PEU41" s="117">
        <f>AVERAGE(PEI41:PET41)</f>
        <v>97.9</v>
      </c>
      <c r="PEV41" s="117" t="str">
        <f>IF(PEU41&lt;5,"SI","NO")</f>
        <v>NO</v>
      </c>
      <c r="PEW41" s="117" t="str">
        <f>IF(PEU41&lt;5,"Sin Riesgo",IF(PEU41 &lt;=14,"Bajo",IF(PEU41&lt;=35,"Medio",IF(PEU41&lt;=80,"Alto","Inviable Sanitariamente"))))</f>
        <v>Inviable Sanitariamente</v>
      </c>
      <c r="PFH41" s="117">
        <v>97.9</v>
      </c>
      <c r="PFJ41" s="117">
        <f>AVERAGE(PEX41:PFI41)</f>
        <v>97.9</v>
      </c>
      <c r="PFK41" s="117" t="str">
        <f>IF(PFJ41&lt;5,"SI","NO")</f>
        <v>NO</v>
      </c>
      <c r="PFL41" s="117" t="str">
        <f>IF(PFJ41&lt;5,"Sin Riesgo",IF(PFJ41 &lt;=14,"Bajo",IF(PFJ41&lt;=35,"Medio",IF(PFJ41&lt;=80,"Alto","Inviable Sanitariamente"))))</f>
        <v>Inviable Sanitariamente</v>
      </c>
      <c r="PFW41" s="117">
        <v>97.9</v>
      </c>
      <c r="PFY41" s="117">
        <f>AVERAGE(PFM41:PFX41)</f>
        <v>97.9</v>
      </c>
      <c r="PFZ41" s="117" t="str">
        <f>IF(PFY41&lt;5,"SI","NO")</f>
        <v>NO</v>
      </c>
      <c r="PGA41" s="117" t="str">
        <f>IF(PFY41&lt;5,"Sin Riesgo",IF(PFY41 &lt;=14,"Bajo",IF(PFY41&lt;=35,"Medio",IF(PFY41&lt;=80,"Alto","Inviable Sanitariamente"))))</f>
        <v>Inviable Sanitariamente</v>
      </c>
      <c r="PGL41" s="117">
        <v>97.9</v>
      </c>
      <c r="PGN41" s="117">
        <f>AVERAGE(PGB41:PGM41)</f>
        <v>97.9</v>
      </c>
      <c r="PGO41" s="117" t="str">
        <f>IF(PGN41&lt;5,"SI","NO")</f>
        <v>NO</v>
      </c>
      <c r="PGP41" s="117" t="str">
        <f>IF(PGN41&lt;5,"Sin Riesgo",IF(PGN41 &lt;=14,"Bajo",IF(PGN41&lt;=35,"Medio",IF(PGN41&lt;=80,"Alto","Inviable Sanitariamente"))))</f>
        <v>Inviable Sanitariamente</v>
      </c>
      <c r="PHA41" s="117">
        <v>97.9</v>
      </c>
      <c r="PHC41" s="117">
        <f>AVERAGE(PGQ41:PHB41)</f>
        <v>97.9</v>
      </c>
      <c r="PHD41" s="117" t="str">
        <f>IF(PHC41&lt;5,"SI","NO")</f>
        <v>NO</v>
      </c>
      <c r="PHE41" s="117" t="str">
        <f>IF(PHC41&lt;5,"Sin Riesgo",IF(PHC41 &lt;=14,"Bajo",IF(PHC41&lt;=35,"Medio",IF(PHC41&lt;=80,"Alto","Inviable Sanitariamente"))))</f>
        <v>Inviable Sanitariamente</v>
      </c>
      <c r="PHP41" s="117">
        <v>97.9</v>
      </c>
      <c r="PHR41" s="117">
        <f>AVERAGE(PHF41:PHQ41)</f>
        <v>97.9</v>
      </c>
      <c r="PHS41" s="117" t="str">
        <f>IF(PHR41&lt;5,"SI","NO")</f>
        <v>NO</v>
      </c>
      <c r="PHT41" s="117" t="str">
        <f>IF(PHR41&lt;5,"Sin Riesgo",IF(PHR41 &lt;=14,"Bajo",IF(PHR41&lt;=35,"Medio",IF(PHR41&lt;=80,"Alto","Inviable Sanitariamente"))))</f>
        <v>Inviable Sanitariamente</v>
      </c>
      <c r="PIE41" s="117">
        <v>97.9</v>
      </c>
      <c r="PIG41" s="117">
        <f>AVERAGE(PHU41:PIF41)</f>
        <v>97.9</v>
      </c>
      <c r="PIH41" s="117" t="str">
        <f>IF(PIG41&lt;5,"SI","NO")</f>
        <v>NO</v>
      </c>
      <c r="PII41" s="117" t="str">
        <f>IF(PIG41&lt;5,"Sin Riesgo",IF(PIG41 &lt;=14,"Bajo",IF(PIG41&lt;=35,"Medio",IF(PIG41&lt;=80,"Alto","Inviable Sanitariamente"))))</f>
        <v>Inviable Sanitariamente</v>
      </c>
      <c r="PIT41" s="117">
        <v>97.9</v>
      </c>
      <c r="PIV41" s="117">
        <f>AVERAGE(PIJ41:PIU41)</f>
        <v>97.9</v>
      </c>
      <c r="PIW41" s="117" t="str">
        <f>IF(PIV41&lt;5,"SI","NO")</f>
        <v>NO</v>
      </c>
      <c r="PIX41" s="117" t="str">
        <f>IF(PIV41&lt;5,"Sin Riesgo",IF(PIV41 &lt;=14,"Bajo",IF(PIV41&lt;=35,"Medio",IF(PIV41&lt;=80,"Alto","Inviable Sanitariamente"))))</f>
        <v>Inviable Sanitariamente</v>
      </c>
      <c r="PJI41" s="117">
        <v>97.9</v>
      </c>
      <c r="PJK41" s="117">
        <f>AVERAGE(PIY41:PJJ41)</f>
        <v>97.9</v>
      </c>
      <c r="PJL41" s="117" t="str">
        <f>IF(PJK41&lt;5,"SI","NO")</f>
        <v>NO</v>
      </c>
      <c r="PJM41" s="117" t="str">
        <f>IF(PJK41&lt;5,"Sin Riesgo",IF(PJK41 &lt;=14,"Bajo",IF(PJK41&lt;=35,"Medio",IF(PJK41&lt;=80,"Alto","Inviable Sanitariamente"))))</f>
        <v>Inviable Sanitariamente</v>
      </c>
      <c r="PJX41" s="117">
        <v>97.9</v>
      </c>
      <c r="PJZ41" s="117">
        <f>AVERAGE(PJN41:PJY41)</f>
        <v>97.9</v>
      </c>
      <c r="PKA41" s="117" t="str">
        <f>IF(PJZ41&lt;5,"SI","NO")</f>
        <v>NO</v>
      </c>
      <c r="PKB41" s="117" t="str">
        <f>IF(PJZ41&lt;5,"Sin Riesgo",IF(PJZ41 &lt;=14,"Bajo",IF(PJZ41&lt;=35,"Medio",IF(PJZ41&lt;=80,"Alto","Inviable Sanitariamente"))))</f>
        <v>Inviable Sanitariamente</v>
      </c>
      <c r="PKM41" s="117">
        <v>97.9</v>
      </c>
      <c r="PKO41" s="117">
        <f>AVERAGE(PKC41:PKN41)</f>
        <v>97.9</v>
      </c>
      <c r="PKP41" s="117" t="str">
        <f>IF(PKO41&lt;5,"SI","NO")</f>
        <v>NO</v>
      </c>
      <c r="PKQ41" s="117" t="str">
        <f>IF(PKO41&lt;5,"Sin Riesgo",IF(PKO41 &lt;=14,"Bajo",IF(PKO41&lt;=35,"Medio",IF(PKO41&lt;=80,"Alto","Inviable Sanitariamente"))))</f>
        <v>Inviable Sanitariamente</v>
      </c>
      <c r="PLB41" s="117">
        <v>97.9</v>
      </c>
      <c r="PLD41" s="117">
        <f>AVERAGE(PKR41:PLC41)</f>
        <v>97.9</v>
      </c>
      <c r="PLE41" s="117" t="str">
        <f>IF(PLD41&lt;5,"SI","NO")</f>
        <v>NO</v>
      </c>
      <c r="PLF41" s="117" t="str">
        <f>IF(PLD41&lt;5,"Sin Riesgo",IF(PLD41 &lt;=14,"Bajo",IF(PLD41&lt;=35,"Medio",IF(PLD41&lt;=80,"Alto","Inviable Sanitariamente"))))</f>
        <v>Inviable Sanitariamente</v>
      </c>
      <c r="PLQ41" s="117">
        <v>97.9</v>
      </c>
      <c r="PLS41" s="117">
        <f>AVERAGE(PLG41:PLR41)</f>
        <v>97.9</v>
      </c>
      <c r="PLT41" s="117" t="str">
        <f>IF(PLS41&lt;5,"SI","NO")</f>
        <v>NO</v>
      </c>
      <c r="PLU41" s="117" t="str">
        <f>IF(PLS41&lt;5,"Sin Riesgo",IF(PLS41 &lt;=14,"Bajo",IF(PLS41&lt;=35,"Medio",IF(PLS41&lt;=80,"Alto","Inviable Sanitariamente"))))</f>
        <v>Inviable Sanitariamente</v>
      </c>
      <c r="PMF41" s="117">
        <v>97.9</v>
      </c>
      <c r="PMH41" s="117">
        <f>AVERAGE(PLV41:PMG41)</f>
        <v>97.9</v>
      </c>
      <c r="PMI41" s="117" t="str">
        <f>IF(PMH41&lt;5,"SI","NO")</f>
        <v>NO</v>
      </c>
      <c r="PMJ41" s="117" t="str">
        <f>IF(PMH41&lt;5,"Sin Riesgo",IF(PMH41 &lt;=14,"Bajo",IF(PMH41&lt;=35,"Medio",IF(PMH41&lt;=80,"Alto","Inviable Sanitariamente"))))</f>
        <v>Inviable Sanitariamente</v>
      </c>
      <c r="PMU41" s="117">
        <v>97.9</v>
      </c>
      <c r="PMW41" s="117">
        <f>AVERAGE(PMK41:PMV41)</f>
        <v>97.9</v>
      </c>
      <c r="PMX41" s="117" t="str">
        <f>IF(PMW41&lt;5,"SI","NO")</f>
        <v>NO</v>
      </c>
      <c r="PMY41" s="117" t="str">
        <f>IF(PMW41&lt;5,"Sin Riesgo",IF(PMW41 &lt;=14,"Bajo",IF(PMW41&lt;=35,"Medio",IF(PMW41&lt;=80,"Alto","Inviable Sanitariamente"))))</f>
        <v>Inviable Sanitariamente</v>
      </c>
      <c r="PNJ41" s="117">
        <v>97.9</v>
      </c>
      <c r="PNL41" s="117">
        <f>AVERAGE(PMZ41:PNK41)</f>
        <v>97.9</v>
      </c>
      <c r="PNM41" s="117" t="str">
        <f>IF(PNL41&lt;5,"SI","NO")</f>
        <v>NO</v>
      </c>
      <c r="PNN41" s="117" t="str">
        <f>IF(PNL41&lt;5,"Sin Riesgo",IF(PNL41 &lt;=14,"Bajo",IF(PNL41&lt;=35,"Medio",IF(PNL41&lt;=80,"Alto","Inviable Sanitariamente"))))</f>
        <v>Inviable Sanitariamente</v>
      </c>
      <c r="PNY41" s="117">
        <v>97.9</v>
      </c>
      <c r="POA41" s="117">
        <f>AVERAGE(PNO41:PNZ41)</f>
        <v>97.9</v>
      </c>
      <c r="POB41" s="117" t="str">
        <f>IF(POA41&lt;5,"SI","NO")</f>
        <v>NO</v>
      </c>
      <c r="POC41" s="117" t="str">
        <f>IF(POA41&lt;5,"Sin Riesgo",IF(POA41 &lt;=14,"Bajo",IF(POA41&lt;=35,"Medio",IF(POA41&lt;=80,"Alto","Inviable Sanitariamente"))))</f>
        <v>Inviable Sanitariamente</v>
      </c>
      <c r="PON41" s="117">
        <v>97.9</v>
      </c>
      <c r="POP41" s="117">
        <f>AVERAGE(POD41:POO41)</f>
        <v>97.9</v>
      </c>
      <c r="POQ41" s="117" t="str">
        <f>IF(POP41&lt;5,"SI","NO")</f>
        <v>NO</v>
      </c>
      <c r="POR41" s="117" t="str">
        <f>IF(POP41&lt;5,"Sin Riesgo",IF(POP41 &lt;=14,"Bajo",IF(POP41&lt;=35,"Medio",IF(POP41&lt;=80,"Alto","Inviable Sanitariamente"))))</f>
        <v>Inviable Sanitariamente</v>
      </c>
      <c r="PPC41" s="117">
        <v>97.9</v>
      </c>
      <c r="PPE41" s="117">
        <f>AVERAGE(POS41:PPD41)</f>
        <v>97.9</v>
      </c>
      <c r="PPF41" s="117" t="str">
        <f>IF(PPE41&lt;5,"SI","NO")</f>
        <v>NO</v>
      </c>
      <c r="PPG41" s="117" t="str">
        <f>IF(PPE41&lt;5,"Sin Riesgo",IF(PPE41 &lt;=14,"Bajo",IF(PPE41&lt;=35,"Medio",IF(PPE41&lt;=80,"Alto","Inviable Sanitariamente"))))</f>
        <v>Inviable Sanitariamente</v>
      </c>
      <c r="PPR41" s="117">
        <v>97.9</v>
      </c>
      <c r="PPT41" s="117">
        <f>AVERAGE(PPH41:PPS41)</f>
        <v>97.9</v>
      </c>
      <c r="PPU41" s="117" t="str">
        <f>IF(PPT41&lt;5,"SI","NO")</f>
        <v>NO</v>
      </c>
      <c r="PPV41" s="117" t="str">
        <f>IF(PPT41&lt;5,"Sin Riesgo",IF(PPT41 &lt;=14,"Bajo",IF(PPT41&lt;=35,"Medio",IF(PPT41&lt;=80,"Alto","Inviable Sanitariamente"))))</f>
        <v>Inviable Sanitariamente</v>
      </c>
      <c r="PQG41" s="117">
        <v>97.9</v>
      </c>
      <c r="PQI41" s="117">
        <f>AVERAGE(PPW41:PQH41)</f>
        <v>97.9</v>
      </c>
      <c r="PQJ41" s="117" t="str">
        <f>IF(PQI41&lt;5,"SI","NO")</f>
        <v>NO</v>
      </c>
      <c r="PQK41" s="117" t="str">
        <f>IF(PQI41&lt;5,"Sin Riesgo",IF(PQI41 &lt;=14,"Bajo",IF(PQI41&lt;=35,"Medio",IF(PQI41&lt;=80,"Alto","Inviable Sanitariamente"))))</f>
        <v>Inviable Sanitariamente</v>
      </c>
      <c r="PQV41" s="117">
        <v>97.9</v>
      </c>
      <c r="PQX41" s="117">
        <f>AVERAGE(PQL41:PQW41)</f>
        <v>97.9</v>
      </c>
      <c r="PQY41" s="117" t="str">
        <f>IF(PQX41&lt;5,"SI","NO")</f>
        <v>NO</v>
      </c>
      <c r="PQZ41" s="117" t="str">
        <f>IF(PQX41&lt;5,"Sin Riesgo",IF(PQX41 &lt;=14,"Bajo",IF(PQX41&lt;=35,"Medio",IF(PQX41&lt;=80,"Alto","Inviable Sanitariamente"))))</f>
        <v>Inviable Sanitariamente</v>
      </c>
      <c r="PRK41" s="117">
        <v>97.9</v>
      </c>
      <c r="PRM41" s="117">
        <f>AVERAGE(PRA41:PRL41)</f>
        <v>97.9</v>
      </c>
      <c r="PRN41" s="117" t="str">
        <f>IF(PRM41&lt;5,"SI","NO")</f>
        <v>NO</v>
      </c>
      <c r="PRO41" s="117" t="str">
        <f>IF(PRM41&lt;5,"Sin Riesgo",IF(PRM41 &lt;=14,"Bajo",IF(PRM41&lt;=35,"Medio",IF(PRM41&lt;=80,"Alto","Inviable Sanitariamente"))))</f>
        <v>Inviable Sanitariamente</v>
      </c>
      <c r="PRZ41" s="117">
        <v>97.9</v>
      </c>
      <c r="PSB41" s="117">
        <f>AVERAGE(PRP41:PSA41)</f>
        <v>97.9</v>
      </c>
      <c r="PSC41" s="117" t="str">
        <f>IF(PSB41&lt;5,"SI","NO")</f>
        <v>NO</v>
      </c>
      <c r="PSD41" s="117" t="str">
        <f>IF(PSB41&lt;5,"Sin Riesgo",IF(PSB41 &lt;=14,"Bajo",IF(PSB41&lt;=35,"Medio",IF(PSB41&lt;=80,"Alto","Inviable Sanitariamente"))))</f>
        <v>Inviable Sanitariamente</v>
      </c>
      <c r="PSO41" s="117">
        <v>97.9</v>
      </c>
      <c r="PSQ41" s="117">
        <f>AVERAGE(PSE41:PSP41)</f>
        <v>97.9</v>
      </c>
      <c r="PSR41" s="117" t="str">
        <f>IF(PSQ41&lt;5,"SI","NO")</f>
        <v>NO</v>
      </c>
      <c r="PSS41" s="117" t="str">
        <f>IF(PSQ41&lt;5,"Sin Riesgo",IF(PSQ41 &lt;=14,"Bajo",IF(PSQ41&lt;=35,"Medio",IF(PSQ41&lt;=80,"Alto","Inviable Sanitariamente"))))</f>
        <v>Inviable Sanitariamente</v>
      </c>
      <c r="PTD41" s="117">
        <v>97.9</v>
      </c>
      <c r="PTF41" s="117">
        <f>AVERAGE(PST41:PTE41)</f>
        <v>97.9</v>
      </c>
      <c r="PTG41" s="117" t="str">
        <f>IF(PTF41&lt;5,"SI","NO")</f>
        <v>NO</v>
      </c>
      <c r="PTH41" s="117" t="str">
        <f>IF(PTF41&lt;5,"Sin Riesgo",IF(PTF41 &lt;=14,"Bajo",IF(PTF41&lt;=35,"Medio",IF(PTF41&lt;=80,"Alto","Inviable Sanitariamente"))))</f>
        <v>Inviable Sanitariamente</v>
      </c>
      <c r="PTS41" s="117">
        <v>97.9</v>
      </c>
      <c r="PTU41" s="117">
        <f>AVERAGE(PTI41:PTT41)</f>
        <v>97.9</v>
      </c>
      <c r="PTV41" s="117" t="str">
        <f>IF(PTU41&lt;5,"SI","NO")</f>
        <v>NO</v>
      </c>
      <c r="PTW41" s="117" t="str">
        <f>IF(PTU41&lt;5,"Sin Riesgo",IF(PTU41 &lt;=14,"Bajo",IF(PTU41&lt;=35,"Medio",IF(PTU41&lt;=80,"Alto","Inviable Sanitariamente"))))</f>
        <v>Inviable Sanitariamente</v>
      </c>
      <c r="PUH41" s="117">
        <v>97.9</v>
      </c>
      <c r="PUJ41" s="117">
        <f>AVERAGE(PTX41:PUI41)</f>
        <v>97.9</v>
      </c>
      <c r="PUK41" s="117" t="str">
        <f>IF(PUJ41&lt;5,"SI","NO")</f>
        <v>NO</v>
      </c>
      <c r="PUL41" s="117" t="str">
        <f>IF(PUJ41&lt;5,"Sin Riesgo",IF(PUJ41 &lt;=14,"Bajo",IF(PUJ41&lt;=35,"Medio",IF(PUJ41&lt;=80,"Alto","Inviable Sanitariamente"))))</f>
        <v>Inviable Sanitariamente</v>
      </c>
      <c r="PUW41" s="117">
        <v>97.9</v>
      </c>
      <c r="PUY41" s="117">
        <f>AVERAGE(PUM41:PUX41)</f>
        <v>97.9</v>
      </c>
      <c r="PUZ41" s="117" t="str">
        <f>IF(PUY41&lt;5,"SI","NO")</f>
        <v>NO</v>
      </c>
      <c r="PVA41" s="117" t="str">
        <f>IF(PUY41&lt;5,"Sin Riesgo",IF(PUY41 &lt;=14,"Bajo",IF(PUY41&lt;=35,"Medio",IF(PUY41&lt;=80,"Alto","Inviable Sanitariamente"))))</f>
        <v>Inviable Sanitariamente</v>
      </c>
      <c r="PVL41" s="117">
        <v>97.9</v>
      </c>
      <c r="PVN41" s="117">
        <f>AVERAGE(PVB41:PVM41)</f>
        <v>97.9</v>
      </c>
      <c r="PVO41" s="117" t="str">
        <f>IF(PVN41&lt;5,"SI","NO")</f>
        <v>NO</v>
      </c>
      <c r="PVP41" s="117" t="str">
        <f>IF(PVN41&lt;5,"Sin Riesgo",IF(PVN41 &lt;=14,"Bajo",IF(PVN41&lt;=35,"Medio",IF(PVN41&lt;=80,"Alto","Inviable Sanitariamente"))))</f>
        <v>Inviable Sanitariamente</v>
      </c>
      <c r="PWA41" s="117">
        <v>97.9</v>
      </c>
      <c r="PWC41" s="117">
        <f>AVERAGE(PVQ41:PWB41)</f>
        <v>97.9</v>
      </c>
      <c r="PWD41" s="117" t="str">
        <f>IF(PWC41&lt;5,"SI","NO")</f>
        <v>NO</v>
      </c>
      <c r="PWE41" s="117" t="str">
        <f>IF(PWC41&lt;5,"Sin Riesgo",IF(PWC41 &lt;=14,"Bajo",IF(PWC41&lt;=35,"Medio",IF(PWC41&lt;=80,"Alto","Inviable Sanitariamente"))))</f>
        <v>Inviable Sanitariamente</v>
      </c>
      <c r="PWP41" s="117">
        <v>97.9</v>
      </c>
      <c r="PWR41" s="117">
        <f>AVERAGE(PWF41:PWQ41)</f>
        <v>97.9</v>
      </c>
      <c r="PWS41" s="117" t="str">
        <f>IF(PWR41&lt;5,"SI","NO")</f>
        <v>NO</v>
      </c>
      <c r="PWT41" s="117" t="str">
        <f>IF(PWR41&lt;5,"Sin Riesgo",IF(PWR41 &lt;=14,"Bajo",IF(PWR41&lt;=35,"Medio",IF(PWR41&lt;=80,"Alto","Inviable Sanitariamente"))))</f>
        <v>Inviable Sanitariamente</v>
      </c>
      <c r="PXE41" s="117">
        <v>97.9</v>
      </c>
      <c r="PXG41" s="117">
        <f>AVERAGE(PWU41:PXF41)</f>
        <v>97.9</v>
      </c>
      <c r="PXH41" s="117" t="str">
        <f>IF(PXG41&lt;5,"SI","NO")</f>
        <v>NO</v>
      </c>
      <c r="PXI41" s="117" t="str">
        <f>IF(PXG41&lt;5,"Sin Riesgo",IF(PXG41 &lt;=14,"Bajo",IF(PXG41&lt;=35,"Medio",IF(PXG41&lt;=80,"Alto","Inviable Sanitariamente"))))</f>
        <v>Inviable Sanitariamente</v>
      </c>
      <c r="PXT41" s="117">
        <v>97.9</v>
      </c>
      <c r="PXV41" s="117">
        <f>AVERAGE(PXJ41:PXU41)</f>
        <v>97.9</v>
      </c>
      <c r="PXW41" s="117" t="str">
        <f>IF(PXV41&lt;5,"SI","NO")</f>
        <v>NO</v>
      </c>
      <c r="PXX41" s="117" t="str">
        <f>IF(PXV41&lt;5,"Sin Riesgo",IF(PXV41 &lt;=14,"Bajo",IF(PXV41&lt;=35,"Medio",IF(PXV41&lt;=80,"Alto","Inviable Sanitariamente"))))</f>
        <v>Inviable Sanitariamente</v>
      </c>
      <c r="PYI41" s="117">
        <v>97.9</v>
      </c>
      <c r="PYK41" s="117">
        <f>AVERAGE(PXY41:PYJ41)</f>
        <v>97.9</v>
      </c>
      <c r="PYL41" s="117" t="str">
        <f>IF(PYK41&lt;5,"SI","NO")</f>
        <v>NO</v>
      </c>
      <c r="PYM41" s="117" t="str">
        <f>IF(PYK41&lt;5,"Sin Riesgo",IF(PYK41 &lt;=14,"Bajo",IF(PYK41&lt;=35,"Medio",IF(PYK41&lt;=80,"Alto","Inviable Sanitariamente"))))</f>
        <v>Inviable Sanitariamente</v>
      </c>
      <c r="PYX41" s="117">
        <v>97.9</v>
      </c>
      <c r="PYZ41" s="117">
        <f>AVERAGE(PYN41:PYY41)</f>
        <v>97.9</v>
      </c>
      <c r="PZA41" s="117" t="str">
        <f>IF(PYZ41&lt;5,"SI","NO")</f>
        <v>NO</v>
      </c>
      <c r="PZB41" s="117" t="str">
        <f>IF(PYZ41&lt;5,"Sin Riesgo",IF(PYZ41 &lt;=14,"Bajo",IF(PYZ41&lt;=35,"Medio",IF(PYZ41&lt;=80,"Alto","Inviable Sanitariamente"))))</f>
        <v>Inviable Sanitariamente</v>
      </c>
      <c r="PZM41" s="117">
        <v>97.9</v>
      </c>
      <c r="PZO41" s="117">
        <f>AVERAGE(PZC41:PZN41)</f>
        <v>97.9</v>
      </c>
      <c r="PZP41" s="117" t="str">
        <f>IF(PZO41&lt;5,"SI","NO")</f>
        <v>NO</v>
      </c>
      <c r="PZQ41" s="117" t="str">
        <f>IF(PZO41&lt;5,"Sin Riesgo",IF(PZO41 &lt;=14,"Bajo",IF(PZO41&lt;=35,"Medio",IF(PZO41&lt;=80,"Alto","Inviable Sanitariamente"))))</f>
        <v>Inviable Sanitariamente</v>
      </c>
      <c r="QAB41" s="117">
        <v>97.9</v>
      </c>
      <c r="QAD41" s="117">
        <f>AVERAGE(PZR41:QAC41)</f>
        <v>97.9</v>
      </c>
      <c r="QAE41" s="117" t="str">
        <f>IF(QAD41&lt;5,"SI","NO")</f>
        <v>NO</v>
      </c>
      <c r="QAF41" s="117" t="str">
        <f>IF(QAD41&lt;5,"Sin Riesgo",IF(QAD41 &lt;=14,"Bajo",IF(QAD41&lt;=35,"Medio",IF(QAD41&lt;=80,"Alto","Inviable Sanitariamente"))))</f>
        <v>Inviable Sanitariamente</v>
      </c>
      <c r="QAQ41" s="117">
        <v>97.9</v>
      </c>
      <c r="QAS41" s="117">
        <f>AVERAGE(QAG41:QAR41)</f>
        <v>97.9</v>
      </c>
      <c r="QAT41" s="117" t="str">
        <f>IF(QAS41&lt;5,"SI","NO")</f>
        <v>NO</v>
      </c>
      <c r="QAU41" s="117" t="str">
        <f>IF(QAS41&lt;5,"Sin Riesgo",IF(QAS41 &lt;=14,"Bajo",IF(QAS41&lt;=35,"Medio",IF(QAS41&lt;=80,"Alto","Inviable Sanitariamente"))))</f>
        <v>Inviable Sanitariamente</v>
      </c>
      <c r="QBF41" s="117">
        <v>97.9</v>
      </c>
      <c r="QBH41" s="117">
        <f>AVERAGE(QAV41:QBG41)</f>
        <v>97.9</v>
      </c>
      <c r="QBI41" s="117" t="str">
        <f>IF(QBH41&lt;5,"SI","NO")</f>
        <v>NO</v>
      </c>
      <c r="QBJ41" s="117" t="str">
        <f>IF(QBH41&lt;5,"Sin Riesgo",IF(QBH41 &lt;=14,"Bajo",IF(QBH41&lt;=35,"Medio",IF(QBH41&lt;=80,"Alto","Inviable Sanitariamente"))))</f>
        <v>Inviable Sanitariamente</v>
      </c>
      <c r="QBU41" s="117">
        <v>97.9</v>
      </c>
      <c r="QBW41" s="117">
        <f>AVERAGE(QBK41:QBV41)</f>
        <v>97.9</v>
      </c>
      <c r="QBX41" s="117" t="str">
        <f>IF(QBW41&lt;5,"SI","NO")</f>
        <v>NO</v>
      </c>
      <c r="QBY41" s="117" t="str">
        <f>IF(QBW41&lt;5,"Sin Riesgo",IF(QBW41 &lt;=14,"Bajo",IF(QBW41&lt;=35,"Medio",IF(QBW41&lt;=80,"Alto","Inviable Sanitariamente"))))</f>
        <v>Inviable Sanitariamente</v>
      </c>
      <c r="QCJ41" s="117">
        <v>97.9</v>
      </c>
      <c r="QCL41" s="117">
        <f>AVERAGE(QBZ41:QCK41)</f>
        <v>97.9</v>
      </c>
      <c r="QCM41" s="117" t="str">
        <f>IF(QCL41&lt;5,"SI","NO")</f>
        <v>NO</v>
      </c>
      <c r="QCN41" s="117" t="str">
        <f>IF(QCL41&lt;5,"Sin Riesgo",IF(QCL41 &lt;=14,"Bajo",IF(QCL41&lt;=35,"Medio",IF(QCL41&lt;=80,"Alto","Inviable Sanitariamente"))))</f>
        <v>Inviable Sanitariamente</v>
      </c>
      <c r="QCY41" s="117">
        <v>97.9</v>
      </c>
      <c r="QDA41" s="117">
        <f>AVERAGE(QCO41:QCZ41)</f>
        <v>97.9</v>
      </c>
      <c r="QDB41" s="117" t="str">
        <f>IF(QDA41&lt;5,"SI","NO")</f>
        <v>NO</v>
      </c>
      <c r="QDC41" s="117" t="str">
        <f>IF(QDA41&lt;5,"Sin Riesgo",IF(QDA41 &lt;=14,"Bajo",IF(QDA41&lt;=35,"Medio",IF(QDA41&lt;=80,"Alto","Inviable Sanitariamente"))))</f>
        <v>Inviable Sanitariamente</v>
      </c>
      <c r="QDN41" s="117">
        <v>97.9</v>
      </c>
      <c r="QDP41" s="117">
        <f>AVERAGE(QDD41:QDO41)</f>
        <v>97.9</v>
      </c>
      <c r="QDQ41" s="117" t="str">
        <f>IF(QDP41&lt;5,"SI","NO")</f>
        <v>NO</v>
      </c>
      <c r="QDR41" s="117" t="str">
        <f>IF(QDP41&lt;5,"Sin Riesgo",IF(QDP41 &lt;=14,"Bajo",IF(QDP41&lt;=35,"Medio",IF(QDP41&lt;=80,"Alto","Inviable Sanitariamente"))))</f>
        <v>Inviable Sanitariamente</v>
      </c>
      <c r="QEC41" s="117">
        <v>97.9</v>
      </c>
      <c r="QEE41" s="117">
        <f>AVERAGE(QDS41:QED41)</f>
        <v>97.9</v>
      </c>
      <c r="QEF41" s="117" t="str">
        <f>IF(QEE41&lt;5,"SI","NO")</f>
        <v>NO</v>
      </c>
      <c r="QEG41" s="117" t="str">
        <f>IF(QEE41&lt;5,"Sin Riesgo",IF(QEE41 &lt;=14,"Bajo",IF(QEE41&lt;=35,"Medio",IF(QEE41&lt;=80,"Alto","Inviable Sanitariamente"))))</f>
        <v>Inviable Sanitariamente</v>
      </c>
      <c r="QER41" s="117">
        <v>97.9</v>
      </c>
      <c r="QET41" s="117">
        <f>AVERAGE(QEH41:QES41)</f>
        <v>97.9</v>
      </c>
      <c r="QEU41" s="117" t="str">
        <f>IF(QET41&lt;5,"SI","NO")</f>
        <v>NO</v>
      </c>
      <c r="QEV41" s="117" t="str">
        <f>IF(QET41&lt;5,"Sin Riesgo",IF(QET41 &lt;=14,"Bajo",IF(QET41&lt;=35,"Medio",IF(QET41&lt;=80,"Alto","Inviable Sanitariamente"))))</f>
        <v>Inviable Sanitariamente</v>
      </c>
      <c r="QFG41" s="117">
        <v>97.9</v>
      </c>
      <c r="QFI41" s="117">
        <f>AVERAGE(QEW41:QFH41)</f>
        <v>97.9</v>
      </c>
      <c r="QFJ41" s="117" t="str">
        <f>IF(QFI41&lt;5,"SI","NO")</f>
        <v>NO</v>
      </c>
      <c r="QFK41" s="117" t="str">
        <f>IF(QFI41&lt;5,"Sin Riesgo",IF(QFI41 &lt;=14,"Bajo",IF(QFI41&lt;=35,"Medio",IF(QFI41&lt;=80,"Alto","Inviable Sanitariamente"))))</f>
        <v>Inviable Sanitariamente</v>
      </c>
      <c r="QFV41" s="117">
        <v>97.9</v>
      </c>
      <c r="QFX41" s="117">
        <f>AVERAGE(QFL41:QFW41)</f>
        <v>97.9</v>
      </c>
      <c r="QFY41" s="117" t="str">
        <f>IF(QFX41&lt;5,"SI","NO")</f>
        <v>NO</v>
      </c>
      <c r="QFZ41" s="117" t="str">
        <f>IF(QFX41&lt;5,"Sin Riesgo",IF(QFX41 &lt;=14,"Bajo",IF(QFX41&lt;=35,"Medio",IF(QFX41&lt;=80,"Alto","Inviable Sanitariamente"))))</f>
        <v>Inviable Sanitariamente</v>
      </c>
      <c r="QGK41" s="117">
        <v>97.9</v>
      </c>
      <c r="QGM41" s="117">
        <f>AVERAGE(QGA41:QGL41)</f>
        <v>97.9</v>
      </c>
      <c r="QGN41" s="117" t="str">
        <f>IF(QGM41&lt;5,"SI","NO")</f>
        <v>NO</v>
      </c>
      <c r="QGO41" s="117" t="str">
        <f>IF(QGM41&lt;5,"Sin Riesgo",IF(QGM41 &lt;=14,"Bajo",IF(QGM41&lt;=35,"Medio",IF(QGM41&lt;=80,"Alto","Inviable Sanitariamente"))))</f>
        <v>Inviable Sanitariamente</v>
      </c>
      <c r="QGZ41" s="117">
        <v>97.9</v>
      </c>
      <c r="QHB41" s="117">
        <f>AVERAGE(QGP41:QHA41)</f>
        <v>97.9</v>
      </c>
      <c r="QHC41" s="117" t="str">
        <f>IF(QHB41&lt;5,"SI","NO")</f>
        <v>NO</v>
      </c>
      <c r="QHD41" s="117" t="str">
        <f>IF(QHB41&lt;5,"Sin Riesgo",IF(QHB41 &lt;=14,"Bajo",IF(QHB41&lt;=35,"Medio",IF(QHB41&lt;=80,"Alto","Inviable Sanitariamente"))))</f>
        <v>Inviable Sanitariamente</v>
      </c>
      <c r="QHO41" s="117">
        <v>97.9</v>
      </c>
      <c r="QHQ41" s="117">
        <f>AVERAGE(QHE41:QHP41)</f>
        <v>97.9</v>
      </c>
      <c r="QHR41" s="117" t="str">
        <f>IF(QHQ41&lt;5,"SI","NO")</f>
        <v>NO</v>
      </c>
      <c r="QHS41" s="117" t="str">
        <f>IF(QHQ41&lt;5,"Sin Riesgo",IF(QHQ41 &lt;=14,"Bajo",IF(QHQ41&lt;=35,"Medio",IF(QHQ41&lt;=80,"Alto","Inviable Sanitariamente"))))</f>
        <v>Inviable Sanitariamente</v>
      </c>
      <c r="QID41" s="117">
        <v>97.9</v>
      </c>
      <c r="QIF41" s="117">
        <f>AVERAGE(QHT41:QIE41)</f>
        <v>97.9</v>
      </c>
      <c r="QIG41" s="117" t="str">
        <f>IF(QIF41&lt;5,"SI","NO")</f>
        <v>NO</v>
      </c>
      <c r="QIH41" s="117" t="str">
        <f>IF(QIF41&lt;5,"Sin Riesgo",IF(QIF41 &lt;=14,"Bajo",IF(QIF41&lt;=35,"Medio",IF(QIF41&lt;=80,"Alto","Inviable Sanitariamente"))))</f>
        <v>Inviable Sanitariamente</v>
      </c>
      <c r="QIS41" s="117">
        <v>97.9</v>
      </c>
      <c r="QIU41" s="117">
        <f>AVERAGE(QII41:QIT41)</f>
        <v>97.9</v>
      </c>
      <c r="QIV41" s="117" t="str">
        <f>IF(QIU41&lt;5,"SI","NO")</f>
        <v>NO</v>
      </c>
      <c r="QIW41" s="117" t="str">
        <f>IF(QIU41&lt;5,"Sin Riesgo",IF(QIU41 &lt;=14,"Bajo",IF(QIU41&lt;=35,"Medio",IF(QIU41&lt;=80,"Alto","Inviable Sanitariamente"))))</f>
        <v>Inviable Sanitariamente</v>
      </c>
      <c r="QJH41" s="117">
        <v>97.9</v>
      </c>
      <c r="QJJ41" s="117">
        <f>AVERAGE(QIX41:QJI41)</f>
        <v>97.9</v>
      </c>
      <c r="QJK41" s="117" t="str">
        <f>IF(QJJ41&lt;5,"SI","NO")</f>
        <v>NO</v>
      </c>
      <c r="QJL41" s="117" t="str">
        <f>IF(QJJ41&lt;5,"Sin Riesgo",IF(QJJ41 &lt;=14,"Bajo",IF(QJJ41&lt;=35,"Medio",IF(QJJ41&lt;=80,"Alto","Inviable Sanitariamente"))))</f>
        <v>Inviable Sanitariamente</v>
      </c>
      <c r="QJW41" s="117">
        <v>97.9</v>
      </c>
      <c r="QJY41" s="117">
        <f>AVERAGE(QJM41:QJX41)</f>
        <v>97.9</v>
      </c>
      <c r="QJZ41" s="117" t="str">
        <f>IF(QJY41&lt;5,"SI","NO")</f>
        <v>NO</v>
      </c>
      <c r="QKA41" s="117" t="str">
        <f>IF(QJY41&lt;5,"Sin Riesgo",IF(QJY41 &lt;=14,"Bajo",IF(QJY41&lt;=35,"Medio",IF(QJY41&lt;=80,"Alto","Inviable Sanitariamente"))))</f>
        <v>Inviable Sanitariamente</v>
      </c>
      <c r="QKL41" s="117">
        <v>97.9</v>
      </c>
      <c r="QKN41" s="117">
        <f>AVERAGE(QKB41:QKM41)</f>
        <v>97.9</v>
      </c>
      <c r="QKO41" s="117" t="str">
        <f>IF(QKN41&lt;5,"SI","NO")</f>
        <v>NO</v>
      </c>
      <c r="QKP41" s="117" t="str">
        <f>IF(QKN41&lt;5,"Sin Riesgo",IF(QKN41 &lt;=14,"Bajo",IF(QKN41&lt;=35,"Medio",IF(QKN41&lt;=80,"Alto","Inviable Sanitariamente"))))</f>
        <v>Inviable Sanitariamente</v>
      </c>
      <c r="QLA41" s="117">
        <v>97.9</v>
      </c>
      <c r="QLC41" s="117">
        <f>AVERAGE(QKQ41:QLB41)</f>
        <v>97.9</v>
      </c>
      <c r="QLD41" s="117" t="str">
        <f>IF(QLC41&lt;5,"SI","NO")</f>
        <v>NO</v>
      </c>
      <c r="QLE41" s="117" t="str">
        <f>IF(QLC41&lt;5,"Sin Riesgo",IF(QLC41 &lt;=14,"Bajo",IF(QLC41&lt;=35,"Medio",IF(QLC41&lt;=80,"Alto","Inviable Sanitariamente"))))</f>
        <v>Inviable Sanitariamente</v>
      </c>
      <c r="QLP41" s="117">
        <v>97.9</v>
      </c>
      <c r="QLR41" s="117">
        <f>AVERAGE(QLF41:QLQ41)</f>
        <v>97.9</v>
      </c>
      <c r="QLS41" s="117" t="str">
        <f>IF(QLR41&lt;5,"SI","NO")</f>
        <v>NO</v>
      </c>
      <c r="QLT41" s="117" t="str">
        <f>IF(QLR41&lt;5,"Sin Riesgo",IF(QLR41 &lt;=14,"Bajo",IF(QLR41&lt;=35,"Medio",IF(QLR41&lt;=80,"Alto","Inviable Sanitariamente"))))</f>
        <v>Inviable Sanitariamente</v>
      </c>
      <c r="QME41" s="117">
        <v>97.9</v>
      </c>
      <c r="QMG41" s="117">
        <f>AVERAGE(QLU41:QMF41)</f>
        <v>97.9</v>
      </c>
      <c r="QMH41" s="117" t="str">
        <f>IF(QMG41&lt;5,"SI","NO")</f>
        <v>NO</v>
      </c>
      <c r="QMI41" s="117" t="str">
        <f>IF(QMG41&lt;5,"Sin Riesgo",IF(QMG41 &lt;=14,"Bajo",IF(QMG41&lt;=35,"Medio",IF(QMG41&lt;=80,"Alto","Inviable Sanitariamente"))))</f>
        <v>Inviable Sanitariamente</v>
      </c>
      <c r="QMT41" s="117">
        <v>97.9</v>
      </c>
      <c r="QMV41" s="117">
        <f>AVERAGE(QMJ41:QMU41)</f>
        <v>97.9</v>
      </c>
      <c r="QMW41" s="117" t="str">
        <f>IF(QMV41&lt;5,"SI","NO")</f>
        <v>NO</v>
      </c>
      <c r="QMX41" s="117" t="str">
        <f>IF(QMV41&lt;5,"Sin Riesgo",IF(QMV41 &lt;=14,"Bajo",IF(QMV41&lt;=35,"Medio",IF(QMV41&lt;=80,"Alto","Inviable Sanitariamente"))))</f>
        <v>Inviable Sanitariamente</v>
      </c>
      <c r="QNI41" s="117">
        <v>97.9</v>
      </c>
      <c r="QNK41" s="117">
        <f>AVERAGE(QMY41:QNJ41)</f>
        <v>97.9</v>
      </c>
      <c r="QNL41" s="117" t="str">
        <f>IF(QNK41&lt;5,"SI","NO")</f>
        <v>NO</v>
      </c>
      <c r="QNM41" s="117" t="str">
        <f>IF(QNK41&lt;5,"Sin Riesgo",IF(QNK41 &lt;=14,"Bajo",IF(QNK41&lt;=35,"Medio",IF(QNK41&lt;=80,"Alto","Inviable Sanitariamente"))))</f>
        <v>Inviable Sanitariamente</v>
      </c>
      <c r="QNX41" s="117">
        <v>97.9</v>
      </c>
      <c r="QNZ41" s="117">
        <f>AVERAGE(QNN41:QNY41)</f>
        <v>97.9</v>
      </c>
      <c r="QOA41" s="117" t="str">
        <f>IF(QNZ41&lt;5,"SI","NO")</f>
        <v>NO</v>
      </c>
      <c r="QOB41" s="117" t="str">
        <f>IF(QNZ41&lt;5,"Sin Riesgo",IF(QNZ41 &lt;=14,"Bajo",IF(QNZ41&lt;=35,"Medio",IF(QNZ41&lt;=80,"Alto","Inviable Sanitariamente"))))</f>
        <v>Inviable Sanitariamente</v>
      </c>
      <c r="QOM41" s="117">
        <v>97.9</v>
      </c>
      <c r="QOO41" s="117">
        <f>AVERAGE(QOC41:QON41)</f>
        <v>97.9</v>
      </c>
      <c r="QOP41" s="117" t="str">
        <f>IF(QOO41&lt;5,"SI","NO")</f>
        <v>NO</v>
      </c>
      <c r="QOQ41" s="117" t="str">
        <f>IF(QOO41&lt;5,"Sin Riesgo",IF(QOO41 &lt;=14,"Bajo",IF(QOO41&lt;=35,"Medio",IF(QOO41&lt;=80,"Alto","Inviable Sanitariamente"))))</f>
        <v>Inviable Sanitariamente</v>
      </c>
      <c r="QPB41" s="117">
        <v>97.9</v>
      </c>
      <c r="QPD41" s="117">
        <f>AVERAGE(QOR41:QPC41)</f>
        <v>97.9</v>
      </c>
      <c r="QPE41" s="117" t="str">
        <f>IF(QPD41&lt;5,"SI","NO")</f>
        <v>NO</v>
      </c>
      <c r="QPF41" s="117" t="str">
        <f>IF(QPD41&lt;5,"Sin Riesgo",IF(QPD41 &lt;=14,"Bajo",IF(QPD41&lt;=35,"Medio",IF(QPD41&lt;=80,"Alto","Inviable Sanitariamente"))))</f>
        <v>Inviable Sanitariamente</v>
      </c>
      <c r="QPQ41" s="117">
        <v>97.9</v>
      </c>
      <c r="QPS41" s="117">
        <f>AVERAGE(QPG41:QPR41)</f>
        <v>97.9</v>
      </c>
      <c r="QPT41" s="117" t="str">
        <f>IF(QPS41&lt;5,"SI","NO")</f>
        <v>NO</v>
      </c>
      <c r="QPU41" s="117" t="str">
        <f>IF(QPS41&lt;5,"Sin Riesgo",IF(QPS41 &lt;=14,"Bajo",IF(QPS41&lt;=35,"Medio",IF(QPS41&lt;=80,"Alto","Inviable Sanitariamente"))))</f>
        <v>Inviable Sanitariamente</v>
      </c>
      <c r="QQF41" s="117">
        <v>97.9</v>
      </c>
      <c r="QQH41" s="117">
        <f>AVERAGE(QPV41:QQG41)</f>
        <v>97.9</v>
      </c>
      <c r="QQI41" s="117" t="str">
        <f>IF(QQH41&lt;5,"SI","NO")</f>
        <v>NO</v>
      </c>
      <c r="QQJ41" s="117" t="str">
        <f>IF(QQH41&lt;5,"Sin Riesgo",IF(QQH41 &lt;=14,"Bajo",IF(QQH41&lt;=35,"Medio",IF(QQH41&lt;=80,"Alto","Inviable Sanitariamente"))))</f>
        <v>Inviable Sanitariamente</v>
      </c>
      <c r="QQU41" s="117">
        <v>97.9</v>
      </c>
      <c r="QQW41" s="117">
        <f>AVERAGE(QQK41:QQV41)</f>
        <v>97.9</v>
      </c>
      <c r="QQX41" s="117" t="str">
        <f>IF(QQW41&lt;5,"SI","NO")</f>
        <v>NO</v>
      </c>
      <c r="QQY41" s="117" t="str">
        <f>IF(QQW41&lt;5,"Sin Riesgo",IF(QQW41 &lt;=14,"Bajo",IF(QQW41&lt;=35,"Medio",IF(QQW41&lt;=80,"Alto","Inviable Sanitariamente"))))</f>
        <v>Inviable Sanitariamente</v>
      </c>
      <c r="QRJ41" s="117">
        <v>97.9</v>
      </c>
      <c r="QRL41" s="117">
        <f>AVERAGE(QQZ41:QRK41)</f>
        <v>97.9</v>
      </c>
      <c r="QRM41" s="117" t="str">
        <f>IF(QRL41&lt;5,"SI","NO")</f>
        <v>NO</v>
      </c>
      <c r="QRN41" s="117" t="str">
        <f>IF(QRL41&lt;5,"Sin Riesgo",IF(QRL41 &lt;=14,"Bajo",IF(QRL41&lt;=35,"Medio",IF(QRL41&lt;=80,"Alto","Inviable Sanitariamente"))))</f>
        <v>Inviable Sanitariamente</v>
      </c>
      <c r="QRY41" s="117">
        <v>97.9</v>
      </c>
      <c r="QSA41" s="117">
        <f>AVERAGE(QRO41:QRZ41)</f>
        <v>97.9</v>
      </c>
      <c r="QSB41" s="117" t="str">
        <f>IF(QSA41&lt;5,"SI","NO")</f>
        <v>NO</v>
      </c>
      <c r="QSC41" s="117" t="str">
        <f>IF(QSA41&lt;5,"Sin Riesgo",IF(QSA41 &lt;=14,"Bajo",IF(QSA41&lt;=35,"Medio",IF(QSA41&lt;=80,"Alto","Inviable Sanitariamente"))))</f>
        <v>Inviable Sanitariamente</v>
      </c>
      <c r="QSN41" s="117">
        <v>97.9</v>
      </c>
      <c r="QSP41" s="117">
        <f>AVERAGE(QSD41:QSO41)</f>
        <v>97.9</v>
      </c>
      <c r="QSQ41" s="117" t="str">
        <f>IF(QSP41&lt;5,"SI","NO")</f>
        <v>NO</v>
      </c>
      <c r="QSR41" s="117" t="str">
        <f>IF(QSP41&lt;5,"Sin Riesgo",IF(QSP41 &lt;=14,"Bajo",IF(QSP41&lt;=35,"Medio",IF(QSP41&lt;=80,"Alto","Inviable Sanitariamente"))))</f>
        <v>Inviable Sanitariamente</v>
      </c>
      <c r="QTC41" s="117">
        <v>97.9</v>
      </c>
      <c r="QTE41" s="117">
        <f>AVERAGE(QSS41:QTD41)</f>
        <v>97.9</v>
      </c>
      <c r="QTF41" s="117" t="str">
        <f>IF(QTE41&lt;5,"SI","NO")</f>
        <v>NO</v>
      </c>
      <c r="QTG41" s="117" t="str">
        <f>IF(QTE41&lt;5,"Sin Riesgo",IF(QTE41 &lt;=14,"Bajo",IF(QTE41&lt;=35,"Medio",IF(QTE41&lt;=80,"Alto","Inviable Sanitariamente"))))</f>
        <v>Inviable Sanitariamente</v>
      </c>
      <c r="QTR41" s="117">
        <v>97.9</v>
      </c>
      <c r="QTT41" s="117">
        <f>AVERAGE(QTH41:QTS41)</f>
        <v>97.9</v>
      </c>
      <c r="QTU41" s="117" t="str">
        <f>IF(QTT41&lt;5,"SI","NO")</f>
        <v>NO</v>
      </c>
      <c r="QTV41" s="117" t="str">
        <f>IF(QTT41&lt;5,"Sin Riesgo",IF(QTT41 &lt;=14,"Bajo",IF(QTT41&lt;=35,"Medio",IF(QTT41&lt;=80,"Alto","Inviable Sanitariamente"))))</f>
        <v>Inviable Sanitariamente</v>
      </c>
      <c r="QUG41" s="117">
        <v>97.9</v>
      </c>
      <c r="QUI41" s="117">
        <f>AVERAGE(QTW41:QUH41)</f>
        <v>97.9</v>
      </c>
      <c r="QUJ41" s="117" t="str">
        <f>IF(QUI41&lt;5,"SI","NO")</f>
        <v>NO</v>
      </c>
      <c r="QUK41" s="117" t="str">
        <f>IF(QUI41&lt;5,"Sin Riesgo",IF(QUI41 &lt;=14,"Bajo",IF(QUI41&lt;=35,"Medio",IF(QUI41&lt;=80,"Alto","Inviable Sanitariamente"))))</f>
        <v>Inviable Sanitariamente</v>
      </c>
      <c r="QUV41" s="117">
        <v>97.9</v>
      </c>
      <c r="QUX41" s="117">
        <f>AVERAGE(QUL41:QUW41)</f>
        <v>97.9</v>
      </c>
      <c r="QUY41" s="117" t="str">
        <f>IF(QUX41&lt;5,"SI","NO")</f>
        <v>NO</v>
      </c>
      <c r="QUZ41" s="117" t="str">
        <f>IF(QUX41&lt;5,"Sin Riesgo",IF(QUX41 &lt;=14,"Bajo",IF(QUX41&lt;=35,"Medio",IF(QUX41&lt;=80,"Alto","Inviable Sanitariamente"))))</f>
        <v>Inviable Sanitariamente</v>
      </c>
      <c r="QVK41" s="117">
        <v>97.9</v>
      </c>
      <c r="QVM41" s="117">
        <f>AVERAGE(QVA41:QVL41)</f>
        <v>97.9</v>
      </c>
      <c r="QVN41" s="117" t="str">
        <f>IF(QVM41&lt;5,"SI","NO")</f>
        <v>NO</v>
      </c>
      <c r="QVO41" s="117" t="str">
        <f>IF(QVM41&lt;5,"Sin Riesgo",IF(QVM41 &lt;=14,"Bajo",IF(QVM41&lt;=35,"Medio",IF(QVM41&lt;=80,"Alto","Inviable Sanitariamente"))))</f>
        <v>Inviable Sanitariamente</v>
      </c>
      <c r="QVZ41" s="117">
        <v>97.9</v>
      </c>
      <c r="QWB41" s="117">
        <f>AVERAGE(QVP41:QWA41)</f>
        <v>97.9</v>
      </c>
      <c r="QWC41" s="117" t="str">
        <f>IF(QWB41&lt;5,"SI","NO")</f>
        <v>NO</v>
      </c>
      <c r="QWD41" s="117" t="str">
        <f>IF(QWB41&lt;5,"Sin Riesgo",IF(QWB41 &lt;=14,"Bajo",IF(QWB41&lt;=35,"Medio",IF(QWB41&lt;=80,"Alto","Inviable Sanitariamente"))))</f>
        <v>Inviable Sanitariamente</v>
      </c>
      <c r="QWO41" s="117">
        <v>97.9</v>
      </c>
      <c r="QWQ41" s="117">
        <f>AVERAGE(QWE41:QWP41)</f>
        <v>97.9</v>
      </c>
      <c r="QWR41" s="117" t="str">
        <f>IF(QWQ41&lt;5,"SI","NO")</f>
        <v>NO</v>
      </c>
      <c r="QWS41" s="117" t="str">
        <f>IF(QWQ41&lt;5,"Sin Riesgo",IF(QWQ41 &lt;=14,"Bajo",IF(QWQ41&lt;=35,"Medio",IF(QWQ41&lt;=80,"Alto","Inviable Sanitariamente"))))</f>
        <v>Inviable Sanitariamente</v>
      </c>
      <c r="QXD41" s="117">
        <v>97.9</v>
      </c>
      <c r="QXF41" s="117">
        <f>AVERAGE(QWT41:QXE41)</f>
        <v>97.9</v>
      </c>
      <c r="QXG41" s="117" t="str">
        <f>IF(QXF41&lt;5,"SI","NO")</f>
        <v>NO</v>
      </c>
      <c r="QXH41" s="117" t="str">
        <f>IF(QXF41&lt;5,"Sin Riesgo",IF(QXF41 &lt;=14,"Bajo",IF(QXF41&lt;=35,"Medio",IF(QXF41&lt;=80,"Alto","Inviable Sanitariamente"))))</f>
        <v>Inviable Sanitariamente</v>
      </c>
      <c r="QXS41" s="117">
        <v>97.9</v>
      </c>
      <c r="QXU41" s="117">
        <f>AVERAGE(QXI41:QXT41)</f>
        <v>97.9</v>
      </c>
      <c r="QXV41" s="117" t="str">
        <f>IF(QXU41&lt;5,"SI","NO")</f>
        <v>NO</v>
      </c>
      <c r="QXW41" s="117" t="str">
        <f>IF(QXU41&lt;5,"Sin Riesgo",IF(QXU41 &lt;=14,"Bajo",IF(QXU41&lt;=35,"Medio",IF(QXU41&lt;=80,"Alto","Inviable Sanitariamente"))))</f>
        <v>Inviable Sanitariamente</v>
      </c>
      <c r="QYH41" s="117">
        <v>97.9</v>
      </c>
      <c r="QYJ41" s="117">
        <f>AVERAGE(QXX41:QYI41)</f>
        <v>97.9</v>
      </c>
      <c r="QYK41" s="117" t="str">
        <f>IF(QYJ41&lt;5,"SI","NO")</f>
        <v>NO</v>
      </c>
      <c r="QYL41" s="117" t="str">
        <f>IF(QYJ41&lt;5,"Sin Riesgo",IF(QYJ41 &lt;=14,"Bajo",IF(QYJ41&lt;=35,"Medio",IF(QYJ41&lt;=80,"Alto","Inviable Sanitariamente"))))</f>
        <v>Inviable Sanitariamente</v>
      </c>
      <c r="QYW41" s="117">
        <v>97.9</v>
      </c>
      <c r="QYY41" s="117">
        <f>AVERAGE(QYM41:QYX41)</f>
        <v>97.9</v>
      </c>
      <c r="QYZ41" s="117" t="str">
        <f>IF(QYY41&lt;5,"SI","NO")</f>
        <v>NO</v>
      </c>
      <c r="QZA41" s="117" t="str">
        <f>IF(QYY41&lt;5,"Sin Riesgo",IF(QYY41 &lt;=14,"Bajo",IF(QYY41&lt;=35,"Medio",IF(QYY41&lt;=80,"Alto","Inviable Sanitariamente"))))</f>
        <v>Inviable Sanitariamente</v>
      </c>
      <c r="QZL41" s="117">
        <v>97.9</v>
      </c>
      <c r="QZN41" s="117">
        <f>AVERAGE(QZB41:QZM41)</f>
        <v>97.9</v>
      </c>
      <c r="QZO41" s="117" t="str">
        <f>IF(QZN41&lt;5,"SI","NO")</f>
        <v>NO</v>
      </c>
      <c r="QZP41" s="117" t="str">
        <f>IF(QZN41&lt;5,"Sin Riesgo",IF(QZN41 &lt;=14,"Bajo",IF(QZN41&lt;=35,"Medio",IF(QZN41&lt;=80,"Alto","Inviable Sanitariamente"))))</f>
        <v>Inviable Sanitariamente</v>
      </c>
      <c r="RAA41" s="117">
        <v>97.9</v>
      </c>
      <c r="RAC41" s="117">
        <f>AVERAGE(QZQ41:RAB41)</f>
        <v>97.9</v>
      </c>
      <c r="RAD41" s="117" t="str">
        <f>IF(RAC41&lt;5,"SI","NO")</f>
        <v>NO</v>
      </c>
      <c r="RAE41" s="117" t="str">
        <f>IF(RAC41&lt;5,"Sin Riesgo",IF(RAC41 &lt;=14,"Bajo",IF(RAC41&lt;=35,"Medio",IF(RAC41&lt;=80,"Alto","Inviable Sanitariamente"))))</f>
        <v>Inviable Sanitariamente</v>
      </c>
      <c r="RAP41" s="117">
        <v>97.9</v>
      </c>
      <c r="RAR41" s="117">
        <f>AVERAGE(RAF41:RAQ41)</f>
        <v>97.9</v>
      </c>
      <c r="RAS41" s="117" t="str">
        <f>IF(RAR41&lt;5,"SI","NO")</f>
        <v>NO</v>
      </c>
      <c r="RAT41" s="117" t="str">
        <f>IF(RAR41&lt;5,"Sin Riesgo",IF(RAR41 &lt;=14,"Bajo",IF(RAR41&lt;=35,"Medio",IF(RAR41&lt;=80,"Alto","Inviable Sanitariamente"))))</f>
        <v>Inviable Sanitariamente</v>
      </c>
      <c r="RBE41" s="117">
        <v>97.9</v>
      </c>
      <c r="RBG41" s="117">
        <f>AVERAGE(RAU41:RBF41)</f>
        <v>97.9</v>
      </c>
      <c r="RBH41" s="117" t="str">
        <f>IF(RBG41&lt;5,"SI","NO")</f>
        <v>NO</v>
      </c>
      <c r="RBI41" s="117" t="str">
        <f>IF(RBG41&lt;5,"Sin Riesgo",IF(RBG41 &lt;=14,"Bajo",IF(RBG41&lt;=35,"Medio",IF(RBG41&lt;=80,"Alto","Inviable Sanitariamente"))))</f>
        <v>Inviable Sanitariamente</v>
      </c>
      <c r="RBT41" s="117">
        <v>97.9</v>
      </c>
      <c r="RBV41" s="117">
        <f>AVERAGE(RBJ41:RBU41)</f>
        <v>97.9</v>
      </c>
      <c r="RBW41" s="117" t="str">
        <f>IF(RBV41&lt;5,"SI","NO")</f>
        <v>NO</v>
      </c>
      <c r="RBX41" s="117" t="str">
        <f>IF(RBV41&lt;5,"Sin Riesgo",IF(RBV41 &lt;=14,"Bajo",IF(RBV41&lt;=35,"Medio",IF(RBV41&lt;=80,"Alto","Inviable Sanitariamente"))))</f>
        <v>Inviable Sanitariamente</v>
      </c>
      <c r="RCI41" s="117">
        <v>97.9</v>
      </c>
      <c r="RCK41" s="117">
        <f>AVERAGE(RBY41:RCJ41)</f>
        <v>97.9</v>
      </c>
      <c r="RCL41" s="117" t="str">
        <f>IF(RCK41&lt;5,"SI","NO")</f>
        <v>NO</v>
      </c>
      <c r="RCM41" s="117" t="str">
        <f>IF(RCK41&lt;5,"Sin Riesgo",IF(RCK41 &lt;=14,"Bajo",IF(RCK41&lt;=35,"Medio",IF(RCK41&lt;=80,"Alto","Inviable Sanitariamente"))))</f>
        <v>Inviable Sanitariamente</v>
      </c>
      <c r="RCX41" s="117">
        <v>97.9</v>
      </c>
      <c r="RCZ41" s="117">
        <f>AVERAGE(RCN41:RCY41)</f>
        <v>97.9</v>
      </c>
      <c r="RDA41" s="117" t="str">
        <f>IF(RCZ41&lt;5,"SI","NO")</f>
        <v>NO</v>
      </c>
      <c r="RDB41" s="117" t="str">
        <f>IF(RCZ41&lt;5,"Sin Riesgo",IF(RCZ41 &lt;=14,"Bajo",IF(RCZ41&lt;=35,"Medio",IF(RCZ41&lt;=80,"Alto","Inviable Sanitariamente"))))</f>
        <v>Inviable Sanitariamente</v>
      </c>
      <c r="RDM41" s="117">
        <v>97.9</v>
      </c>
      <c r="RDO41" s="117">
        <f>AVERAGE(RDC41:RDN41)</f>
        <v>97.9</v>
      </c>
      <c r="RDP41" s="117" t="str">
        <f>IF(RDO41&lt;5,"SI","NO")</f>
        <v>NO</v>
      </c>
      <c r="RDQ41" s="117" t="str">
        <f>IF(RDO41&lt;5,"Sin Riesgo",IF(RDO41 &lt;=14,"Bajo",IF(RDO41&lt;=35,"Medio",IF(RDO41&lt;=80,"Alto","Inviable Sanitariamente"))))</f>
        <v>Inviable Sanitariamente</v>
      </c>
      <c r="REB41" s="117">
        <v>97.9</v>
      </c>
      <c r="RED41" s="117">
        <f>AVERAGE(RDR41:REC41)</f>
        <v>97.9</v>
      </c>
      <c r="REE41" s="117" t="str">
        <f>IF(RED41&lt;5,"SI","NO")</f>
        <v>NO</v>
      </c>
      <c r="REF41" s="117" t="str">
        <f>IF(RED41&lt;5,"Sin Riesgo",IF(RED41 &lt;=14,"Bajo",IF(RED41&lt;=35,"Medio",IF(RED41&lt;=80,"Alto","Inviable Sanitariamente"))))</f>
        <v>Inviable Sanitariamente</v>
      </c>
      <c r="REQ41" s="117">
        <v>97.9</v>
      </c>
      <c r="RES41" s="117">
        <f>AVERAGE(REG41:RER41)</f>
        <v>97.9</v>
      </c>
      <c r="RET41" s="117" t="str">
        <f>IF(RES41&lt;5,"SI","NO")</f>
        <v>NO</v>
      </c>
      <c r="REU41" s="117" t="str">
        <f>IF(RES41&lt;5,"Sin Riesgo",IF(RES41 &lt;=14,"Bajo",IF(RES41&lt;=35,"Medio",IF(RES41&lt;=80,"Alto","Inviable Sanitariamente"))))</f>
        <v>Inviable Sanitariamente</v>
      </c>
      <c r="RFF41" s="117">
        <v>97.9</v>
      </c>
      <c r="RFH41" s="117">
        <f>AVERAGE(REV41:RFG41)</f>
        <v>97.9</v>
      </c>
      <c r="RFI41" s="117" t="str">
        <f>IF(RFH41&lt;5,"SI","NO")</f>
        <v>NO</v>
      </c>
      <c r="RFJ41" s="117" t="str">
        <f>IF(RFH41&lt;5,"Sin Riesgo",IF(RFH41 &lt;=14,"Bajo",IF(RFH41&lt;=35,"Medio",IF(RFH41&lt;=80,"Alto","Inviable Sanitariamente"))))</f>
        <v>Inviable Sanitariamente</v>
      </c>
      <c r="RFU41" s="117">
        <v>97.9</v>
      </c>
      <c r="RFW41" s="117">
        <f>AVERAGE(RFK41:RFV41)</f>
        <v>97.9</v>
      </c>
      <c r="RFX41" s="117" t="str">
        <f>IF(RFW41&lt;5,"SI","NO")</f>
        <v>NO</v>
      </c>
      <c r="RFY41" s="117" t="str">
        <f>IF(RFW41&lt;5,"Sin Riesgo",IF(RFW41 &lt;=14,"Bajo",IF(RFW41&lt;=35,"Medio",IF(RFW41&lt;=80,"Alto","Inviable Sanitariamente"))))</f>
        <v>Inviable Sanitariamente</v>
      </c>
      <c r="RGJ41" s="117">
        <v>97.9</v>
      </c>
      <c r="RGL41" s="117">
        <f>AVERAGE(RFZ41:RGK41)</f>
        <v>97.9</v>
      </c>
      <c r="RGM41" s="117" t="str">
        <f>IF(RGL41&lt;5,"SI","NO")</f>
        <v>NO</v>
      </c>
      <c r="RGN41" s="117" t="str">
        <f>IF(RGL41&lt;5,"Sin Riesgo",IF(RGL41 &lt;=14,"Bajo",IF(RGL41&lt;=35,"Medio",IF(RGL41&lt;=80,"Alto","Inviable Sanitariamente"))))</f>
        <v>Inviable Sanitariamente</v>
      </c>
      <c r="RGY41" s="117">
        <v>97.9</v>
      </c>
      <c r="RHA41" s="117">
        <f>AVERAGE(RGO41:RGZ41)</f>
        <v>97.9</v>
      </c>
      <c r="RHB41" s="117" t="str">
        <f>IF(RHA41&lt;5,"SI","NO")</f>
        <v>NO</v>
      </c>
      <c r="RHC41" s="117" t="str">
        <f>IF(RHA41&lt;5,"Sin Riesgo",IF(RHA41 &lt;=14,"Bajo",IF(RHA41&lt;=35,"Medio",IF(RHA41&lt;=80,"Alto","Inviable Sanitariamente"))))</f>
        <v>Inviable Sanitariamente</v>
      </c>
      <c r="RHN41" s="117">
        <v>97.9</v>
      </c>
      <c r="RHP41" s="117">
        <f>AVERAGE(RHD41:RHO41)</f>
        <v>97.9</v>
      </c>
      <c r="RHQ41" s="117" t="str">
        <f>IF(RHP41&lt;5,"SI","NO")</f>
        <v>NO</v>
      </c>
      <c r="RHR41" s="117" t="str">
        <f>IF(RHP41&lt;5,"Sin Riesgo",IF(RHP41 &lt;=14,"Bajo",IF(RHP41&lt;=35,"Medio",IF(RHP41&lt;=80,"Alto","Inviable Sanitariamente"))))</f>
        <v>Inviable Sanitariamente</v>
      </c>
      <c r="RIC41" s="117">
        <v>97.9</v>
      </c>
      <c r="RIE41" s="117">
        <f>AVERAGE(RHS41:RID41)</f>
        <v>97.9</v>
      </c>
      <c r="RIF41" s="117" t="str">
        <f>IF(RIE41&lt;5,"SI","NO")</f>
        <v>NO</v>
      </c>
      <c r="RIG41" s="117" t="str">
        <f>IF(RIE41&lt;5,"Sin Riesgo",IF(RIE41 &lt;=14,"Bajo",IF(RIE41&lt;=35,"Medio",IF(RIE41&lt;=80,"Alto","Inviable Sanitariamente"))))</f>
        <v>Inviable Sanitariamente</v>
      </c>
      <c r="RIR41" s="117">
        <v>97.9</v>
      </c>
      <c r="RIT41" s="117">
        <f>AVERAGE(RIH41:RIS41)</f>
        <v>97.9</v>
      </c>
      <c r="RIU41" s="117" t="str">
        <f>IF(RIT41&lt;5,"SI","NO")</f>
        <v>NO</v>
      </c>
      <c r="RIV41" s="117" t="str">
        <f>IF(RIT41&lt;5,"Sin Riesgo",IF(RIT41 &lt;=14,"Bajo",IF(RIT41&lt;=35,"Medio",IF(RIT41&lt;=80,"Alto","Inviable Sanitariamente"))))</f>
        <v>Inviable Sanitariamente</v>
      </c>
      <c r="RJG41" s="117">
        <v>97.9</v>
      </c>
      <c r="RJI41" s="117">
        <f>AVERAGE(RIW41:RJH41)</f>
        <v>97.9</v>
      </c>
      <c r="RJJ41" s="117" t="str">
        <f>IF(RJI41&lt;5,"SI","NO")</f>
        <v>NO</v>
      </c>
      <c r="RJK41" s="117" t="str">
        <f>IF(RJI41&lt;5,"Sin Riesgo",IF(RJI41 &lt;=14,"Bajo",IF(RJI41&lt;=35,"Medio",IF(RJI41&lt;=80,"Alto","Inviable Sanitariamente"))))</f>
        <v>Inviable Sanitariamente</v>
      </c>
      <c r="RJV41" s="117">
        <v>97.9</v>
      </c>
      <c r="RJX41" s="117">
        <f>AVERAGE(RJL41:RJW41)</f>
        <v>97.9</v>
      </c>
      <c r="RJY41" s="117" t="str">
        <f>IF(RJX41&lt;5,"SI","NO")</f>
        <v>NO</v>
      </c>
      <c r="RJZ41" s="117" t="str">
        <f>IF(RJX41&lt;5,"Sin Riesgo",IF(RJX41 &lt;=14,"Bajo",IF(RJX41&lt;=35,"Medio",IF(RJX41&lt;=80,"Alto","Inviable Sanitariamente"))))</f>
        <v>Inviable Sanitariamente</v>
      </c>
      <c r="RKK41" s="117">
        <v>97.9</v>
      </c>
      <c r="RKM41" s="117">
        <f>AVERAGE(RKA41:RKL41)</f>
        <v>97.9</v>
      </c>
      <c r="RKN41" s="117" t="str">
        <f>IF(RKM41&lt;5,"SI","NO")</f>
        <v>NO</v>
      </c>
      <c r="RKO41" s="117" t="str">
        <f>IF(RKM41&lt;5,"Sin Riesgo",IF(RKM41 &lt;=14,"Bajo",IF(RKM41&lt;=35,"Medio",IF(RKM41&lt;=80,"Alto","Inviable Sanitariamente"))))</f>
        <v>Inviable Sanitariamente</v>
      </c>
      <c r="RKZ41" s="117">
        <v>97.9</v>
      </c>
      <c r="RLB41" s="117">
        <f>AVERAGE(RKP41:RLA41)</f>
        <v>97.9</v>
      </c>
      <c r="RLC41" s="117" t="str">
        <f>IF(RLB41&lt;5,"SI","NO")</f>
        <v>NO</v>
      </c>
      <c r="RLD41" s="117" t="str">
        <f>IF(RLB41&lt;5,"Sin Riesgo",IF(RLB41 &lt;=14,"Bajo",IF(RLB41&lt;=35,"Medio",IF(RLB41&lt;=80,"Alto","Inviable Sanitariamente"))))</f>
        <v>Inviable Sanitariamente</v>
      </c>
      <c r="RLO41" s="117">
        <v>97.9</v>
      </c>
      <c r="RLQ41" s="117">
        <f>AVERAGE(RLE41:RLP41)</f>
        <v>97.9</v>
      </c>
      <c r="RLR41" s="117" t="str">
        <f>IF(RLQ41&lt;5,"SI","NO")</f>
        <v>NO</v>
      </c>
      <c r="RLS41" s="117" t="str">
        <f>IF(RLQ41&lt;5,"Sin Riesgo",IF(RLQ41 &lt;=14,"Bajo",IF(RLQ41&lt;=35,"Medio",IF(RLQ41&lt;=80,"Alto","Inviable Sanitariamente"))))</f>
        <v>Inviable Sanitariamente</v>
      </c>
      <c r="RMD41" s="117">
        <v>97.9</v>
      </c>
      <c r="RMF41" s="117">
        <f>AVERAGE(RLT41:RME41)</f>
        <v>97.9</v>
      </c>
      <c r="RMG41" s="117" t="str">
        <f>IF(RMF41&lt;5,"SI","NO")</f>
        <v>NO</v>
      </c>
      <c r="RMH41" s="117" t="str">
        <f>IF(RMF41&lt;5,"Sin Riesgo",IF(RMF41 &lt;=14,"Bajo",IF(RMF41&lt;=35,"Medio",IF(RMF41&lt;=80,"Alto","Inviable Sanitariamente"))))</f>
        <v>Inviable Sanitariamente</v>
      </c>
      <c r="RMS41" s="117">
        <v>97.9</v>
      </c>
      <c r="RMU41" s="117">
        <f>AVERAGE(RMI41:RMT41)</f>
        <v>97.9</v>
      </c>
      <c r="RMV41" s="117" t="str">
        <f>IF(RMU41&lt;5,"SI","NO")</f>
        <v>NO</v>
      </c>
      <c r="RMW41" s="117" t="str">
        <f>IF(RMU41&lt;5,"Sin Riesgo",IF(RMU41 &lt;=14,"Bajo",IF(RMU41&lt;=35,"Medio",IF(RMU41&lt;=80,"Alto","Inviable Sanitariamente"))))</f>
        <v>Inviable Sanitariamente</v>
      </c>
      <c r="RNH41" s="117">
        <v>97.9</v>
      </c>
      <c r="RNJ41" s="117">
        <f>AVERAGE(RMX41:RNI41)</f>
        <v>97.9</v>
      </c>
      <c r="RNK41" s="117" t="str">
        <f>IF(RNJ41&lt;5,"SI","NO")</f>
        <v>NO</v>
      </c>
      <c r="RNL41" s="117" t="str">
        <f>IF(RNJ41&lt;5,"Sin Riesgo",IF(RNJ41 &lt;=14,"Bajo",IF(RNJ41&lt;=35,"Medio",IF(RNJ41&lt;=80,"Alto","Inviable Sanitariamente"))))</f>
        <v>Inviable Sanitariamente</v>
      </c>
      <c r="RNW41" s="117">
        <v>97.9</v>
      </c>
      <c r="RNY41" s="117">
        <f>AVERAGE(RNM41:RNX41)</f>
        <v>97.9</v>
      </c>
      <c r="RNZ41" s="117" t="str">
        <f>IF(RNY41&lt;5,"SI","NO")</f>
        <v>NO</v>
      </c>
      <c r="ROA41" s="117" t="str">
        <f>IF(RNY41&lt;5,"Sin Riesgo",IF(RNY41 &lt;=14,"Bajo",IF(RNY41&lt;=35,"Medio",IF(RNY41&lt;=80,"Alto","Inviable Sanitariamente"))))</f>
        <v>Inviable Sanitariamente</v>
      </c>
      <c r="ROL41" s="117">
        <v>97.9</v>
      </c>
      <c r="RON41" s="117">
        <f>AVERAGE(ROB41:ROM41)</f>
        <v>97.9</v>
      </c>
      <c r="ROO41" s="117" t="str">
        <f>IF(RON41&lt;5,"SI","NO")</f>
        <v>NO</v>
      </c>
      <c r="ROP41" s="117" t="str">
        <f>IF(RON41&lt;5,"Sin Riesgo",IF(RON41 &lt;=14,"Bajo",IF(RON41&lt;=35,"Medio",IF(RON41&lt;=80,"Alto","Inviable Sanitariamente"))))</f>
        <v>Inviable Sanitariamente</v>
      </c>
      <c r="RPA41" s="117">
        <v>97.9</v>
      </c>
      <c r="RPC41" s="117">
        <f>AVERAGE(ROQ41:RPB41)</f>
        <v>97.9</v>
      </c>
      <c r="RPD41" s="117" t="str">
        <f>IF(RPC41&lt;5,"SI","NO")</f>
        <v>NO</v>
      </c>
      <c r="RPE41" s="117" t="str">
        <f>IF(RPC41&lt;5,"Sin Riesgo",IF(RPC41 &lt;=14,"Bajo",IF(RPC41&lt;=35,"Medio",IF(RPC41&lt;=80,"Alto","Inviable Sanitariamente"))))</f>
        <v>Inviable Sanitariamente</v>
      </c>
      <c r="RPP41" s="117">
        <v>97.9</v>
      </c>
      <c r="RPR41" s="117">
        <f>AVERAGE(RPF41:RPQ41)</f>
        <v>97.9</v>
      </c>
      <c r="RPS41" s="117" t="str">
        <f>IF(RPR41&lt;5,"SI","NO")</f>
        <v>NO</v>
      </c>
      <c r="RPT41" s="117" t="str">
        <f>IF(RPR41&lt;5,"Sin Riesgo",IF(RPR41 &lt;=14,"Bajo",IF(RPR41&lt;=35,"Medio",IF(RPR41&lt;=80,"Alto","Inviable Sanitariamente"))))</f>
        <v>Inviable Sanitariamente</v>
      </c>
      <c r="RQE41" s="117">
        <v>97.9</v>
      </c>
      <c r="RQG41" s="117">
        <f>AVERAGE(RPU41:RQF41)</f>
        <v>97.9</v>
      </c>
      <c r="RQH41" s="117" t="str">
        <f>IF(RQG41&lt;5,"SI","NO")</f>
        <v>NO</v>
      </c>
      <c r="RQI41" s="117" t="str">
        <f>IF(RQG41&lt;5,"Sin Riesgo",IF(RQG41 &lt;=14,"Bajo",IF(RQG41&lt;=35,"Medio",IF(RQG41&lt;=80,"Alto","Inviable Sanitariamente"))))</f>
        <v>Inviable Sanitariamente</v>
      </c>
      <c r="RQT41" s="117">
        <v>97.9</v>
      </c>
      <c r="RQV41" s="117">
        <f>AVERAGE(RQJ41:RQU41)</f>
        <v>97.9</v>
      </c>
      <c r="RQW41" s="117" t="str">
        <f>IF(RQV41&lt;5,"SI","NO")</f>
        <v>NO</v>
      </c>
      <c r="RQX41" s="117" t="str">
        <f>IF(RQV41&lt;5,"Sin Riesgo",IF(RQV41 &lt;=14,"Bajo",IF(RQV41&lt;=35,"Medio",IF(RQV41&lt;=80,"Alto","Inviable Sanitariamente"))))</f>
        <v>Inviable Sanitariamente</v>
      </c>
      <c r="RRI41" s="117">
        <v>97.9</v>
      </c>
      <c r="RRK41" s="117">
        <f>AVERAGE(RQY41:RRJ41)</f>
        <v>97.9</v>
      </c>
      <c r="RRL41" s="117" t="str">
        <f>IF(RRK41&lt;5,"SI","NO")</f>
        <v>NO</v>
      </c>
      <c r="RRM41" s="117" t="str">
        <f>IF(RRK41&lt;5,"Sin Riesgo",IF(RRK41 &lt;=14,"Bajo",IF(RRK41&lt;=35,"Medio",IF(RRK41&lt;=80,"Alto","Inviable Sanitariamente"))))</f>
        <v>Inviable Sanitariamente</v>
      </c>
      <c r="RRX41" s="117">
        <v>97.9</v>
      </c>
      <c r="RRZ41" s="117">
        <f>AVERAGE(RRN41:RRY41)</f>
        <v>97.9</v>
      </c>
      <c r="RSA41" s="117" t="str">
        <f>IF(RRZ41&lt;5,"SI","NO")</f>
        <v>NO</v>
      </c>
      <c r="RSB41" s="117" t="str">
        <f>IF(RRZ41&lt;5,"Sin Riesgo",IF(RRZ41 &lt;=14,"Bajo",IF(RRZ41&lt;=35,"Medio",IF(RRZ41&lt;=80,"Alto","Inviable Sanitariamente"))))</f>
        <v>Inviable Sanitariamente</v>
      </c>
      <c r="RSM41" s="117">
        <v>97.9</v>
      </c>
      <c r="RSO41" s="117">
        <f>AVERAGE(RSC41:RSN41)</f>
        <v>97.9</v>
      </c>
      <c r="RSP41" s="117" t="str">
        <f>IF(RSO41&lt;5,"SI","NO")</f>
        <v>NO</v>
      </c>
      <c r="RSQ41" s="117" t="str">
        <f>IF(RSO41&lt;5,"Sin Riesgo",IF(RSO41 &lt;=14,"Bajo",IF(RSO41&lt;=35,"Medio",IF(RSO41&lt;=80,"Alto","Inviable Sanitariamente"))))</f>
        <v>Inviable Sanitariamente</v>
      </c>
      <c r="RTB41" s="117">
        <v>97.9</v>
      </c>
      <c r="RTD41" s="117">
        <f>AVERAGE(RSR41:RTC41)</f>
        <v>97.9</v>
      </c>
      <c r="RTE41" s="117" t="str">
        <f>IF(RTD41&lt;5,"SI","NO")</f>
        <v>NO</v>
      </c>
      <c r="RTF41" s="117" t="str">
        <f>IF(RTD41&lt;5,"Sin Riesgo",IF(RTD41 &lt;=14,"Bajo",IF(RTD41&lt;=35,"Medio",IF(RTD41&lt;=80,"Alto","Inviable Sanitariamente"))))</f>
        <v>Inviable Sanitariamente</v>
      </c>
      <c r="RTQ41" s="117">
        <v>97.9</v>
      </c>
      <c r="RTS41" s="117">
        <f>AVERAGE(RTG41:RTR41)</f>
        <v>97.9</v>
      </c>
      <c r="RTT41" s="117" t="str">
        <f>IF(RTS41&lt;5,"SI","NO")</f>
        <v>NO</v>
      </c>
      <c r="RTU41" s="117" t="str">
        <f>IF(RTS41&lt;5,"Sin Riesgo",IF(RTS41 &lt;=14,"Bajo",IF(RTS41&lt;=35,"Medio",IF(RTS41&lt;=80,"Alto","Inviable Sanitariamente"))))</f>
        <v>Inviable Sanitariamente</v>
      </c>
      <c r="RUF41" s="117">
        <v>97.9</v>
      </c>
      <c r="RUH41" s="117">
        <f>AVERAGE(RTV41:RUG41)</f>
        <v>97.9</v>
      </c>
      <c r="RUI41" s="117" t="str">
        <f>IF(RUH41&lt;5,"SI","NO")</f>
        <v>NO</v>
      </c>
      <c r="RUJ41" s="117" t="str">
        <f>IF(RUH41&lt;5,"Sin Riesgo",IF(RUH41 &lt;=14,"Bajo",IF(RUH41&lt;=35,"Medio",IF(RUH41&lt;=80,"Alto","Inviable Sanitariamente"))))</f>
        <v>Inviable Sanitariamente</v>
      </c>
      <c r="RUU41" s="117">
        <v>97.9</v>
      </c>
      <c r="RUW41" s="117">
        <f>AVERAGE(RUK41:RUV41)</f>
        <v>97.9</v>
      </c>
      <c r="RUX41" s="117" t="str">
        <f>IF(RUW41&lt;5,"SI","NO")</f>
        <v>NO</v>
      </c>
      <c r="RUY41" s="117" t="str">
        <f>IF(RUW41&lt;5,"Sin Riesgo",IF(RUW41 &lt;=14,"Bajo",IF(RUW41&lt;=35,"Medio",IF(RUW41&lt;=80,"Alto","Inviable Sanitariamente"))))</f>
        <v>Inviable Sanitariamente</v>
      </c>
      <c r="RVJ41" s="117">
        <v>97.9</v>
      </c>
      <c r="RVL41" s="117">
        <f>AVERAGE(RUZ41:RVK41)</f>
        <v>97.9</v>
      </c>
      <c r="RVM41" s="117" t="str">
        <f>IF(RVL41&lt;5,"SI","NO")</f>
        <v>NO</v>
      </c>
      <c r="RVN41" s="117" t="str">
        <f>IF(RVL41&lt;5,"Sin Riesgo",IF(RVL41 &lt;=14,"Bajo",IF(RVL41&lt;=35,"Medio",IF(RVL41&lt;=80,"Alto","Inviable Sanitariamente"))))</f>
        <v>Inviable Sanitariamente</v>
      </c>
      <c r="RVY41" s="117">
        <v>97.9</v>
      </c>
      <c r="RWA41" s="117">
        <f>AVERAGE(RVO41:RVZ41)</f>
        <v>97.9</v>
      </c>
      <c r="RWB41" s="117" t="str">
        <f>IF(RWA41&lt;5,"SI","NO")</f>
        <v>NO</v>
      </c>
      <c r="RWC41" s="117" t="str">
        <f>IF(RWA41&lt;5,"Sin Riesgo",IF(RWA41 &lt;=14,"Bajo",IF(RWA41&lt;=35,"Medio",IF(RWA41&lt;=80,"Alto","Inviable Sanitariamente"))))</f>
        <v>Inviable Sanitariamente</v>
      </c>
      <c r="RWN41" s="117">
        <v>97.9</v>
      </c>
      <c r="RWP41" s="117">
        <f>AVERAGE(RWD41:RWO41)</f>
        <v>97.9</v>
      </c>
      <c r="RWQ41" s="117" t="str">
        <f>IF(RWP41&lt;5,"SI","NO")</f>
        <v>NO</v>
      </c>
      <c r="RWR41" s="117" t="str">
        <f>IF(RWP41&lt;5,"Sin Riesgo",IF(RWP41 &lt;=14,"Bajo",IF(RWP41&lt;=35,"Medio",IF(RWP41&lt;=80,"Alto","Inviable Sanitariamente"))))</f>
        <v>Inviable Sanitariamente</v>
      </c>
      <c r="RXC41" s="117">
        <v>97.9</v>
      </c>
      <c r="RXE41" s="117">
        <f>AVERAGE(RWS41:RXD41)</f>
        <v>97.9</v>
      </c>
      <c r="RXF41" s="117" t="str">
        <f>IF(RXE41&lt;5,"SI","NO")</f>
        <v>NO</v>
      </c>
      <c r="RXG41" s="117" t="str">
        <f>IF(RXE41&lt;5,"Sin Riesgo",IF(RXE41 &lt;=14,"Bajo",IF(RXE41&lt;=35,"Medio",IF(RXE41&lt;=80,"Alto","Inviable Sanitariamente"))))</f>
        <v>Inviable Sanitariamente</v>
      </c>
      <c r="RXR41" s="117">
        <v>97.9</v>
      </c>
      <c r="RXT41" s="117">
        <f>AVERAGE(RXH41:RXS41)</f>
        <v>97.9</v>
      </c>
      <c r="RXU41" s="117" t="str">
        <f>IF(RXT41&lt;5,"SI","NO")</f>
        <v>NO</v>
      </c>
      <c r="RXV41" s="117" t="str">
        <f>IF(RXT41&lt;5,"Sin Riesgo",IF(RXT41 &lt;=14,"Bajo",IF(RXT41&lt;=35,"Medio",IF(RXT41&lt;=80,"Alto","Inviable Sanitariamente"))))</f>
        <v>Inviable Sanitariamente</v>
      </c>
      <c r="RYG41" s="117">
        <v>97.9</v>
      </c>
      <c r="RYI41" s="117">
        <f>AVERAGE(RXW41:RYH41)</f>
        <v>97.9</v>
      </c>
      <c r="RYJ41" s="117" t="str">
        <f>IF(RYI41&lt;5,"SI","NO")</f>
        <v>NO</v>
      </c>
      <c r="RYK41" s="117" t="str">
        <f>IF(RYI41&lt;5,"Sin Riesgo",IF(RYI41 &lt;=14,"Bajo",IF(RYI41&lt;=35,"Medio",IF(RYI41&lt;=80,"Alto","Inviable Sanitariamente"))))</f>
        <v>Inviable Sanitariamente</v>
      </c>
      <c r="RYV41" s="117">
        <v>97.9</v>
      </c>
      <c r="RYX41" s="117">
        <f>AVERAGE(RYL41:RYW41)</f>
        <v>97.9</v>
      </c>
      <c r="RYY41" s="117" t="str">
        <f>IF(RYX41&lt;5,"SI","NO")</f>
        <v>NO</v>
      </c>
      <c r="RYZ41" s="117" t="str">
        <f>IF(RYX41&lt;5,"Sin Riesgo",IF(RYX41 &lt;=14,"Bajo",IF(RYX41&lt;=35,"Medio",IF(RYX41&lt;=80,"Alto","Inviable Sanitariamente"))))</f>
        <v>Inviable Sanitariamente</v>
      </c>
      <c r="RZK41" s="117">
        <v>97.9</v>
      </c>
      <c r="RZM41" s="117">
        <f>AVERAGE(RZA41:RZL41)</f>
        <v>97.9</v>
      </c>
      <c r="RZN41" s="117" t="str">
        <f>IF(RZM41&lt;5,"SI","NO")</f>
        <v>NO</v>
      </c>
      <c r="RZO41" s="117" t="str">
        <f>IF(RZM41&lt;5,"Sin Riesgo",IF(RZM41 &lt;=14,"Bajo",IF(RZM41&lt;=35,"Medio",IF(RZM41&lt;=80,"Alto","Inviable Sanitariamente"))))</f>
        <v>Inviable Sanitariamente</v>
      </c>
      <c r="RZZ41" s="117">
        <v>97.9</v>
      </c>
      <c r="SAB41" s="117">
        <f>AVERAGE(RZP41:SAA41)</f>
        <v>97.9</v>
      </c>
      <c r="SAC41" s="117" t="str">
        <f>IF(SAB41&lt;5,"SI","NO")</f>
        <v>NO</v>
      </c>
      <c r="SAD41" s="117" t="str">
        <f>IF(SAB41&lt;5,"Sin Riesgo",IF(SAB41 &lt;=14,"Bajo",IF(SAB41&lt;=35,"Medio",IF(SAB41&lt;=80,"Alto","Inviable Sanitariamente"))))</f>
        <v>Inviable Sanitariamente</v>
      </c>
      <c r="SAO41" s="117">
        <v>97.9</v>
      </c>
      <c r="SAQ41" s="117">
        <f>AVERAGE(SAE41:SAP41)</f>
        <v>97.9</v>
      </c>
      <c r="SAR41" s="117" t="str">
        <f>IF(SAQ41&lt;5,"SI","NO")</f>
        <v>NO</v>
      </c>
      <c r="SAS41" s="117" t="str">
        <f>IF(SAQ41&lt;5,"Sin Riesgo",IF(SAQ41 &lt;=14,"Bajo",IF(SAQ41&lt;=35,"Medio",IF(SAQ41&lt;=80,"Alto","Inviable Sanitariamente"))))</f>
        <v>Inviable Sanitariamente</v>
      </c>
      <c r="SBD41" s="117">
        <v>97.9</v>
      </c>
      <c r="SBF41" s="117">
        <f>AVERAGE(SAT41:SBE41)</f>
        <v>97.9</v>
      </c>
      <c r="SBG41" s="117" t="str">
        <f>IF(SBF41&lt;5,"SI","NO")</f>
        <v>NO</v>
      </c>
      <c r="SBH41" s="117" t="str">
        <f>IF(SBF41&lt;5,"Sin Riesgo",IF(SBF41 &lt;=14,"Bajo",IF(SBF41&lt;=35,"Medio",IF(SBF41&lt;=80,"Alto","Inviable Sanitariamente"))))</f>
        <v>Inviable Sanitariamente</v>
      </c>
      <c r="SBS41" s="117">
        <v>97.9</v>
      </c>
      <c r="SBU41" s="117">
        <f>AVERAGE(SBI41:SBT41)</f>
        <v>97.9</v>
      </c>
      <c r="SBV41" s="117" t="str">
        <f>IF(SBU41&lt;5,"SI","NO")</f>
        <v>NO</v>
      </c>
      <c r="SBW41" s="117" t="str">
        <f>IF(SBU41&lt;5,"Sin Riesgo",IF(SBU41 &lt;=14,"Bajo",IF(SBU41&lt;=35,"Medio",IF(SBU41&lt;=80,"Alto","Inviable Sanitariamente"))))</f>
        <v>Inviable Sanitariamente</v>
      </c>
      <c r="SCH41" s="117">
        <v>97.9</v>
      </c>
      <c r="SCJ41" s="117">
        <f>AVERAGE(SBX41:SCI41)</f>
        <v>97.9</v>
      </c>
      <c r="SCK41" s="117" t="str">
        <f>IF(SCJ41&lt;5,"SI","NO")</f>
        <v>NO</v>
      </c>
      <c r="SCL41" s="117" t="str">
        <f>IF(SCJ41&lt;5,"Sin Riesgo",IF(SCJ41 &lt;=14,"Bajo",IF(SCJ41&lt;=35,"Medio",IF(SCJ41&lt;=80,"Alto","Inviable Sanitariamente"))))</f>
        <v>Inviable Sanitariamente</v>
      </c>
      <c r="SCW41" s="117">
        <v>97.9</v>
      </c>
      <c r="SCY41" s="117">
        <f>AVERAGE(SCM41:SCX41)</f>
        <v>97.9</v>
      </c>
      <c r="SCZ41" s="117" t="str">
        <f>IF(SCY41&lt;5,"SI","NO")</f>
        <v>NO</v>
      </c>
      <c r="SDA41" s="117" t="str">
        <f>IF(SCY41&lt;5,"Sin Riesgo",IF(SCY41 &lt;=14,"Bajo",IF(SCY41&lt;=35,"Medio",IF(SCY41&lt;=80,"Alto","Inviable Sanitariamente"))))</f>
        <v>Inviable Sanitariamente</v>
      </c>
      <c r="SDL41" s="117">
        <v>97.9</v>
      </c>
      <c r="SDN41" s="117">
        <f>AVERAGE(SDB41:SDM41)</f>
        <v>97.9</v>
      </c>
      <c r="SDO41" s="117" t="str">
        <f>IF(SDN41&lt;5,"SI","NO")</f>
        <v>NO</v>
      </c>
      <c r="SDP41" s="117" t="str">
        <f>IF(SDN41&lt;5,"Sin Riesgo",IF(SDN41 &lt;=14,"Bajo",IF(SDN41&lt;=35,"Medio",IF(SDN41&lt;=80,"Alto","Inviable Sanitariamente"))))</f>
        <v>Inviable Sanitariamente</v>
      </c>
      <c r="SEA41" s="117">
        <v>97.9</v>
      </c>
      <c r="SEC41" s="117">
        <f>AVERAGE(SDQ41:SEB41)</f>
        <v>97.9</v>
      </c>
      <c r="SED41" s="117" t="str">
        <f>IF(SEC41&lt;5,"SI","NO")</f>
        <v>NO</v>
      </c>
      <c r="SEE41" s="117" t="str">
        <f>IF(SEC41&lt;5,"Sin Riesgo",IF(SEC41 &lt;=14,"Bajo",IF(SEC41&lt;=35,"Medio",IF(SEC41&lt;=80,"Alto","Inviable Sanitariamente"))))</f>
        <v>Inviable Sanitariamente</v>
      </c>
      <c r="SEP41" s="117">
        <v>97.9</v>
      </c>
      <c r="SER41" s="117">
        <f>AVERAGE(SEF41:SEQ41)</f>
        <v>97.9</v>
      </c>
      <c r="SES41" s="117" t="str">
        <f>IF(SER41&lt;5,"SI","NO")</f>
        <v>NO</v>
      </c>
      <c r="SET41" s="117" t="str">
        <f>IF(SER41&lt;5,"Sin Riesgo",IF(SER41 &lt;=14,"Bajo",IF(SER41&lt;=35,"Medio",IF(SER41&lt;=80,"Alto","Inviable Sanitariamente"))))</f>
        <v>Inviable Sanitariamente</v>
      </c>
      <c r="SFE41" s="117">
        <v>97.9</v>
      </c>
      <c r="SFG41" s="117">
        <f>AVERAGE(SEU41:SFF41)</f>
        <v>97.9</v>
      </c>
      <c r="SFH41" s="117" t="str">
        <f>IF(SFG41&lt;5,"SI","NO")</f>
        <v>NO</v>
      </c>
      <c r="SFI41" s="117" t="str">
        <f>IF(SFG41&lt;5,"Sin Riesgo",IF(SFG41 &lt;=14,"Bajo",IF(SFG41&lt;=35,"Medio",IF(SFG41&lt;=80,"Alto","Inviable Sanitariamente"))))</f>
        <v>Inviable Sanitariamente</v>
      </c>
      <c r="SFT41" s="117">
        <v>97.9</v>
      </c>
      <c r="SFV41" s="117">
        <f>AVERAGE(SFJ41:SFU41)</f>
        <v>97.9</v>
      </c>
      <c r="SFW41" s="117" t="str">
        <f>IF(SFV41&lt;5,"SI","NO")</f>
        <v>NO</v>
      </c>
      <c r="SFX41" s="117" t="str">
        <f>IF(SFV41&lt;5,"Sin Riesgo",IF(SFV41 &lt;=14,"Bajo",IF(SFV41&lt;=35,"Medio",IF(SFV41&lt;=80,"Alto","Inviable Sanitariamente"))))</f>
        <v>Inviable Sanitariamente</v>
      </c>
      <c r="SGI41" s="117">
        <v>97.9</v>
      </c>
      <c r="SGK41" s="117">
        <f>AVERAGE(SFY41:SGJ41)</f>
        <v>97.9</v>
      </c>
      <c r="SGL41" s="117" t="str">
        <f>IF(SGK41&lt;5,"SI","NO")</f>
        <v>NO</v>
      </c>
      <c r="SGM41" s="117" t="str">
        <f>IF(SGK41&lt;5,"Sin Riesgo",IF(SGK41 &lt;=14,"Bajo",IF(SGK41&lt;=35,"Medio",IF(SGK41&lt;=80,"Alto","Inviable Sanitariamente"))))</f>
        <v>Inviable Sanitariamente</v>
      </c>
      <c r="SGX41" s="117">
        <v>97.9</v>
      </c>
      <c r="SGZ41" s="117">
        <f>AVERAGE(SGN41:SGY41)</f>
        <v>97.9</v>
      </c>
      <c r="SHA41" s="117" t="str">
        <f>IF(SGZ41&lt;5,"SI","NO")</f>
        <v>NO</v>
      </c>
      <c r="SHB41" s="117" t="str">
        <f>IF(SGZ41&lt;5,"Sin Riesgo",IF(SGZ41 &lt;=14,"Bajo",IF(SGZ41&lt;=35,"Medio",IF(SGZ41&lt;=80,"Alto","Inviable Sanitariamente"))))</f>
        <v>Inviable Sanitariamente</v>
      </c>
      <c r="SHM41" s="117">
        <v>97.9</v>
      </c>
      <c r="SHO41" s="117">
        <f>AVERAGE(SHC41:SHN41)</f>
        <v>97.9</v>
      </c>
      <c r="SHP41" s="117" t="str">
        <f>IF(SHO41&lt;5,"SI","NO")</f>
        <v>NO</v>
      </c>
      <c r="SHQ41" s="117" t="str">
        <f>IF(SHO41&lt;5,"Sin Riesgo",IF(SHO41 &lt;=14,"Bajo",IF(SHO41&lt;=35,"Medio",IF(SHO41&lt;=80,"Alto","Inviable Sanitariamente"))))</f>
        <v>Inviable Sanitariamente</v>
      </c>
      <c r="SIB41" s="117">
        <v>97.9</v>
      </c>
      <c r="SID41" s="117">
        <f>AVERAGE(SHR41:SIC41)</f>
        <v>97.9</v>
      </c>
      <c r="SIE41" s="117" t="str">
        <f>IF(SID41&lt;5,"SI","NO")</f>
        <v>NO</v>
      </c>
      <c r="SIF41" s="117" t="str">
        <f>IF(SID41&lt;5,"Sin Riesgo",IF(SID41 &lt;=14,"Bajo",IF(SID41&lt;=35,"Medio",IF(SID41&lt;=80,"Alto","Inviable Sanitariamente"))))</f>
        <v>Inviable Sanitariamente</v>
      </c>
      <c r="SIQ41" s="117">
        <v>97.9</v>
      </c>
      <c r="SIS41" s="117">
        <f>AVERAGE(SIG41:SIR41)</f>
        <v>97.9</v>
      </c>
      <c r="SIT41" s="117" t="str">
        <f>IF(SIS41&lt;5,"SI","NO")</f>
        <v>NO</v>
      </c>
      <c r="SIU41" s="117" t="str">
        <f>IF(SIS41&lt;5,"Sin Riesgo",IF(SIS41 &lt;=14,"Bajo",IF(SIS41&lt;=35,"Medio",IF(SIS41&lt;=80,"Alto","Inviable Sanitariamente"))))</f>
        <v>Inviable Sanitariamente</v>
      </c>
      <c r="SJF41" s="117">
        <v>97.9</v>
      </c>
      <c r="SJH41" s="117">
        <f>AVERAGE(SIV41:SJG41)</f>
        <v>97.9</v>
      </c>
      <c r="SJI41" s="117" t="str">
        <f>IF(SJH41&lt;5,"SI","NO")</f>
        <v>NO</v>
      </c>
      <c r="SJJ41" s="117" t="str">
        <f>IF(SJH41&lt;5,"Sin Riesgo",IF(SJH41 &lt;=14,"Bajo",IF(SJH41&lt;=35,"Medio",IF(SJH41&lt;=80,"Alto","Inviable Sanitariamente"))))</f>
        <v>Inviable Sanitariamente</v>
      </c>
      <c r="SJU41" s="117">
        <v>97.9</v>
      </c>
      <c r="SJW41" s="117">
        <f>AVERAGE(SJK41:SJV41)</f>
        <v>97.9</v>
      </c>
      <c r="SJX41" s="117" t="str">
        <f>IF(SJW41&lt;5,"SI","NO")</f>
        <v>NO</v>
      </c>
      <c r="SJY41" s="117" t="str">
        <f>IF(SJW41&lt;5,"Sin Riesgo",IF(SJW41 &lt;=14,"Bajo",IF(SJW41&lt;=35,"Medio",IF(SJW41&lt;=80,"Alto","Inviable Sanitariamente"))))</f>
        <v>Inviable Sanitariamente</v>
      </c>
      <c r="SKJ41" s="117">
        <v>97.9</v>
      </c>
      <c r="SKL41" s="117">
        <f>AVERAGE(SJZ41:SKK41)</f>
        <v>97.9</v>
      </c>
      <c r="SKM41" s="117" t="str">
        <f>IF(SKL41&lt;5,"SI","NO")</f>
        <v>NO</v>
      </c>
      <c r="SKN41" s="117" t="str">
        <f>IF(SKL41&lt;5,"Sin Riesgo",IF(SKL41 &lt;=14,"Bajo",IF(SKL41&lt;=35,"Medio",IF(SKL41&lt;=80,"Alto","Inviable Sanitariamente"))))</f>
        <v>Inviable Sanitariamente</v>
      </c>
      <c r="SKY41" s="117">
        <v>97.9</v>
      </c>
      <c r="SLA41" s="117">
        <f>AVERAGE(SKO41:SKZ41)</f>
        <v>97.9</v>
      </c>
      <c r="SLB41" s="117" t="str">
        <f>IF(SLA41&lt;5,"SI","NO")</f>
        <v>NO</v>
      </c>
      <c r="SLC41" s="117" t="str">
        <f>IF(SLA41&lt;5,"Sin Riesgo",IF(SLA41 &lt;=14,"Bajo",IF(SLA41&lt;=35,"Medio",IF(SLA41&lt;=80,"Alto","Inviable Sanitariamente"))))</f>
        <v>Inviable Sanitariamente</v>
      </c>
      <c r="SLN41" s="117">
        <v>97.9</v>
      </c>
      <c r="SLP41" s="117">
        <f>AVERAGE(SLD41:SLO41)</f>
        <v>97.9</v>
      </c>
      <c r="SLQ41" s="117" t="str">
        <f>IF(SLP41&lt;5,"SI","NO")</f>
        <v>NO</v>
      </c>
      <c r="SLR41" s="117" t="str">
        <f>IF(SLP41&lt;5,"Sin Riesgo",IF(SLP41 &lt;=14,"Bajo",IF(SLP41&lt;=35,"Medio",IF(SLP41&lt;=80,"Alto","Inviable Sanitariamente"))))</f>
        <v>Inviable Sanitariamente</v>
      </c>
      <c r="SMC41" s="117">
        <v>97.9</v>
      </c>
      <c r="SME41" s="117">
        <f>AVERAGE(SLS41:SMD41)</f>
        <v>97.9</v>
      </c>
      <c r="SMF41" s="117" t="str">
        <f>IF(SME41&lt;5,"SI","NO")</f>
        <v>NO</v>
      </c>
      <c r="SMG41" s="117" t="str">
        <f>IF(SME41&lt;5,"Sin Riesgo",IF(SME41 &lt;=14,"Bajo",IF(SME41&lt;=35,"Medio",IF(SME41&lt;=80,"Alto","Inviable Sanitariamente"))))</f>
        <v>Inviable Sanitariamente</v>
      </c>
      <c r="SMR41" s="117">
        <v>97.9</v>
      </c>
      <c r="SMT41" s="117">
        <f>AVERAGE(SMH41:SMS41)</f>
        <v>97.9</v>
      </c>
      <c r="SMU41" s="117" t="str">
        <f>IF(SMT41&lt;5,"SI","NO")</f>
        <v>NO</v>
      </c>
      <c r="SMV41" s="117" t="str">
        <f>IF(SMT41&lt;5,"Sin Riesgo",IF(SMT41 &lt;=14,"Bajo",IF(SMT41&lt;=35,"Medio",IF(SMT41&lt;=80,"Alto","Inviable Sanitariamente"))))</f>
        <v>Inviable Sanitariamente</v>
      </c>
      <c r="SNG41" s="117">
        <v>97.9</v>
      </c>
      <c r="SNI41" s="117">
        <f>AVERAGE(SMW41:SNH41)</f>
        <v>97.9</v>
      </c>
      <c r="SNJ41" s="117" t="str">
        <f>IF(SNI41&lt;5,"SI","NO")</f>
        <v>NO</v>
      </c>
      <c r="SNK41" s="117" t="str">
        <f>IF(SNI41&lt;5,"Sin Riesgo",IF(SNI41 &lt;=14,"Bajo",IF(SNI41&lt;=35,"Medio",IF(SNI41&lt;=80,"Alto","Inviable Sanitariamente"))))</f>
        <v>Inviable Sanitariamente</v>
      </c>
      <c r="SNV41" s="117">
        <v>97.9</v>
      </c>
      <c r="SNX41" s="117">
        <f>AVERAGE(SNL41:SNW41)</f>
        <v>97.9</v>
      </c>
      <c r="SNY41" s="117" t="str">
        <f>IF(SNX41&lt;5,"SI","NO")</f>
        <v>NO</v>
      </c>
      <c r="SNZ41" s="117" t="str">
        <f>IF(SNX41&lt;5,"Sin Riesgo",IF(SNX41 &lt;=14,"Bajo",IF(SNX41&lt;=35,"Medio",IF(SNX41&lt;=80,"Alto","Inviable Sanitariamente"))))</f>
        <v>Inviable Sanitariamente</v>
      </c>
      <c r="SOK41" s="117">
        <v>97.9</v>
      </c>
      <c r="SOM41" s="117">
        <f>AVERAGE(SOA41:SOL41)</f>
        <v>97.9</v>
      </c>
      <c r="SON41" s="117" t="str">
        <f>IF(SOM41&lt;5,"SI","NO")</f>
        <v>NO</v>
      </c>
      <c r="SOO41" s="117" t="str">
        <f>IF(SOM41&lt;5,"Sin Riesgo",IF(SOM41 &lt;=14,"Bajo",IF(SOM41&lt;=35,"Medio",IF(SOM41&lt;=80,"Alto","Inviable Sanitariamente"))))</f>
        <v>Inviable Sanitariamente</v>
      </c>
      <c r="SOZ41" s="117">
        <v>97.9</v>
      </c>
      <c r="SPB41" s="117">
        <f>AVERAGE(SOP41:SPA41)</f>
        <v>97.9</v>
      </c>
      <c r="SPC41" s="117" t="str">
        <f>IF(SPB41&lt;5,"SI","NO")</f>
        <v>NO</v>
      </c>
      <c r="SPD41" s="117" t="str">
        <f>IF(SPB41&lt;5,"Sin Riesgo",IF(SPB41 &lt;=14,"Bajo",IF(SPB41&lt;=35,"Medio",IF(SPB41&lt;=80,"Alto","Inviable Sanitariamente"))))</f>
        <v>Inviable Sanitariamente</v>
      </c>
      <c r="SPO41" s="117">
        <v>97.9</v>
      </c>
      <c r="SPQ41" s="117">
        <f>AVERAGE(SPE41:SPP41)</f>
        <v>97.9</v>
      </c>
      <c r="SPR41" s="117" t="str">
        <f>IF(SPQ41&lt;5,"SI","NO")</f>
        <v>NO</v>
      </c>
      <c r="SPS41" s="117" t="str">
        <f>IF(SPQ41&lt;5,"Sin Riesgo",IF(SPQ41 &lt;=14,"Bajo",IF(SPQ41&lt;=35,"Medio",IF(SPQ41&lt;=80,"Alto","Inviable Sanitariamente"))))</f>
        <v>Inviable Sanitariamente</v>
      </c>
      <c r="SQD41" s="117">
        <v>97.9</v>
      </c>
      <c r="SQF41" s="117">
        <f>AVERAGE(SPT41:SQE41)</f>
        <v>97.9</v>
      </c>
      <c r="SQG41" s="117" t="str">
        <f>IF(SQF41&lt;5,"SI","NO")</f>
        <v>NO</v>
      </c>
      <c r="SQH41" s="117" t="str">
        <f>IF(SQF41&lt;5,"Sin Riesgo",IF(SQF41 &lt;=14,"Bajo",IF(SQF41&lt;=35,"Medio",IF(SQF41&lt;=80,"Alto","Inviable Sanitariamente"))))</f>
        <v>Inviable Sanitariamente</v>
      </c>
      <c r="SQS41" s="117">
        <v>97.9</v>
      </c>
      <c r="SQU41" s="117">
        <f>AVERAGE(SQI41:SQT41)</f>
        <v>97.9</v>
      </c>
      <c r="SQV41" s="117" t="str">
        <f>IF(SQU41&lt;5,"SI","NO")</f>
        <v>NO</v>
      </c>
      <c r="SQW41" s="117" t="str">
        <f>IF(SQU41&lt;5,"Sin Riesgo",IF(SQU41 &lt;=14,"Bajo",IF(SQU41&lt;=35,"Medio",IF(SQU41&lt;=80,"Alto","Inviable Sanitariamente"))))</f>
        <v>Inviable Sanitariamente</v>
      </c>
      <c r="SRH41" s="117">
        <v>97.9</v>
      </c>
      <c r="SRJ41" s="117">
        <f>AVERAGE(SQX41:SRI41)</f>
        <v>97.9</v>
      </c>
      <c r="SRK41" s="117" t="str">
        <f>IF(SRJ41&lt;5,"SI","NO")</f>
        <v>NO</v>
      </c>
      <c r="SRL41" s="117" t="str">
        <f>IF(SRJ41&lt;5,"Sin Riesgo",IF(SRJ41 &lt;=14,"Bajo",IF(SRJ41&lt;=35,"Medio",IF(SRJ41&lt;=80,"Alto","Inviable Sanitariamente"))))</f>
        <v>Inviable Sanitariamente</v>
      </c>
      <c r="SRW41" s="117">
        <v>97.9</v>
      </c>
      <c r="SRY41" s="117">
        <f>AVERAGE(SRM41:SRX41)</f>
        <v>97.9</v>
      </c>
      <c r="SRZ41" s="117" t="str">
        <f>IF(SRY41&lt;5,"SI","NO")</f>
        <v>NO</v>
      </c>
      <c r="SSA41" s="117" t="str">
        <f>IF(SRY41&lt;5,"Sin Riesgo",IF(SRY41 &lt;=14,"Bajo",IF(SRY41&lt;=35,"Medio",IF(SRY41&lt;=80,"Alto","Inviable Sanitariamente"))))</f>
        <v>Inviable Sanitariamente</v>
      </c>
      <c r="SSL41" s="117">
        <v>97.9</v>
      </c>
      <c r="SSN41" s="117">
        <f>AVERAGE(SSB41:SSM41)</f>
        <v>97.9</v>
      </c>
      <c r="SSO41" s="117" t="str">
        <f>IF(SSN41&lt;5,"SI","NO")</f>
        <v>NO</v>
      </c>
      <c r="SSP41" s="117" t="str">
        <f>IF(SSN41&lt;5,"Sin Riesgo",IF(SSN41 &lt;=14,"Bajo",IF(SSN41&lt;=35,"Medio",IF(SSN41&lt;=80,"Alto","Inviable Sanitariamente"))))</f>
        <v>Inviable Sanitariamente</v>
      </c>
      <c r="STA41" s="117">
        <v>97.9</v>
      </c>
      <c r="STC41" s="117">
        <f>AVERAGE(SSQ41:STB41)</f>
        <v>97.9</v>
      </c>
      <c r="STD41" s="117" t="str">
        <f>IF(STC41&lt;5,"SI","NO")</f>
        <v>NO</v>
      </c>
      <c r="STE41" s="117" t="str">
        <f>IF(STC41&lt;5,"Sin Riesgo",IF(STC41 &lt;=14,"Bajo",IF(STC41&lt;=35,"Medio",IF(STC41&lt;=80,"Alto","Inviable Sanitariamente"))))</f>
        <v>Inviable Sanitariamente</v>
      </c>
      <c r="STP41" s="117">
        <v>97.9</v>
      </c>
      <c r="STR41" s="117">
        <f>AVERAGE(STF41:STQ41)</f>
        <v>97.9</v>
      </c>
      <c r="STS41" s="117" t="str">
        <f>IF(STR41&lt;5,"SI","NO")</f>
        <v>NO</v>
      </c>
      <c r="STT41" s="117" t="str">
        <f>IF(STR41&lt;5,"Sin Riesgo",IF(STR41 &lt;=14,"Bajo",IF(STR41&lt;=35,"Medio",IF(STR41&lt;=80,"Alto","Inviable Sanitariamente"))))</f>
        <v>Inviable Sanitariamente</v>
      </c>
      <c r="SUE41" s="117">
        <v>97.9</v>
      </c>
      <c r="SUG41" s="117">
        <f>AVERAGE(STU41:SUF41)</f>
        <v>97.9</v>
      </c>
      <c r="SUH41" s="117" t="str">
        <f>IF(SUG41&lt;5,"SI","NO")</f>
        <v>NO</v>
      </c>
      <c r="SUI41" s="117" t="str">
        <f>IF(SUG41&lt;5,"Sin Riesgo",IF(SUG41 &lt;=14,"Bajo",IF(SUG41&lt;=35,"Medio",IF(SUG41&lt;=80,"Alto","Inviable Sanitariamente"))))</f>
        <v>Inviable Sanitariamente</v>
      </c>
      <c r="SUT41" s="117">
        <v>97.9</v>
      </c>
      <c r="SUV41" s="117">
        <f>AVERAGE(SUJ41:SUU41)</f>
        <v>97.9</v>
      </c>
      <c r="SUW41" s="117" t="str">
        <f>IF(SUV41&lt;5,"SI","NO")</f>
        <v>NO</v>
      </c>
      <c r="SUX41" s="117" t="str">
        <f>IF(SUV41&lt;5,"Sin Riesgo",IF(SUV41 &lt;=14,"Bajo",IF(SUV41&lt;=35,"Medio",IF(SUV41&lt;=80,"Alto","Inviable Sanitariamente"))))</f>
        <v>Inviable Sanitariamente</v>
      </c>
      <c r="SVI41" s="117">
        <v>97.9</v>
      </c>
      <c r="SVK41" s="117">
        <f>AVERAGE(SUY41:SVJ41)</f>
        <v>97.9</v>
      </c>
      <c r="SVL41" s="117" t="str">
        <f>IF(SVK41&lt;5,"SI","NO")</f>
        <v>NO</v>
      </c>
      <c r="SVM41" s="117" t="str">
        <f>IF(SVK41&lt;5,"Sin Riesgo",IF(SVK41 &lt;=14,"Bajo",IF(SVK41&lt;=35,"Medio",IF(SVK41&lt;=80,"Alto","Inviable Sanitariamente"))))</f>
        <v>Inviable Sanitariamente</v>
      </c>
      <c r="SVX41" s="117">
        <v>97.9</v>
      </c>
      <c r="SVZ41" s="117">
        <f>AVERAGE(SVN41:SVY41)</f>
        <v>97.9</v>
      </c>
      <c r="SWA41" s="117" t="str">
        <f>IF(SVZ41&lt;5,"SI","NO")</f>
        <v>NO</v>
      </c>
      <c r="SWB41" s="117" t="str">
        <f>IF(SVZ41&lt;5,"Sin Riesgo",IF(SVZ41 &lt;=14,"Bajo",IF(SVZ41&lt;=35,"Medio",IF(SVZ41&lt;=80,"Alto","Inviable Sanitariamente"))))</f>
        <v>Inviable Sanitariamente</v>
      </c>
      <c r="SWM41" s="117">
        <v>97.9</v>
      </c>
      <c r="SWO41" s="117">
        <f>AVERAGE(SWC41:SWN41)</f>
        <v>97.9</v>
      </c>
      <c r="SWP41" s="117" t="str">
        <f>IF(SWO41&lt;5,"SI","NO")</f>
        <v>NO</v>
      </c>
      <c r="SWQ41" s="117" t="str">
        <f>IF(SWO41&lt;5,"Sin Riesgo",IF(SWO41 &lt;=14,"Bajo",IF(SWO41&lt;=35,"Medio",IF(SWO41&lt;=80,"Alto","Inviable Sanitariamente"))))</f>
        <v>Inviable Sanitariamente</v>
      </c>
      <c r="SXB41" s="117">
        <v>97.9</v>
      </c>
      <c r="SXD41" s="117">
        <f>AVERAGE(SWR41:SXC41)</f>
        <v>97.9</v>
      </c>
      <c r="SXE41" s="117" t="str">
        <f>IF(SXD41&lt;5,"SI","NO")</f>
        <v>NO</v>
      </c>
      <c r="SXF41" s="117" t="str">
        <f>IF(SXD41&lt;5,"Sin Riesgo",IF(SXD41 &lt;=14,"Bajo",IF(SXD41&lt;=35,"Medio",IF(SXD41&lt;=80,"Alto","Inviable Sanitariamente"))))</f>
        <v>Inviable Sanitariamente</v>
      </c>
      <c r="SXQ41" s="117">
        <v>97.9</v>
      </c>
      <c r="SXS41" s="117">
        <f>AVERAGE(SXG41:SXR41)</f>
        <v>97.9</v>
      </c>
      <c r="SXT41" s="117" t="str">
        <f>IF(SXS41&lt;5,"SI","NO")</f>
        <v>NO</v>
      </c>
      <c r="SXU41" s="117" t="str">
        <f>IF(SXS41&lt;5,"Sin Riesgo",IF(SXS41 &lt;=14,"Bajo",IF(SXS41&lt;=35,"Medio",IF(SXS41&lt;=80,"Alto","Inviable Sanitariamente"))))</f>
        <v>Inviable Sanitariamente</v>
      </c>
      <c r="SYF41" s="117">
        <v>97.9</v>
      </c>
      <c r="SYH41" s="117">
        <f>AVERAGE(SXV41:SYG41)</f>
        <v>97.9</v>
      </c>
      <c r="SYI41" s="117" t="str">
        <f>IF(SYH41&lt;5,"SI","NO")</f>
        <v>NO</v>
      </c>
      <c r="SYJ41" s="117" t="str">
        <f>IF(SYH41&lt;5,"Sin Riesgo",IF(SYH41 &lt;=14,"Bajo",IF(SYH41&lt;=35,"Medio",IF(SYH41&lt;=80,"Alto","Inviable Sanitariamente"))))</f>
        <v>Inviable Sanitariamente</v>
      </c>
      <c r="SYU41" s="117">
        <v>97.9</v>
      </c>
      <c r="SYW41" s="117">
        <f>AVERAGE(SYK41:SYV41)</f>
        <v>97.9</v>
      </c>
      <c r="SYX41" s="117" t="str">
        <f>IF(SYW41&lt;5,"SI","NO")</f>
        <v>NO</v>
      </c>
      <c r="SYY41" s="117" t="str">
        <f>IF(SYW41&lt;5,"Sin Riesgo",IF(SYW41 &lt;=14,"Bajo",IF(SYW41&lt;=35,"Medio",IF(SYW41&lt;=80,"Alto","Inviable Sanitariamente"))))</f>
        <v>Inviable Sanitariamente</v>
      </c>
      <c r="SZJ41" s="117">
        <v>97.9</v>
      </c>
      <c r="SZL41" s="117">
        <f>AVERAGE(SYZ41:SZK41)</f>
        <v>97.9</v>
      </c>
      <c r="SZM41" s="117" t="str">
        <f>IF(SZL41&lt;5,"SI","NO")</f>
        <v>NO</v>
      </c>
      <c r="SZN41" s="117" t="str">
        <f>IF(SZL41&lt;5,"Sin Riesgo",IF(SZL41 &lt;=14,"Bajo",IF(SZL41&lt;=35,"Medio",IF(SZL41&lt;=80,"Alto","Inviable Sanitariamente"))))</f>
        <v>Inviable Sanitariamente</v>
      </c>
      <c r="SZY41" s="117">
        <v>97.9</v>
      </c>
      <c r="TAA41" s="117">
        <f>AVERAGE(SZO41:SZZ41)</f>
        <v>97.9</v>
      </c>
      <c r="TAB41" s="117" t="str">
        <f>IF(TAA41&lt;5,"SI","NO")</f>
        <v>NO</v>
      </c>
      <c r="TAC41" s="117" t="str">
        <f>IF(TAA41&lt;5,"Sin Riesgo",IF(TAA41 &lt;=14,"Bajo",IF(TAA41&lt;=35,"Medio",IF(TAA41&lt;=80,"Alto","Inviable Sanitariamente"))))</f>
        <v>Inviable Sanitariamente</v>
      </c>
      <c r="TAN41" s="117">
        <v>97.9</v>
      </c>
      <c r="TAP41" s="117">
        <f>AVERAGE(TAD41:TAO41)</f>
        <v>97.9</v>
      </c>
      <c r="TAQ41" s="117" t="str">
        <f>IF(TAP41&lt;5,"SI","NO")</f>
        <v>NO</v>
      </c>
      <c r="TAR41" s="117" t="str">
        <f>IF(TAP41&lt;5,"Sin Riesgo",IF(TAP41 &lt;=14,"Bajo",IF(TAP41&lt;=35,"Medio",IF(TAP41&lt;=80,"Alto","Inviable Sanitariamente"))))</f>
        <v>Inviable Sanitariamente</v>
      </c>
      <c r="TBC41" s="117">
        <v>97.9</v>
      </c>
      <c r="TBE41" s="117">
        <f>AVERAGE(TAS41:TBD41)</f>
        <v>97.9</v>
      </c>
      <c r="TBF41" s="117" t="str">
        <f>IF(TBE41&lt;5,"SI","NO")</f>
        <v>NO</v>
      </c>
      <c r="TBG41" s="117" t="str">
        <f>IF(TBE41&lt;5,"Sin Riesgo",IF(TBE41 &lt;=14,"Bajo",IF(TBE41&lt;=35,"Medio",IF(TBE41&lt;=80,"Alto","Inviable Sanitariamente"))))</f>
        <v>Inviable Sanitariamente</v>
      </c>
      <c r="TBR41" s="117">
        <v>97.9</v>
      </c>
      <c r="TBT41" s="117">
        <f>AVERAGE(TBH41:TBS41)</f>
        <v>97.9</v>
      </c>
      <c r="TBU41" s="117" t="str">
        <f>IF(TBT41&lt;5,"SI","NO")</f>
        <v>NO</v>
      </c>
      <c r="TBV41" s="117" t="str">
        <f>IF(TBT41&lt;5,"Sin Riesgo",IF(TBT41 &lt;=14,"Bajo",IF(TBT41&lt;=35,"Medio",IF(TBT41&lt;=80,"Alto","Inviable Sanitariamente"))))</f>
        <v>Inviable Sanitariamente</v>
      </c>
      <c r="TCG41" s="117">
        <v>97.9</v>
      </c>
      <c r="TCI41" s="117">
        <f>AVERAGE(TBW41:TCH41)</f>
        <v>97.9</v>
      </c>
      <c r="TCJ41" s="117" t="str">
        <f>IF(TCI41&lt;5,"SI","NO")</f>
        <v>NO</v>
      </c>
      <c r="TCK41" s="117" t="str">
        <f>IF(TCI41&lt;5,"Sin Riesgo",IF(TCI41 &lt;=14,"Bajo",IF(TCI41&lt;=35,"Medio",IF(TCI41&lt;=80,"Alto","Inviable Sanitariamente"))))</f>
        <v>Inviable Sanitariamente</v>
      </c>
      <c r="TCV41" s="117">
        <v>97.9</v>
      </c>
      <c r="TCX41" s="117">
        <f>AVERAGE(TCL41:TCW41)</f>
        <v>97.9</v>
      </c>
      <c r="TCY41" s="117" t="str">
        <f>IF(TCX41&lt;5,"SI","NO")</f>
        <v>NO</v>
      </c>
      <c r="TCZ41" s="117" t="str">
        <f>IF(TCX41&lt;5,"Sin Riesgo",IF(TCX41 &lt;=14,"Bajo",IF(TCX41&lt;=35,"Medio",IF(TCX41&lt;=80,"Alto","Inviable Sanitariamente"))))</f>
        <v>Inviable Sanitariamente</v>
      </c>
      <c r="TDK41" s="117">
        <v>97.9</v>
      </c>
      <c r="TDM41" s="117">
        <f>AVERAGE(TDA41:TDL41)</f>
        <v>97.9</v>
      </c>
      <c r="TDN41" s="117" t="str">
        <f>IF(TDM41&lt;5,"SI","NO")</f>
        <v>NO</v>
      </c>
      <c r="TDO41" s="117" t="str">
        <f>IF(TDM41&lt;5,"Sin Riesgo",IF(TDM41 &lt;=14,"Bajo",IF(TDM41&lt;=35,"Medio",IF(TDM41&lt;=80,"Alto","Inviable Sanitariamente"))))</f>
        <v>Inviable Sanitariamente</v>
      </c>
      <c r="TDZ41" s="117">
        <v>97.9</v>
      </c>
      <c r="TEB41" s="117">
        <f>AVERAGE(TDP41:TEA41)</f>
        <v>97.9</v>
      </c>
      <c r="TEC41" s="117" t="str">
        <f>IF(TEB41&lt;5,"SI","NO")</f>
        <v>NO</v>
      </c>
      <c r="TED41" s="117" t="str">
        <f>IF(TEB41&lt;5,"Sin Riesgo",IF(TEB41 &lt;=14,"Bajo",IF(TEB41&lt;=35,"Medio",IF(TEB41&lt;=80,"Alto","Inviable Sanitariamente"))))</f>
        <v>Inviable Sanitariamente</v>
      </c>
      <c r="TEO41" s="117">
        <v>97.9</v>
      </c>
      <c r="TEQ41" s="117">
        <f>AVERAGE(TEE41:TEP41)</f>
        <v>97.9</v>
      </c>
      <c r="TER41" s="117" t="str">
        <f>IF(TEQ41&lt;5,"SI","NO")</f>
        <v>NO</v>
      </c>
      <c r="TES41" s="117" t="str">
        <f>IF(TEQ41&lt;5,"Sin Riesgo",IF(TEQ41 &lt;=14,"Bajo",IF(TEQ41&lt;=35,"Medio",IF(TEQ41&lt;=80,"Alto","Inviable Sanitariamente"))))</f>
        <v>Inviable Sanitariamente</v>
      </c>
      <c r="TFD41" s="117">
        <v>97.9</v>
      </c>
      <c r="TFF41" s="117">
        <f>AVERAGE(TET41:TFE41)</f>
        <v>97.9</v>
      </c>
      <c r="TFG41" s="117" t="str">
        <f>IF(TFF41&lt;5,"SI","NO")</f>
        <v>NO</v>
      </c>
      <c r="TFH41" s="117" t="str">
        <f>IF(TFF41&lt;5,"Sin Riesgo",IF(TFF41 &lt;=14,"Bajo",IF(TFF41&lt;=35,"Medio",IF(TFF41&lt;=80,"Alto","Inviable Sanitariamente"))))</f>
        <v>Inviable Sanitariamente</v>
      </c>
      <c r="TFS41" s="117">
        <v>97.9</v>
      </c>
      <c r="TFU41" s="117">
        <f>AVERAGE(TFI41:TFT41)</f>
        <v>97.9</v>
      </c>
      <c r="TFV41" s="117" t="str">
        <f>IF(TFU41&lt;5,"SI","NO")</f>
        <v>NO</v>
      </c>
      <c r="TFW41" s="117" t="str">
        <f>IF(TFU41&lt;5,"Sin Riesgo",IF(TFU41 &lt;=14,"Bajo",IF(TFU41&lt;=35,"Medio",IF(TFU41&lt;=80,"Alto","Inviable Sanitariamente"))))</f>
        <v>Inviable Sanitariamente</v>
      </c>
      <c r="TGH41" s="117">
        <v>97.9</v>
      </c>
      <c r="TGJ41" s="117">
        <f>AVERAGE(TFX41:TGI41)</f>
        <v>97.9</v>
      </c>
      <c r="TGK41" s="117" t="str">
        <f>IF(TGJ41&lt;5,"SI","NO")</f>
        <v>NO</v>
      </c>
      <c r="TGL41" s="117" t="str">
        <f>IF(TGJ41&lt;5,"Sin Riesgo",IF(TGJ41 &lt;=14,"Bajo",IF(TGJ41&lt;=35,"Medio",IF(TGJ41&lt;=80,"Alto","Inviable Sanitariamente"))))</f>
        <v>Inviable Sanitariamente</v>
      </c>
      <c r="TGW41" s="117">
        <v>97.9</v>
      </c>
      <c r="TGY41" s="117">
        <f>AVERAGE(TGM41:TGX41)</f>
        <v>97.9</v>
      </c>
      <c r="TGZ41" s="117" t="str">
        <f>IF(TGY41&lt;5,"SI","NO")</f>
        <v>NO</v>
      </c>
      <c r="THA41" s="117" t="str">
        <f>IF(TGY41&lt;5,"Sin Riesgo",IF(TGY41 &lt;=14,"Bajo",IF(TGY41&lt;=35,"Medio",IF(TGY41&lt;=80,"Alto","Inviable Sanitariamente"))))</f>
        <v>Inviable Sanitariamente</v>
      </c>
      <c r="THL41" s="117">
        <v>97.9</v>
      </c>
      <c r="THN41" s="117">
        <f>AVERAGE(THB41:THM41)</f>
        <v>97.9</v>
      </c>
      <c r="THO41" s="117" t="str">
        <f>IF(THN41&lt;5,"SI","NO")</f>
        <v>NO</v>
      </c>
      <c r="THP41" s="117" t="str">
        <f>IF(THN41&lt;5,"Sin Riesgo",IF(THN41 &lt;=14,"Bajo",IF(THN41&lt;=35,"Medio",IF(THN41&lt;=80,"Alto","Inviable Sanitariamente"))))</f>
        <v>Inviable Sanitariamente</v>
      </c>
      <c r="TIA41" s="117">
        <v>97.9</v>
      </c>
      <c r="TIC41" s="117">
        <f>AVERAGE(THQ41:TIB41)</f>
        <v>97.9</v>
      </c>
      <c r="TID41" s="117" t="str">
        <f>IF(TIC41&lt;5,"SI","NO")</f>
        <v>NO</v>
      </c>
      <c r="TIE41" s="117" t="str">
        <f>IF(TIC41&lt;5,"Sin Riesgo",IF(TIC41 &lt;=14,"Bajo",IF(TIC41&lt;=35,"Medio",IF(TIC41&lt;=80,"Alto","Inviable Sanitariamente"))))</f>
        <v>Inviable Sanitariamente</v>
      </c>
      <c r="TIP41" s="117">
        <v>97.9</v>
      </c>
      <c r="TIR41" s="117">
        <f>AVERAGE(TIF41:TIQ41)</f>
        <v>97.9</v>
      </c>
      <c r="TIS41" s="117" t="str">
        <f>IF(TIR41&lt;5,"SI","NO")</f>
        <v>NO</v>
      </c>
      <c r="TIT41" s="117" t="str">
        <f>IF(TIR41&lt;5,"Sin Riesgo",IF(TIR41 &lt;=14,"Bajo",IF(TIR41&lt;=35,"Medio",IF(TIR41&lt;=80,"Alto","Inviable Sanitariamente"))))</f>
        <v>Inviable Sanitariamente</v>
      </c>
      <c r="TJE41" s="117">
        <v>97.9</v>
      </c>
      <c r="TJG41" s="117">
        <f>AVERAGE(TIU41:TJF41)</f>
        <v>97.9</v>
      </c>
      <c r="TJH41" s="117" t="str">
        <f>IF(TJG41&lt;5,"SI","NO")</f>
        <v>NO</v>
      </c>
      <c r="TJI41" s="117" t="str">
        <f>IF(TJG41&lt;5,"Sin Riesgo",IF(TJG41 &lt;=14,"Bajo",IF(TJG41&lt;=35,"Medio",IF(TJG41&lt;=80,"Alto","Inviable Sanitariamente"))))</f>
        <v>Inviable Sanitariamente</v>
      </c>
      <c r="TJT41" s="117">
        <v>97.9</v>
      </c>
      <c r="TJV41" s="117">
        <f>AVERAGE(TJJ41:TJU41)</f>
        <v>97.9</v>
      </c>
      <c r="TJW41" s="117" t="str">
        <f>IF(TJV41&lt;5,"SI","NO")</f>
        <v>NO</v>
      </c>
      <c r="TJX41" s="117" t="str">
        <f>IF(TJV41&lt;5,"Sin Riesgo",IF(TJV41 &lt;=14,"Bajo",IF(TJV41&lt;=35,"Medio",IF(TJV41&lt;=80,"Alto","Inviable Sanitariamente"))))</f>
        <v>Inviable Sanitariamente</v>
      </c>
      <c r="TKI41" s="117">
        <v>97.9</v>
      </c>
      <c r="TKK41" s="117">
        <f>AVERAGE(TJY41:TKJ41)</f>
        <v>97.9</v>
      </c>
      <c r="TKL41" s="117" t="str">
        <f>IF(TKK41&lt;5,"SI","NO")</f>
        <v>NO</v>
      </c>
      <c r="TKM41" s="117" t="str">
        <f>IF(TKK41&lt;5,"Sin Riesgo",IF(TKK41 &lt;=14,"Bajo",IF(TKK41&lt;=35,"Medio",IF(TKK41&lt;=80,"Alto","Inviable Sanitariamente"))))</f>
        <v>Inviable Sanitariamente</v>
      </c>
      <c r="TKX41" s="117">
        <v>97.9</v>
      </c>
      <c r="TKZ41" s="117">
        <f>AVERAGE(TKN41:TKY41)</f>
        <v>97.9</v>
      </c>
      <c r="TLA41" s="117" t="str">
        <f>IF(TKZ41&lt;5,"SI","NO")</f>
        <v>NO</v>
      </c>
      <c r="TLB41" s="117" t="str">
        <f>IF(TKZ41&lt;5,"Sin Riesgo",IF(TKZ41 &lt;=14,"Bajo",IF(TKZ41&lt;=35,"Medio",IF(TKZ41&lt;=80,"Alto","Inviable Sanitariamente"))))</f>
        <v>Inviable Sanitariamente</v>
      </c>
      <c r="TLM41" s="117">
        <v>97.9</v>
      </c>
      <c r="TLO41" s="117">
        <f>AVERAGE(TLC41:TLN41)</f>
        <v>97.9</v>
      </c>
      <c r="TLP41" s="117" t="str">
        <f>IF(TLO41&lt;5,"SI","NO")</f>
        <v>NO</v>
      </c>
      <c r="TLQ41" s="117" t="str">
        <f>IF(TLO41&lt;5,"Sin Riesgo",IF(TLO41 &lt;=14,"Bajo",IF(TLO41&lt;=35,"Medio",IF(TLO41&lt;=80,"Alto","Inviable Sanitariamente"))))</f>
        <v>Inviable Sanitariamente</v>
      </c>
      <c r="TMB41" s="117">
        <v>97.9</v>
      </c>
      <c r="TMD41" s="117">
        <f>AVERAGE(TLR41:TMC41)</f>
        <v>97.9</v>
      </c>
      <c r="TME41" s="117" t="str">
        <f>IF(TMD41&lt;5,"SI","NO")</f>
        <v>NO</v>
      </c>
      <c r="TMF41" s="117" t="str">
        <f>IF(TMD41&lt;5,"Sin Riesgo",IF(TMD41 &lt;=14,"Bajo",IF(TMD41&lt;=35,"Medio",IF(TMD41&lt;=80,"Alto","Inviable Sanitariamente"))))</f>
        <v>Inviable Sanitariamente</v>
      </c>
      <c r="TMQ41" s="117">
        <v>97.9</v>
      </c>
      <c r="TMS41" s="117">
        <f>AVERAGE(TMG41:TMR41)</f>
        <v>97.9</v>
      </c>
      <c r="TMT41" s="117" t="str">
        <f>IF(TMS41&lt;5,"SI","NO")</f>
        <v>NO</v>
      </c>
      <c r="TMU41" s="117" t="str">
        <f>IF(TMS41&lt;5,"Sin Riesgo",IF(TMS41 &lt;=14,"Bajo",IF(TMS41&lt;=35,"Medio",IF(TMS41&lt;=80,"Alto","Inviable Sanitariamente"))))</f>
        <v>Inviable Sanitariamente</v>
      </c>
      <c r="TNF41" s="117">
        <v>97.9</v>
      </c>
      <c r="TNH41" s="117">
        <f>AVERAGE(TMV41:TNG41)</f>
        <v>97.9</v>
      </c>
      <c r="TNI41" s="117" t="str">
        <f>IF(TNH41&lt;5,"SI","NO")</f>
        <v>NO</v>
      </c>
      <c r="TNJ41" s="117" t="str">
        <f>IF(TNH41&lt;5,"Sin Riesgo",IF(TNH41 &lt;=14,"Bajo",IF(TNH41&lt;=35,"Medio",IF(TNH41&lt;=80,"Alto","Inviable Sanitariamente"))))</f>
        <v>Inviable Sanitariamente</v>
      </c>
      <c r="TNU41" s="117">
        <v>97.9</v>
      </c>
      <c r="TNW41" s="117">
        <f>AVERAGE(TNK41:TNV41)</f>
        <v>97.9</v>
      </c>
      <c r="TNX41" s="117" t="str">
        <f>IF(TNW41&lt;5,"SI","NO")</f>
        <v>NO</v>
      </c>
      <c r="TNY41" s="117" t="str">
        <f>IF(TNW41&lt;5,"Sin Riesgo",IF(TNW41 &lt;=14,"Bajo",IF(TNW41&lt;=35,"Medio",IF(TNW41&lt;=80,"Alto","Inviable Sanitariamente"))))</f>
        <v>Inviable Sanitariamente</v>
      </c>
      <c r="TOJ41" s="117">
        <v>97.9</v>
      </c>
      <c r="TOL41" s="117">
        <f>AVERAGE(TNZ41:TOK41)</f>
        <v>97.9</v>
      </c>
      <c r="TOM41" s="117" t="str">
        <f>IF(TOL41&lt;5,"SI","NO")</f>
        <v>NO</v>
      </c>
      <c r="TON41" s="117" t="str">
        <f>IF(TOL41&lt;5,"Sin Riesgo",IF(TOL41 &lt;=14,"Bajo",IF(TOL41&lt;=35,"Medio",IF(TOL41&lt;=80,"Alto","Inviable Sanitariamente"))))</f>
        <v>Inviable Sanitariamente</v>
      </c>
      <c r="TOY41" s="117">
        <v>97.9</v>
      </c>
      <c r="TPA41" s="117">
        <f>AVERAGE(TOO41:TOZ41)</f>
        <v>97.9</v>
      </c>
      <c r="TPB41" s="117" t="str">
        <f>IF(TPA41&lt;5,"SI","NO")</f>
        <v>NO</v>
      </c>
      <c r="TPC41" s="117" t="str">
        <f>IF(TPA41&lt;5,"Sin Riesgo",IF(TPA41 &lt;=14,"Bajo",IF(TPA41&lt;=35,"Medio",IF(TPA41&lt;=80,"Alto","Inviable Sanitariamente"))))</f>
        <v>Inviable Sanitariamente</v>
      </c>
      <c r="TPN41" s="117">
        <v>97.9</v>
      </c>
      <c r="TPP41" s="117">
        <f>AVERAGE(TPD41:TPO41)</f>
        <v>97.9</v>
      </c>
      <c r="TPQ41" s="117" t="str">
        <f>IF(TPP41&lt;5,"SI","NO")</f>
        <v>NO</v>
      </c>
      <c r="TPR41" s="117" t="str">
        <f>IF(TPP41&lt;5,"Sin Riesgo",IF(TPP41 &lt;=14,"Bajo",IF(TPP41&lt;=35,"Medio",IF(TPP41&lt;=80,"Alto","Inviable Sanitariamente"))))</f>
        <v>Inviable Sanitariamente</v>
      </c>
      <c r="TQC41" s="117">
        <v>97.9</v>
      </c>
      <c r="TQE41" s="117">
        <f>AVERAGE(TPS41:TQD41)</f>
        <v>97.9</v>
      </c>
      <c r="TQF41" s="117" t="str">
        <f>IF(TQE41&lt;5,"SI","NO")</f>
        <v>NO</v>
      </c>
      <c r="TQG41" s="117" t="str">
        <f>IF(TQE41&lt;5,"Sin Riesgo",IF(TQE41 &lt;=14,"Bajo",IF(TQE41&lt;=35,"Medio",IF(TQE41&lt;=80,"Alto","Inviable Sanitariamente"))))</f>
        <v>Inviable Sanitariamente</v>
      </c>
      <c r="TQR41" s="117">
        <v>97.9</v>
      </c>
      <c r="TQT41" s="117">
        <f>AVERAGE(TQH41:TQS41)</f>
        <v>97.9</v>
      </c>
      <c r="TQU41" s="117" t="str">
        <f>IF(TQT41&lt;5,"SI","NO")</f>
        <v>NO</v>
      </c>
      <c r="TQV41" s="117" t="str">
        <f>IF(TQT41&lt;5,"Sin Riesgo",IF(TQT41 &lt;=14,"Bajo",IF(TQT41&lt;=35,"Medio",IF(TQT41&lt;=80,"Alto","Inviable Sanitariamente"))))</f>
        <v>Inviable Sanitariamente</v>
      </c>
      <c r="TRG41" s="117">
        <v>97.9</v>
      </c>
      <c r="TRI41" s="117">
        <f>AVERAGE(TQW41:TRH41)</f>
        <v>97.9</v>
      </c>
      <c r="TRJ41" s="117" t="str">
        <f>IF(TRI41&lt;5,"SI","NO")</f>
        <v>NO</v>
      </c>
      <c r="TRK41" s="117" t="str">
        <f>IF(TRI41&lt;5,"Sin Riesgo",IF(TRI41 &lt;=14,"Bajo",IF(TRI41&lt;=35,"Medio",IF(TRI41&lt;=80,"Alto","Inviable Sanitariamente"))))</f>
        <v>Inviable Sanitariamente</v>
      </c>
      <c r="TRV41" s="117">
        <v>97.9</v>
      </c>
      <c r="TRX41" s="117">
        <f>AVERAGE(TRL41:TRW41)</f>
        <v>97.9</v>
      </c>
      <c r="TRY41" s="117" t="str">
        <f>IF(TRX41&lt;5,"SI","NO")</f>
        <v>NO</v>
      </c>
      <c r="TRZ41" s="117" t="str">
        <f>IF(TRX41&lt;5,"Sin Riesgo",IF(TRX41 &lt;=14,"Bajo",IF(TRX41&lt;=35,"Medio",IF(TRX41&lt;=80,"Alto","Inviable Sanitariamente"))))</f>
        <v>Inviable Sanitariamente</v>
      </c>
      <c r="TSK41" s="117">
        <v>97.9</v>
      </c>
      <c r="TSM41" s="117">
        <f>AVERAGE(TSA41:TSL41)</f>
        <v>97.9</v>
      </c>
      <c r="TSN41" s="117" t="str">
        <f>IF(TSM41&lt;5,"SI","NO")</f>
        <v>NO</v>
      </c>
      <c r="TSO41" s="117" t="str">
        <f>IF(TSM41&lt;5,"Sin Riesgo",IF(TSM41 &lt;=14,"Bajo",IF(TSM41&lt;=35,"Medio",IF(TSM41&lt;=80,"Alto","Inviable Sanitariamente"))))</f>
        <v>Inviable Sanitariamente</v>
      </c>
      <c r="TSZ41" s="117">
        <v>97.9</v>
      </c>
      <c r="TTB41" s="117">
        <f>AVERAGE(TSP41:TTA41)</f>
        <v>97.9</v>
      </c>
      <c r="TTC41" s="117" t="str">
        <f>IF(TTB41&lt;5,"SI","NO")</f>
        <v>NO</v>
      </c>
      <c r="TTD41" s="117" t="str">
        <f>IF(TTB41&lt;5,"Sin Riesgo",IF(TTB41 &lt;=14,"Bajo",IF(TTB41&lt;=35,"Medio",IF(TTB41&lt;=80,"Alto","Inviable Sanitariamente"))))</f>
        <v>Inviable Sanitariamente</v>
      </c>
      <c r="TTO41" s="117">
        <v>97.9</v>
      </c>
      <c r="TTQ41" s="117">
        <f>AVERAGE(TTE41:TTP41)</f>
        <v>97.9</v>
      </c>
      <c r="TTR41" s="117" t="str">
        <f>IF(TTQ41&lt;5,"SI","NO")</f>
        <v>NO</v>
      </c>
      <c r="TTS41" s="117" t="str">
        <f>IF(TTQ41&lt;5,"Sin Riesgo",IF(TTQ41 &lt;=14,"Bajo",IF(TTQ41&lt;=35,"Medio",IF(TTQ41&lt;=80,"Alto","Inviable Sanitariamente"))))</f>
        <v>Inviable Sanitariamente</v>
      </c>
      <c r="TUD41" s="117">
        <v>97.9</v>
      </c>
      <c r="TUF41" s="117">
        <f>AVERAGE(TTT41:TUE41)</f>
        <v>97.9</v>
      </c>
      <c r="TUG41" s="117" t="str">
        <f>IF(TUF41&lt;5,"SI","NO")</f>
        <v>NO</v>
      </c>
      <c r="TUH41" s="117" t="str">
        <f>IF(TUF41&lt;5,"Sin Riesgo",IF(TUF41 &lt;=14,"Bajo",IF(TUF41&lt;=35,"Medio",IF(TUF41&lt;=80,"Alto","Inviable Sanitariamente"))))</f>
        <v>Inviable Sanitariamente</v>
      </c>
      <c r="TUS41" s="117">
        <v>97.9</v>
      </c>
      <c r="TUU41" s="117">
        <f>AVERAGE(TUI41:TUT41)</f>
        <v>97.9</v>
      </c>
      <c r="TUV41" s="117" t="str">
        <f>IF(TUU41&lt;5,"SI","NO")</f>
        <v>NO</v>
      </c>
      <c r="TUW41" s="117" t="str">
        <f>IF(TUU41&lt;5,"Sin Riesgo",IF(TUU41 &lt;=14,"Bajo",IF(TUU41&lt;=35,"Medio",IF(TUU41&lt;=80,"Alto","Inviable Sanitariamente"))))</f>
        <v>Inviable Sanitariamente</v>
      </c>
      <c r="TVH41" s="117">
        <v>97.9</v>
      </c>
      <c r="TVJ41" s="117">
        <f>AVERAGE(TUX41:TVI41)</f>
        <v>97.9</v>
      </c>
      <c r="TVK41" s="117" t="str">
        <f>IF(TVJ41&lt;5,"SI","NO")</f>
        <v>NO</v>
      </c>
      <c r="TVL41" s="117" t="str">
        <f>IF(TVJ41&lt;5,"Sin Riesgo",IF(TVJ41 &lt;=14,"Bajo",IF(TVJ41&lt;=35,"Medio",IF(TVJ41&lt;=80,"Alto","Inviable Sanitariamente"))))</f>
        <v>Inviable Sanitariamente</v>
      </c>
      <c r="TVW41" s="117">
        <v>97.9</v>
      </c>
      <c r="TVY41" s="117">
        <f>AVERAGE(TVM41:TVX41)</f>
        <v>97.9</v>
      </c>
      <c r="TVZ41" s="117" t="str">
        <f>IF(TVY41&lt;5,"SI","NO")</f>
        <v>NO</v>
      </c>
      <c r="TWA41" s="117" t="str">
        <f>IF(TVY41&lt;5,"Sin Riesgo",IF(TVY41 &lt;=14,"Bajo",IF(TVY41&lt;=35,"Medio",IF(TVY41&lt;=80,"Alto","Inviable Sanitariamente"))))</f>
        <v>Inviable Sanitariamente</v>
      </c>
      <c r="TWL41" s="117">
        <v>97.9</v>
      </c>
      <c r="TWN41" s="117">
        <f>AVERAGE(TWB41:TWM41)</f>
        <v>97.9</v>
      </c>
      <c r="TWO41" s="117" t="str">
        <f>IF(TWN41&lt;5,"SI","NO")</f>
        <v>NO</v>
      </c>
      <c r="TWP41" s="117" t="str">
        <f>IF(TWN41&lt;5,"Sin Riesgo",IF(TWN41 &lt;=14,"Bajo",IF(TWN41&lt;=35,"Medio",IF(TWN41&lt;=80,"Alto","Inviable Sanitariamente"))))</f>
        <v>Inviable Sanitariamente</v>
      </c>
      <c r="TXA41" s="117">
        <v>97.9</v>
      </c>
      <c r="TXC41" s="117">
        <f>AVERAGE(TWQ41:TXB41)</f>
        <v>97.9</v>
      </c>
      <c r="TXD41" s="117" t="str">
        <f>IF(TXC41&lt;5,"SI","NO")</f>
        <v>NO</v>
      </c>
      <c r="TXE41" s="117" t="str">
        <f>IF(TXC41&lt;5,"Sin Riesgo",IF(TXC41 &lt;=14,"Bajo",IF(TXC41&lt;=35,"Medio",IF(TXC41&lt;=80,"Alto","Inviable Sanitariamente"))))</f>
        <v>Inviable Sanitariamente</v>
      </c>
      <c r="TXP41" s="117">
        <v>97.9</v>
      </c>
      <c r="TXR41" s="117">
        <f>AVERAGE(TXF41:TXQ41)</f>
        <v>97.9</v>
      </c>
      <c r="TXS41" s="117" t="str">
        <f>IF(TXR41&lt;5,"SI","NO")</f>
        <v>NO</v>
      </c>
      <c r="TXT41" s="117" t="str">
        <f>IF(TXR41&lt;5,"Sin Riesgo",IF(TXR41 &lt;=14,"Bajo",IF(TXR41&lt;=35,"Medio",IF(TXR41&lt;=80,"Alto","Inviable Sanitariamente"))))</f>
        <v>Inviable Sanitariamente</v>
      </c>
      <c r="TYE41" s="117">
        <v>97.9</v>
      </c>
      <c r="TYG41" s="117">
        <f>AVERAGE(TXU41:TYF41)</f>
        <v>97.9</v>
      </c>
      <c r="TYH41" s="117" t="str">
        <f>IF(TYG41&lt;5,"SI","NO")</f>
        <v>NO</v>
      </c>
      <c r="TYI41" s="117" t="str">
        <f>IF(TYG41&lt;5,"Sin Riesgo",IF(TYG41 &lt;=14,"Bajo",IF(TYG41&lt;=35,"Medio",IF(TYG41&lt;=80,"Alto","Inviable Sanitariamente"))))</f>
        <v>Inviable Sanitariamente</v>
      </c>
      <c r="TYT41" s="117">
        <v>97.9</v>
      </c>
      <c r="TYV41" s="117">
        <f>AVERAGE(TYJ41:TYU41)</f>
        <v>97.9</v>
      </c>
      <c r="TYW41" s="117" t="str">
        <f>IF(TYV41&lt;5,"SI","NO")</f>
        <v>NO</v>
      </c>
      <c r="TYX41" s="117" t="str">
        <f>IF(TYV41&lt;5,"Sin Riesgo",IF(TYV41 &lt;=14,"Bajo",IF(TYV41&lt;=35,"Medio",IF(TYV41&lt;=80,"Alto","Inviable Sanitariamente"))))</f>
        <v>Inviable Sanitariamente</v>
      </c>
      <c r="TZI41" s="117">
        <v>97.9</v>
      </c>
      <c r="TZK41" s="117">
        <f>AVERAGE(TYY41:TZJ41)</f>
        <v>97.9</v>
      </c>
      <c r="TZL41" s="117" t="str">
        <f>IF(TZK41&lt;5,"SI","NO")</f>
        <v>NO</v>
      </c>
      <c r="TZM41" s="117" t="str">
        <f>IF(TZK41&lt;5,"Sin Riesgo",IF(TZK41 &lt;=14,"Bajo",IF(TZK41&lt;=35,"Medio",IF(TZK41&lt;=80,"Alto","Inviable Sanitariamente"))))</f>
        <v>Inviable Sanitariamente</v>
      </c>
      <c r="TZX41" s="117">
        <v>97.9</v>
      </c>
      <c r="TZZ41" s="117">
        <f>AVERAGE(TZN41:TZY41)</f>
        <v>97.9</v>
      </c>
      <c r="UAA41" s="117" t="str">
        <f>IF(TZZ41&lt;5,"SI","NO")</f>
        <v>NO</v>
      </c>
      <c r="UAB41" s="117" t="str">
        <f>IF(TZZ41&lt;5,"Sin Riesgo",IF(TZZ41 &lt;=14,"Bajo",IF(TZZ41&lt;=35,"Medio",IF(TZZ41&lt;=80,"Alto","Inviable Sanitariamente"))))</f>
        <v>Inviable Sanitariamente</v>
      </c>
      <c r="UAM41" s="117">
        <v>97.9</v>
      </c>
      <c r="UAO41" s="117">
        <f>AVERAGE(UAC41:UAN41)</f>
        <v>97.9</v>
      </c>
      <c r="UAP41" s="117" t="str">
        <f>IF(UAO41&lt;5,"SI","NO")</f>
        <v>NO</v>
      </c>
      <c r="UAQ41" s="117" t="str">
        <f>IF(UAO41&lt;5,"Sin Riesgo",IF(UAO41 &lt;=14,"Bajo",IF(UAO41&lt;=35,"Medio",IF(UAO41&lt;=80,"Alto","Inviable Sanitariamente"))))</f>
        <v>Inviable Sanitariamente</v>
      </c>
      <c r="UBB41" s="117">
        <v>97.9</v>
      </c>
      <c r="UBD41" s="117">
        <f>AVERAGE(UAR41:UBC41)</f>
        <v>97.9</v>
      </c>
      <c r="UBE41" s="117" t="str">
        <f>IF(UBD41&lt;5,"SI","NO")</f>
        <v>NO</v>
      </c>
      <c r="UBF41" s="117" t="str">
        <f>IF(UBD41&lt;5,"Sin Riesgo",IF(UBD41 &lt;=14,"Bajo",IF(UBD41&lt;=35,"Medio",IF(UBD41&lt;=80,"Alto","Inviable Sanitariamente"))))</f>
        <v>Inviable Sanitariamente</v>
      </c>
      <c r="UBQ41" s="117">
        <v>97.9</v>
      </c>
      <c r="UBS41" s="117">
        <f>AVERAGE(UBG41:UBR41)</f>
        <v>97.9</v>
      </c>
      <c r="UBT41" s="117" t="str">
        <f>IF(UBS41&lt;5,"SI","NO")</f>
        <v>NO</v>
      </c>
      <c r="UBU41" s="117" t="str">
        <f>IF(UBS41&lt;5,"Sin Riesgo",IF(UBS41 &lt;=14,"Bajo",IF(UBS41&lt;=35,"Medio",IF(UBS41&lt;=80,"Alto","Inviable Sanitariamente"))))</f>
        <v>Inviable Sanitariamente</v>
      </c>
      <c r="UCF41" s="117">
        <v>97.9</v>
      </c>
      <c r="UCH41" s="117">
        <f>AVERAGE(UBV41:UCG41)</f>
        <v>97.9</v>
      </c>
      <c r="UCI41" s="117" t="str">
        <f>IF(UCH41&lt;5,"SI","NO")</f>
        <v>NO</v>
      </c>
      <c r="UCJ41" s="117" t="str">
        <f>IF(UCH41&lt;5,"Sin Riesgo",IF(UCH41 &lt;=14,"Bajo",IF(UCH41&lt;=35,"Medio",IF(UCH41&lt;=80,"Alto","Inviable Sanitariamente"))))</f>
        <v>Inviable Sanitariamente</v>
      </c>
      <c r="UCU41" s="117">
        <v>97.9</v>
      </c>
      <c r="UCW41" s="117">
        <f>AVERAGE(UCK41:UCV41)</f>
        <v>97.9</v>
      </c>
      <c r="UCX41" s="117" t="str">
        <f>IF(UCW41&lt;5,"SI","NO")</f>
        <v>NO</v>
      </c>
      <c r="UCY41" s="117" t="str">
        <f>IF(UCW41&lt;5,"Sin Riesgo",IF(UCW41 &lt;=14,"Bajo",IF(UCW41&lt;=35,"Medio",IF(UCW41&lt;=80,"Alto","Inviable Sanitariamente"))))</f>
        <v>Inviable Sanitariamente</v>
      </c>
      <c r="UDJ41" s="117">
        <v>97.9</v>
      </c>
      <c r="UDL41" s="117">
        <f>AVERAGE(UCZ41:UDK41)</f>
        <v>97.9</v>
      </c>
      <c r="UDM41" s="117" t="str">
        <f>IF(UDL41&lt;5,"SI","NO")</f>
        <v>NO</v>
      </c>
      <c r="UDN41" s="117" t="str">
        <f>IF(UDL41&lt;5,"Sin Riesgo",IF(UDL41 &lt;=14,"Bajo",IF(UDL41&lt;=35,"Medio",IF(UDL41&lt;=80,"Alto","Inviable Sanitariamente"))))</f>
        <v>Inviable Sanitariamente</v>
      </c>
      <c r="UDY41" s="117">
        <v>97.9</v>
      </c>
      <c r="UEA41" s="117">
        <f>AVERAGE(UDO41:UDZ41)</f>
        <v>97.9</v>
      </c>
      <c r="UEB41" s="117" t="str">
        <f>IF(UEA41&lt;5,"SI","NO")</f>
        <v>NO</v>
      </c>
      <c r="UEC41" s="117" t="str">
        <f>IF(UEA41&lt;5,"Sin Riesgo",IF(UEA41 &lt;=14,"Bajo",IF(UEA41&lt;=35,"Medio",IF(UEA41&lt;=80,"Alto","Inviable Sanitariamente"))))</f>
        <v>Inviable Sanitariamente</v>
      </c>
      <c r="UEN41" s="117">
        <v>97.9</v>
      </c>
      <c r="UEP41" s="117">
        <f>AVERAGE(UED41:UEO41)</f>
        <v>97.9</v>
      </c>
      <c r="UEQ41" s="117" t="str">
        <f>IF(UEP41&lt;5,"SI","NO")</f>
        <v>NO</v>
      </c>
      <c r="UER41" s="117" t="str">
        <f>IF(UEP41&lt;5,"Sin Riesgo",IF(UEP41 &lt;=14,"Bajo",IF(UEP41&lt;=35,"Medio",IF(UEP41&lt;=80,"Alto","Inviable Sanitariamente"))))</f>
        <v>Inviable Sanitariamente</v>
      </c>
      <c r="UFC41" s="117">
        <v>97.9</v>
      </c>
      <c r="UFE41" s="117">
        <f>AVERAGE(UES41:UFD41)</f>
        <v>97.9</v>
      </c>
      <c r="UFF41" s="117" t="str">
        <f>IF(UFE41&lt;5,"SI","NO")</f>
        <v>NO</v>
      </c>
      <c r="UFG41" s="117" t="str">
        <f>IF(UFE41&lt;5,"Sin Riesgo",IF(UFE41 &lt;=14,"Bajo",IF(UFE41&lt;=35,"Medio",IF(UFE41&lt;=80,"Alto","Inviable Sanitariamente"))))</f>
        <v>Inviable Sanitariamente</v>
      </c>
      <c r="UFR41" s="117">
        <v>97.9</v>
      </c>
      <c r="UFT41" s="117">
        <f>AVERAGE(UFH41:UFS41)</f>
        <v>97.9</v>
      </c>
      <c r="UFU41" s="117" t="str">
        <f>IF(UFT41&lt;5,"SI","NO")</f>
        <v>NO</v>
      </c>
      <c r="UFV41" s="117" t="str">
        <f>IF(UFT41&lt;5,"Sin Riesgo",IF(UFT41 &lt;=14,"Bajo",IF(UFT41&lt;=35,"Medio",IF(UFT41&lt;=80,"Alto","Inviable Sanitariamente"))))</f>
        <v>Inviable Sanitariamente</v>
      </c>
      <c r="UGG41" s="117">
        <v>97.9</v>
      </c>
      <c r="UGI41" s="117">
        <f>AVERAGE(UFW41:UGH41)</f>
        <v>97.9</v>
      </c>
      <c r="UGJ41" s="117" t="str">
        <f>IF(UGI41&lt;5,"SI","NO")</f>
        <v>NO</v>
      </c>
      <c r="UGK41" s="117" t="str">
        <f>IF(UGI41&lt;5,"Sin Riesgo",IF(UGI41 &lt;=14,"Bajo",IF(UGI41&lt;=35,"Medio",IF(UGI41&lt;=80,"Alto","Inviable Sanitariamente"))))</f>
        <v>Inviable Sanitariamente</v>
      </c>
      <c r="UGV41" s="117">
        <v>97.9</v>
      </c>
      <c r="UGX41" s="117">
        <f>AVERAGE(UGL41:UGW41)</f>
        <v>97.9</v>
      </c>
      <c r="UGY41" s="117" t="str">
        <f>IF(UGX41&lt;5,"SI","NO")</f>
        <v>NO</v>
      </c>
      <c r="UGZ41" s="117" t="str">
        <f>IF(UGX41&lt;5,"Sin Riesgo",IF(UGX41 &lt;=14,"Bajo",IF(UGX41&lt;=35,"Medio",IF(UGX41&lt;=80,"Alto","Inviable Sanitariamente"))))</f>
        <v>Inviable Sanitariamente</v>
      </c>
      <c r="UHK41" s="117">
        <v>97.9</v>
      </c>
      <c r="UHM41" s="117">
        <f>AVERAGE(UHA41:UHL41)</f>
        <v>97.9</v>
      </c>
      <c r="UHN41" s="117" t="str">
        <f>IF(UHM41&lt;5,"SI","NO")</f>
        <v>NO</v>
      </c>
      <c r="UHO41" s="117" t="str">
        <f>IF(UHM41&lt;5,"Sin Riesgo",IF(UHM41 &lt;=14,"Bajo",IF(UHM41&lt;=35,"Medio",IF(UHM41&lt;=80,"Alto","Inviable Sanitariamente"))))</f>
        <v>Inviable Sanitariamente</v>
      </c>
      <c r="UHZ41" s="117">
        <v>97.9</v>
      </c>
      <c r="UIB41" s="117">
        <f>AVERAGE(UHP41:UIA41)</f>
        <v>97.9</v>
      </c>
      <c r="UIC41" s="117" t="str">
        <f>IF(UIB41&lt;5,"SI","NO")</f>
        <v>NO</v>
      </c>
      <c r="UID41" s="117" t="str">
        <f>IF(UIB41&lt;5,"Sin Riesgo",IF(UIB41 &lt;=14,"Bajo",IF(UIB41&lt;=35,"Medio",IF(UIB41&lt;=80,"Alto","Inviable Sanitariamente"))))</f>
        <v>Inviable Sanitariamente</v>
      </c>
      <c r="UIO41" s="117">
        <v>97.9</v>
      </c>
      <c r="UIQ41" s="117">
        <f>AVERAGE(UIE41:UIP41)</f>
        <v>97.9</v>
      </c>
      <c r="UIR41" s="117" t="str">
        <f>IF(UIQ41&lt;5,"SI","NO")</f>
        <v>NO</v>
      </c>
      <c r="UIS41" s="117" t="str">
        <f>IF(UIQ41&lt;5,"Sin Riesgo",IF(UIQ41 &lt;=14,"Bajo",IF(UIQ41&lt;=35,"Medio",IF(UIQ41&lt;=80,"Alto","Inviable Sanitariamente"))))</f>
        <v>Inviable Sanitariamente</v>
      </c>
      <c r="UJD41" s="117">
        <v>97.9</v>
      </c>
      <c r="UJF41" s="117">
        <f>AVERAGE(UIT41:UJE41)</f>
        <v>97.9</v>
      </c>
      <c r="UJG41" s="117" t="str">
        <f>IF(UJF41&lt;5,"SI","NO")</f>
        <v>NO</v>
      </c>
      <c r="UJH41" s="117" t="str">
        <f>IF(UJF41&lt;5,"Sin Riesgo",IF(UJF41 &lt;=14,"Bajo",IF(UJF41&lt;=35,"Medio",IF(UJF41&lt;=80,"Alto","Inviable Sanitariamente"))))</f>
        <v>Inviable Sanitariamente</v>
      </c>
      <c r="UJS41" s="117">
        <v>97.9</v>
      </c>
      <c r="UJU41" s="117">
        <f>AVERAGE(UJI41:UJT41)</f>
        <v>97.9</v>
      </c>
      <c r="UJV41" s="117" t="str">
        <f>IF(UJU41&lt;5,"SI","NO")</f>
        <v>NO</v>
      </c>
      <c r="UJW41" s="117" t="str">
        <f>IF(UJU41&lt;5,"Sin Riesgo",IF(UJU41 &lt;=14,"Bajo",IF(UJU41&lt;=35,"Medio",IF(UJU41&lt;=80,"Alto","Inviable Sanitariamente"))))</f>
        <v>Inviable Sanitariamente</v>
      </c>
      <c r="UKH41" s="117">
        <v>97.9</v>
      </c>
      <c r="UKJ41" s="117">
        <f>AVERAGE(UJX41:UKI41)</f>
        <v>97.9</v>
      </c>
      <c r="UKK41" s="117" t="str">
        <f>IF(UKJ41&lt;5,"SI","NO")</f>
        <v>NO</v>
      </c>
      <c r="UKL41" s="117" t="str">
        <f>IF(UKJ41&lt;5,"Sin Riesgo",IF(UKJ41 &lt;=14,"Bajo",IF(UKJ41&lt;=35,"Medio",IF(UKJ41&lt;=80,"Alto","Inviable Sanitariamente"))))</f>
        <v>Inviable Sanitariamente</v>
      </c>
      <c r="UKW41" s="117">
        <v>97.9</v>
      </c>
      <c r="UKY41" s="117">
        <f>AVERAGE(UKM41:UKX41)</f>
        <v>97.9</v>
      </c>
      <c r="UKZ41" s="117" t="str">
        <f>IF(UKY41&lt;5,"SI","NO")</f>
        <v>NO</v>
      </c>
      <c r="ULA41" s="117" t="str">
        <f>IF(UKY41&lt;5,"Sin Riesgo",IF(UKY41 &lt;=14,"Bajo",IF(UKY41&lt;=35,"Medio",IF(UKY41&lt;=80,"Alto","Inviable Sanitariamente"))))</f>
        <v>Inviable Sanitariamente</v>
      </c>
      <c r="ULL41" s="117">
        <v>97.9</v>
      </c>
      <c r="ULN41" s="117">
        <f>AVERAGE(ULB41:ULM41)</f>
        <v>97.9</v>
      </c>
      <c r="ULO41" s="117" t="str">
        <f>IF(ULN41&lt;5,"SI","NO")</f>
        <v>NO</v>
      </c>
      <c r="ULP41" s="117" t="str">
        <f>IF(ULN41&lt;5,"Sin Riesgo",IF(ULN41 &lt;=14,"Bajo",IF(ULN41&lt;=35,"Medio",IF(ULN41&lt;=80,"Alto","Inviable Sanitariamente"))))</f>
        <v>Inviable Sanitariamente</v>
      </c>
      <c r="UMA41" s="117">
        <v>97.9</v>
      </c>
      <c r="UMC41" s="117">
        <f>AVERAGE(ULQ41:UMB41)</f>
        <v>97.9</v>
      </c>
      <c r="UMD41" s="117" t="str">
        <f>IF(UMC41&lt;5,"SI","NO")</f>
        <v>NO</v>
      </c>
      <c r="UME41" s="117" t="str">
        <f>IF(UMC41&lt;5,"Sin Riesgo",IF(UMC41 &lt;=14,"Bajo",IF(UMC41&lt;=35,"Medio",IF(UMC41&lt;=80,"Alto","Inviable Sanitariamente"))))</f>
        <v>Inviable Sanitariamente</v>
      </c>
      <c r="UMP41" s="117">
        <v>97.9</v>
      </c>
      <c r="UMR41" s="117">
        <f>AVERAGE(UMF41:UMQ41)</f>
        <v>97.9</v>
      </c>
      <c r="UMS41" s="117" t="str">
        <f>IF(UMR41&lt;5,"SI","NO")</f>
        <v>NO</v>
      </c>
      <c r="UMT41" s="117" t="str">
        <f>IF(UMR41&lt;5,"Sin Riesgo",IF(UMR41 &lt;=14,"Bajo",IF(UMR41&lt;=35,"Medio",IF(UMR41&lt;=80,"Alto","Inviable Sanitariamente"))))</f>
        <v>Inviable Sanitariamente</v>
      </c>
      <c r="UNE41" s="117">
        <v>97.9</v>
      </c>
      <c r="UNG41" s="117">
        <f>AVERAGE(UMU41:UNF41)</f>
        <v>97.9</v>
      </c>
      <c r="UNH41" s="117" t="str">
        <f>IF(UNG41&lt;5,"SI","NO")</f>
        <v>NO</v>
      </c>
      <c r="UNI41" s="117" t="str">
        <f>IF(UNG41&lt;5,"Sin Riesgo",IF(UNG41 &lt;=14,"Bajo",IF(UNG41&lt;=35,"Medio",IF(UNG41&lt;=80,"Alto","Inviable Sanitariamente"))))</f>
        <v>Inviable Sanitariamente</v>
      </c>
      <c r="UNT41" s="117">
        <v>97.9</v>
      </c>
      <c r="UNV41" s="117">
        <f>AVERAGE(UNJ41:UNU41)</f>
        <v>97.9</v>
      </c>
      <c r="UNW41" s="117" t="str">
        <f>IF(UNV41&lt;5,"SI","NO")</f>
        <v>NO</v>
      </c>
      <c r="UNX41" s="117" t="str">
        <f>IF(UNV41&lt;5,"Sin Riesgo",IF(UNV41 &lt;=14,"Bajo",IF(UNV41&lt;=35,"Medio",IF(UNV41&lt;=80,"Alto","Inviable Sanitariamente"))))</f>
        <v>Inviable Sanitariamente</v>
      </c>
      <c r="UOI41" s="117">
        <v>97.9</v>
      </c>
      <c r="UOK41" s="117">
        <f>AVERAGE(UNY41:UOJ41)</f>
        <v>97.9</v>
      </c>
      <c r="UOL41" s="117" t="str">
        <f>IF(UOK41&lt;5,"SI","NO")</f>
        <v>NO</v>
      </c>
      <c r="UOM41" s="117" t="str">
        <f>IF(UOK41&lt;5,"Sin Riesgo",IF(UOK41 &lt;=14,"Bajo",IF(UOK41&lt;=35,"Medio",IF(UOK41&lt;=80,"Alto","Inviable Sanitariamente"))))</f>
        <v>Inviable Sanitariamente</v>
      </c>
      <c r="UOX41" s="117">
        <v>97.9</v>
      </c>
      <c r="UOZ41" s="117">
        <f>AVERAGE(UON41:UOY41)</f>
        <v>97.9</v>
      </c>
      <c r="UPA41" s="117" t="str">
        <f>IF(UOZ41&lt;5,"SI","NO")</f>
        <v>NO</v>
      </c>
      <c r="UPB41" s="117" t="str">
        <f>IF(UOZ41&lt;5,"Sin Riesgo",IF(UOZ41 &lt;=14,"Bajo",IF(UOZ41&lt;=35,"Medio",IF(UOZ41&lt;=80,"Alto","Inviable Sanitariamente"))))</f>
        <v>Inviable Sanitariamente</v>
      </c>
      <c r="UPM41" s="117">
        <v>97.9</v>
      </c>
      <c r="UPO41" s="117">
        <f>AVERAGE(UPC41:UPN41)</f>
        <v>97.9</v>
      </c>
      <c r="UPP41" s="117" t="str">
        <f>IF(UPO41&lt;5,"SI","NO")</f>
        <v>NO</v>
      </c>
      <c r="UPQ41" s="117" t="str">
        <f>IF(UPO41&lt;5,"Sin Riesgo",IF(UPO41 &lt;=14,"Bajo",IF(UPO41&lt;=35,"Medio",IF(UPO41&lt;=80,"Alto","Inviable Sanitariamente"))))</f>
        <v>Inviable Sanitariamente</v>
      </c>
      <c r="UQB41" s="117">
        <v>97.9</v>
      </c>
      <c r="UQD41" s="117">
        <f>AVERAGE(UPR41:UQC41)</f>
        <v>97.9</v>
      </c>
      <c r="UQE41" s="117" t="str">
        <f>IF(UQD41&lt;5,"SI","NO")</f>
        <v>NO</v>
      </c>
      <c r="UQF41" s="117" t="str">
        <f>IF(UQD41&lt;5,"Sin Riesgo",IF(UQD41 &lt;=14,"Bajo",IF(UQD41&lt;=35,"Medio",IF(UQD41&lt;=80,"Alto","Inviable Sanitariamente"))))</f>
        <v>Inviable Sanitariamente</v>
      </c>
      <c r="UQQ41" s="117">
        <v>97.9</v>
      </c>
      <c r="UQS41" s="117">
        <f>AVERAGE(UQG41:UQR41)</f>
        <v>97.9</v>
      </c>
      <c r="UQT41" s="117" t="str">
        <f>IF(UQS41&lt;5,"SI","NO")</f>
        <v>NO</v>
      </c>
      <c r="UQU41" s="117" t="str">
        <f>IF(UQS41&lt;5,"Sin Riesgo",IF(UQS41 &lt;=14,"Bajo",IF(UQS41&lt;=35,"Medio",IF(UQS41&lt;=80,"Alto","Inviable Sanitariamente"))))</f>
        <v>Inviable Sanitariamente</v>
      </c>
      <c r="URF41" s="117">
        <v>97.9</v>
      </c>
      <c r="URH41" s="117">
        <f>AVERAGE(UQV41:URG41)</f>
        <v>97.9</v>
      </c>
      <c r="URI41" s="117" t="str">
        <f>IF(URH41&lt;5,"SI","NO")</f>
        <v>NO</v>
      </c>
      <c r="URJ41" s="117" t="str">
        <f>IF(URH41&lt;5,"Sin Riesgo",IF(URH41 &lt;=14,"Bajo",IF(URH41&lt;=35,"Medio",IF(URH41&lt;=80,"Alto","Inviable Sanitariamente"))))</f>
        <v>Inviable Sanitariamente</v>
      </c>
      <c r="URU41" s="117">
        <v>97.9</v>
      </c>
      <c r="URW41" s="117">
        <f>AVERAGE(URK41:URV41)</f>
        <v>97.9</v>
      </c>
      <c r="URX41" s="117" t="str">
        <f>IF(URW41&lt;5,"SI","NO")</f>
        <v>NO</v>
      </c>
      <c r="URY41" s="117" t="str">
        <f>IF(URW41&lt;5,"Sin Riesgo",IF(URW41 &lt;=14,"Bajo",IF(URW41&lt;=35,"Medio",IF(URW41&lt;=80,"Alto","Inviable Sanitariamente"))))</f>
        <v>Inviable Sanitariamente</v>
      </c>
      <c r="USJ41" s="117">
        <v>97.9</v>
      </c>
      <c r="USL41" s="117">
        <f>AVERAGE(URZ41:USK41)</f>
        <v>97.9</v>
      </c>
      <c r="USM41" s="117" t="str">
        <f>IF(USL41&lt;5,"SI","NO")</f>
        <v>NO</v>
      </c>
      <c r="USN41" s="117" t="str">
        <f>IF(USL41&lt;5,"Sin Riesgo",IF(USL41 &lt;=14,"Bajo",IF(USL41&lt;=35,"Medio",IF(USL41&lt;=80,"Alto","Inviable Sanitariamente"))))</f>
        <v>Inviable Sanitariamente</v>
      </c>
      <c r="USY41" s="117">
        <v>97.9</v>
      </c>
      <c r="UTA41" s="117">
        <f>AVERAGE(USO41:USZ41)</f>
        <v>97.9</v>
      </c>
      <c r="UTB41" s="117" t="str">
        <f>IF(UTA41&lt;5,"SI","NO")</f>
        <v>NO</v>
      </c>
      <c r="UTC41" s="117" t="str">
        <f>IF(UTA41&lt;5,"Sin Riesgo",IF(UTA41 &lt;=14,"Bajo",IF(UTA41&lt;=35,"Medio",IF(UTA41&lt;=80,"Alto","Inviable Sanitariamente"))))</f>
        <v>Inviable Sanitariamente</v>
      </c>
      <c r="UTN41" s="117">
        <v>97.9</v>
      </c>
      <c r="UTP41" s="117">
        <f>AVERAGE(UTD41:UTO41)</f>
        <v>97.9</v>
      </c>
      <c r="UTQ41" s="117" t="str">
        <f>IF(UTP41&lt;5,"SI","NO")</f>
        <v>NO</v>
      </c>
      <c r="UTR41" s="117" t="str">
        <f>IF(UTP41&lt;5,"Sin Riesgo",IF(UTP41 &lt;=14,"Bajo",IF(UTP41&lt;=35,"Medio",IF(UTP41&lt;=80,"Alto","Inviable Sanitariamente"))))</f>
        <v>Inviable Sanitariamente</v>
      </c>
      <c r="UUC41" s="117">
        <v>97.9</v>
      </c>
      <c r="UUE41" s="117">
        <f>AVERAGE(UTS41:UUD41)</f>
        <v>97.9</v>
      </c>
      <c r="UUF41" s="117" t="str">
        <f>IF(UUE41&lt;5,"SI","NO")</f>
        <v>NO</v>
      </c>
      <c r="UUG41" s="117" t="str">
        <f>IF(UUE41&lt;5,"Sin Riesgo",IF(UUE41 &lt;=14,"Bajo",IF(UUE41&lt;=35,"Medio",IF(UUE41&lt;=80,"Alto","Inviable Sanitariamente"))))</f>
        <v>Inviable Sanitariamente</v>
      </c>
      <c r="UUR41" s="117">
        <v>97.9</v>
      </c>
      <c r="UUT41" s="117">
        <f>AVERAGE(UUH41:UUS41)</f>
        <v>97.9</v>
      </c>
      <c r="UUU41" s="117" t="str">
        <f>IF(UUT41&lt;5,"SI","NO")</f>
        <v>NO</v>
      </c>
      <c r="UUV41" s="117" t="str">
        <f>IF(UUT41&lt;5,"Sin Riesgo",IF(UUT41 &lt;=14,"Bajo",IF(UUT41&lt;=35,"Medio",IF(UUT41&lt;=80,"Alto","Inviable Sanitariamente"))))</f>
        <v>Inviable Sanitariamente</v>
      </c>
      <c r="UVG41" s="117">
        <v>97.9</v>
      </c>
      <c r="UVI41" s="117">
        <f>AVERAGE(UUW41:UVH41)</f>
        <v>97.9</v>
      </c>
      <c r="UVJ41" s="117" t="str">
        <f>IF(UVI41&lt;5,"SI","NO")</f>
        <v>NO</v>
      </c>
      <c r="UVK41" s="117" t="str">
        <f>IF(UVI41&lt;5,"Sin Riesgo",IF(UVI41 &lt;=14,"Bajo",IF(UVI41&lt;=35,"Medio",IF(UVI41&lt;=80,"Alto","Inviable Sanitariamente"))))</f>
        <v>Inviable Sanitariamente</v>
      </c>
      <c r="UVV41" s="117">
        <v>97.9</v>
      </c>
      <c r="UVX41" s="117">
        <f>AVERAGE(UVL41:UVW41)</f>
        <v>97.9</v>
      </c>
      <c r="UVY41" s="117" t="str">
        <f>IF(UVX41&lt;5,"SI","NO")</f>
        <v>NO</v>
      </c>
      <c r="UVZ41" s="117" t="str">
        <f>IF(UVX41&lt;5,"Sin Riesgo",IF(UVX41 &lt;=14,"Bajo",IF(UVX41&lt;=35,"Medio",IF(UVX41&lt;=80,"Alto","Inviable Sanitariamente"))))</f>
        <v>Inviable Sanitariamente</v>
      </c>
      <c r="UWK41" s="117">
        <v>97.9</v>
      </c>
      <c r="UWM41" s="117">
        <f>AVERAGE(UWA41:UWL41)</f>
        <v>97.9</v>
      </c>
      <c r="UWN41" s="117" t="str">
        <f>IF(UWM41&lt;5,"SI","NO")</f>
        <v>NO</v>
      </c>
      <c r="UWO41" s="117" t="str">
        <f>IF(UWM41&lt;5,"Sin Riesgo",IF(UWM41 &lt;=14,"Bajo",IF(UWM41&lt;=35,"Medio",IF(UWM41&lt;=80,"Alto","Inviable Sanitariamente"))))</f>
        <v>Inviable Sanitariamente</v>
      </c>
      <c r="UWZ41" s="117">
        <v>97.9</v>
      </c>
      <c r="UXB41" s="117">
        <f>AVERAGE(UWP41:UXA41)</f>
        <v>97.9</v>
      </c>
      <c r="UXC41" s="117" t="str">
        <f>IF(UXB41&lt;5,"SI","NO")</f>
        <v>NO</v>
      </c>
      <c r="UXD41" s="117" t="str">
        <f>IF(UXB41&lt;5,"Sin Riesgo",IF(UXB41 &lt;=14,"Bajo",IF(UXB41&lt;=35,"Medio",IF(UXB41&lt;=80,"Alto","Inviable Sanitariamente"))))</f>
        <v>Inviable Sanitariamente</v>
      </c>
      <c r="UXO41" s="117">
        <v>97.9</v>
      </c>
      <c r="UXQ41" s="117">
        <f>AVERAGE(UXE41:UXP41)</f>
        <v>97.9</v>
      </c>
      <c r="UXR41" s="117" t="str">
        <f>IF(UXQ41&lt;5,"SI","NO")</f>
        <v>NO</v>
      </c>
      <c r="UXS41" s="117" t="str">
        <f>IF(UXQ41&lt;5,"Sin Riesgo",IF(UXQ41 &lt;=14,"Bajo",IF(UXQ41&lt;=35,"Medio",IF(UXQ41&lt;=80,"Alto","Inviable Sanitariamente"))))</f>
        <v>Inviable Sanitariamente</v>
      </c>
      <c r="UYD41" s="117">
        <v>97.9</v>
      </c>
      <c r="UYF41" s="117">
        <f>AVERAGE(UXT41:UYE41)</f>
        <v>97.9</v>
      </c>
      <c r="UYG41" s="117" t="str">
        <f>IF(UYF41&lt;5,"SI","NO")</f>
        <v>NO</v>
      </c>
      <c r="UYH41" s="117" t="str">
        <f>IF(UYF41&lt;5,"Sin Riesgo",IF(UYF41 &lt;=14,"Bajo",IF(UYF41&lt;=35,"Medio",IF(UYF41&lt;=80,"Alto","Inviable Sanitariamente"))))</f>
        <v>Inviable Sanitariamente</v>
      </c>
      <c r="UYS41" s="117">
        <v>97.9</v>
      </c>
      <c r="UYU41" s="117">
        <f>AVERAGE(UYI41:UYT41)</f>
        <v>97.9</v>
      </c>
      <c r="UYV41" s="117" t="str">
        <f>IF(UYU41&lt;5,"SI","NO")</f>
        <v>NO</v>
      </c>
      <c r="UYW41" s="117" t="str">
        <f>IF(UYU41&lt;5,"Sin Riesgo",IF(UYU41 &lt;=14,"Bajo",IF(UYU41&lt;=35,"Medio",IF(UYU41&lt;=80,"Alto","Inviable Sanitariamente"))))</f>
        <v>Inviable Sanitariamente</v>
      </c>
      <c r="UZH41" s="117">
        <v>97.9</v>
      </c>
      <c r="UZJ41" s="117">
        <f>AVERAGE(UYX41:UZI41)</f>
        <v>97.9</v>
      </c>
      <c r="UZK41" s="117" t="str">
        <f>IF(UZJ41&lt;5,"SI","NO")</f>
        <v>NO</v>
      </c>
      <c r="UZL41" s="117" t="str">
        <f>IF(UZJ41&lt;5,"Sin Riesgo",IF(UZJ41 &lt;=14,"Bajo",IF(UZJ41&lt;=35,"Medio",IF(UZJ41&lt;=80,"Alto","Inviable Sanitariamente"))))</f>
        <v>Inviable Sanitariamente</v>
      </c>
      <c r="UZW41" s="117">
        <v>97.9</v>
      </c>
      <c r="UZY41" s="117">
        <f>AVERAGE(UZM41:UZX41)</f>
        <v>97.9</v>
      </c>
      <c r="UZZ41" s="117" t="str">
        <f>IF(UZY41&lt;5,"SI","NO")</f>
        <v>NO</v>
      </c>
      <c r="VAA41" s="117" t="str">
        <f>IF(UZY41&lt;5,"Sin Riesgo",IF(UZY41 &lt;=14,"Bajo",IF(UZY41&lt;=35,"Medio",IF(UZY41&lt;=80,"Alto","Inviable Sanitariamente"))))</f>
        <v>Inviable Sanitariamente</v>
      </c>
      <c r="VAL41" s="117">
        <v>97.9</v>
      </c>
      <c r="VAN41" s="117">
        <f>AVERAGE(VAB41:VAM41)</f>
        <v>97.9</v>
      </c>
      <c r="VAO41" s="117" t="str">
        <f>IF(VAN41&lt;5,"SI","NO")</f>
        <v>NO</v>
      </c>
      <c r="VAP41" s="117" t="str">
        <f>IF(VAN41&lt;5,"Sin Riesgo",IF(VAN41 &lt;=14,"Bajo",IF(VAN41&lt;=35,"Medio",IF(VAN41&lt;=80,"Alto","Inviable Sanitariamente"))))</f>
        <v>Inviable Sanitariamente</v>
      </c>
      <c r="VBA41" s="117">
        <v>97.9</v>
      </c>
      <c r="VBC41" s="117">
        <f>AVERAGE(VAQ41:VBB41)</f>
        <v>97.9</v>
      </c>
      <c r="VBD41" s="117" t="str">
        <f>IF(VBC41&lt;5,"SI","NO")</f>
        <v>NO</v>
      </c>
      <c r="VBE41" s="117" t="str">
        <f>IF(VBC41&lt;5,"Sin Riesgo",IF(VBC41 &lt;=14,"Bajo",IF(VBC41&lt;=35,"Medio",IF(VBC41&lt;=80,"Alto","Inviable Sanitariamente"))))</f>
        <v>Inviable Sanitariamente</v>
      </c>
      <c r="VBP41" s="117">
        <v>97.9</v>
      </c>
      <c r="VBR41" s="117">
        <f>AVERAGE(VBF41:VBQ41)</f>
        <v>97.9</v>
      </c>
      <c r="VBS41" s="117" t="str">
        <f>IF(VBR41&lt;5,"SI","NO")</f>
        <v>NO</v>
      </c>
      <c r="VBT41" s="117" t="str">
        <f>IF(VBR41&lt;5,"Sin Riesgo",IF(VBR41 &lt;=14,"Bajo",IF(VBR41&lt;=35,"Medio",IF(VBR41&lt;=80,"Alto","Inviable Sanitariamente"))))</f>
        <v>Inviable Sanitariamente</v>
      </c>
      <c r="VCE41" s="117">
        <v>97.9</v>
      </c>
      <c r="VCG41" s="117">
        <f>AVERAGE(VBU41:VCF41)</f>
        <v>97.9</v>
      </c>
      <c r="VCH41" s="117" t="str">
        <f>IF(VCG41&lt;5,"SI","NO")</f>
        <v>NO</v>
      </c>
      <c r="VCI41" s="117" t="str">
        <f>IF(VCG41&lt;5,"Sin Riesgo",IF(VCG41 &lt;=14,"Bajo",IF(VCG41&lt;=35,"Medio",IF(VCG41&lt;=80,"Alto","Inviable Sanitariamente"))))</f>
        <v>Inviable Sanitariamente</v>
      </c>
      <c r="VCT41" s="117">
        <v>97.9</v>
      </c>
      <c r="VCV41" s="117">
        <f>AVERAGE(VCJ41:VCU41)</f>
        <v>97.9</v>
      </c>
      <c r="VCW41" s="117" t="str">
        <f>IF(VCV41&lt;5,"SI","NO")</f>
        <v>NO</v>
      </c>
      <c r="VCX41" s="117" t="str">
        <f>IF(VCV41&lt;5,"Sin Riesgo",IF(VCV41 &lt;=14,"Bajo",IF(VCV41&lt;=35,"Medio",IF(VCV41&lt;=80,"Alto","Inviable Sanitariamente"))))</f>
        <v>Inviable Sanitariamente</v>
      </c>
      <c r="VDI41" s="117">
        <v>97.9</v>
      </c>
      <c r="VDK41" s="117">
        <f>AVERAGE(VCY41:VDJ41)</f>
        <v>97.9</v>
      </c>
      <c r="VDL41" s="117" t="str">
        <f>IF(VDK41&lt;5,"SI","NO")</f>
        <v>NO</v>
      </c>
      <c r="VDM41" s="117" t="str">
        <f>IF(VDK41&lt;5,"Sin Riesgo",IF(VDK41 &lt;=14,"Bajo",IF(VDK41&lt;=35,"Medio",IF(VDK41&lt;=80,"Alto","Inviable Sanitariamente"))))</f>
        <v>Inviable Sanitariamente</v>
      </c>
      <c r="VDX41" s="117">
        <v>97.9</v>
      </c>
      <c r="VDZ41" s="117">
        <f>AVERAGE(VDN41:VDY41)</f>
        <v>97.9</v>
      </c>
      <c r="VEA41" s="117" t="str">
        <f>IF(VDZ41&lt;5,"SI","NO")</f>
        <v>NO</v>
      </c>
      <c r="VEB41" s="117" t="str">
        <f>IF(VDZ41&lt;5,"Sin Riesgo",IF(VDZ41 &lt;=14,"Bajo",IF(VDZ41&lt;=35,"Medio",IF(VDZ41&lt;=80,"Alto","Inviable Sanitariamente"))))</f>
        <v>Inviable Sanitariamente</v>
      </c>
      <c r="VEM41" s="117">
        <v>97.9</v>
      </c>
      <c r="VEO41" s="117">
        <f>AVERAGE(VEC41:VEN41)</f>
        <v>97.9</v>
      </c>
      <c r="VEP41" s="117" t="str">
        <f>IF(VEO41&lt;5,"SI","NO")</f>
        <v>NO</v>
      </c>
      <c r="VEQ41" s="117" t="str">
        <f>IF(VEO41&lt;5,"Sin Riesgo",IF(VEO41 &lt;=14,"Bajo",IF(VEO41&lt;=35,"Medio",IF(VEO41&lt;=80,"Alto","Inviable Sanitariamente"))))</f>
        <v>Inviable Sanitariamente</v>
      </c>
      <c r="VFB41" s="117">
        <v>97.9</v>
      </c>
      <c r="VFD41" s="117">
        <f>AVERAGE(VER41:VFC41)</f>
        <v>97.9</v>
      </c>
      <c r="VFE41" s="117" t="str">
        <f>IF(VFD41&lt;5,"SI","NO")</f>
        <v>NO</v>
      </c>
      <c r="VFF41" s="117" t="str">
        <f>IF(VFD41&lt;5,"Sin Riesgo",IF(VFD41 &lt;=14,"Bajo",IF(VFD41&lt;=35,"Medio",IF(VFD41&lt;=80,"Alto","Inviable Sanitariamente"))))</f>
        <v>Inviable Sanitariamente</v>
      </c>
      <c r="VFQ41" s="117">
        <v>97.9</v>
      </c>
      <c r="VFS41" s="117">
        <f>AVERAGE(VFG41:VFR41)</f>
        <v>97.9</v>
      </c>
      <c r="VFT41" s="117" t="str">
        <f>IF(VFS41&lt;5,"SI","NO")</f>
        <v>NO</v>
      </c>
      <c r="VFU41" s="117" t="str">
        <f>IF(VFS41&lt;5,"Sin Riesgo",IF(VFS41 &lt;=14,"Bajo",IF(VFS41&lt;=35,"Medio",IF(VFS41&lt;=80,"Alto","Inviable Sanitariamente"))))</f>
        <v>Inviable Sanitariamente</v>
      </c>
      <c r="VGF41" s="117">
        <v>97.9</v>
      </c>
      <c r="VGH41" s="117">
        <f>AVERAGE(VFV41:VGG41)</f>
        <v>97.9</v>
      </c>
      <c r="VGI41" s="117" t="str">
        <f>IF(VGH41&lt;5,"SI","NO")</f>
        <v>NO</v>
      </c>
      <c r="VGJ41" s="117" t="str">
        <f>IF(VGH41&lt;5,"Sin Riesgo",IF(VGH41 &lt;=14,"Bajo",IF(VGH41&lt;=35,"Medio",IF(VGH41&lt;=80,"Alto","Inviable Sanitariamente"))))</f>
        <v>Inviable Sanitariamente</v>
      </c>
      <c r="VGU41" s="117">
        <v>97.9</v>
      </c>
      <c r="VGW41" s="117">
        <f>AVERAGE(VGK41:VGV41)</f>
        <v>97.9</v>
      </c>
      <c r="VGX41" s="117" t="str">
        <f>IF(VGW41&lt;5,"SI","NO")</f>
        <v>NO</v>
      </c>
      <c r="VGY41" s="117" t="str">
        <f>IF(VGW41&lt;5,"Sin Riesgo",IF(VGW41 &lt;=14,"Bajo",IF(VGW41&lt;=35,"Medio",IF(VGW41&lt;=80,"Alto","Inviable Sanitariamente"))))</f>
        <v>Inviable Sanitariamente</v>
      </c>
      <c r="VHJ41" s="117">
        <v>97.9</v>
      </c>
      <c r="VHL41" s="117">
        <f>AVERAGE(VGZ41:VHK41)</f>
        <v>97.9</v>
      </c>
      <c r="VHM41" s="117" t="str">
        <f>IF(VHL41&lt;5,"SI","NO")</f>
        <v>NO</v>
      </c>
      <c r="VHN41" s="117" t="str">
        <f>IF(VHL41&lt;5,"Sin Riesgo",IF(VHL41 &lt;=14,"Bajo",IF(VHL41&lt;=35,"Medio",IF(VHL41&lt;=80,"Alto","Inviable Sanitariamente"))))</f>
        <v>Inviable Sanitariamente</v>
      </c>
      <c r="VHY41" s="117">
        <v>97.9</v>
      </c>
      <c r="VIA41" s="117">
        <f>AVERAGE(VHO41:VHZ41)</f>
        <v>97.9</v>
      </c>
      <c r="VIB41" s="117" t="str">
        <f>IF(VIA41&lt;5,"SI","NO")</f>
        <v>NO</v>
      </c>
      <c r="VIC41" s="117" t="str">
        <f>IF(VIA41&lt;5,"Sin Riesgo",IF(VIA41 &lt;=14,"Bajo",IF(VIA41&lt;=35,"Medio",IF(VIA41&lt;=80,"Alto","Inviable Sanitariamente"))))</f>
        <v>Inviable Sanitariamente</v>
      </c>
      <c r="VIN41" s="117">
        <v>97.9</v>
      </c>
      <c r="VIP41" s="117">
        <f>AVERAGE(VID41:VIO41)</f>
        <v>97.9</v>
      </c>
      <c r="VIQ41" s="117" t="str">
        <f>IF(VIP41&lt;5,"SI","NO")</f>
        <v>NO</v>
      </c>
      <c r="VIR41" s="117" t="str">
        <f>IF(VIP41&lt;5,"Sin Riesgo",IF(VIP41 &lt;=14,"Bajo",IF(VIP41&lt;=35,"Medio",IF(VIP41&lt;=80,"Alto","Inviable Sanitariamente"))))</f>
        <v>Inviable Sanitariamente</v>
      </c>
      <c r="VJC41" s="117">
        <v>97.9</v>
      </c>
      <c r="VJE41" s="117">
        <f>AVERAGE(VIS41:VJD41)</f>
        <v>97.9</v>
      </c>
      <c r="VJF41" s="117" t="str">
        <f>IF(VJE41&lt;5,"SI","NO")</f>
        <v>NO</v>
      </c>
      <c r="VJG41" s="117" t="str">
        <f>IF(VJE41&lt;5,"Sin Riesgo",IF(VJE41 &lt;=14,"Bajo",IF(VJE41&lt;=35,"Medio",IF(VJE41&lt;=80,"Alto","Inviable Sanitariamente"))))</f>
        <v>Inviable Sanitariamente</v>
      </c>
      <c r="VJR41" s="117">
        <v>97.9</v>
      </c>
      <c r="VJT41" s="117">
        <f>AVERAGE(VJH41:VJS41)</f>
        <v>97.9</v>
      </c>
      <c r="VJU41" s="117" t="str">
        <f>IF(VJT41&lt;5,"SI","NO")</f>
        <v>NO</v>
      </c>
      <c r="VJV41" s="117" t="str">
        <f>IF(VJT41&lt;5,"Sin Riesgo",IF(VJT41 &lt;=14,"Bajo",IF(VJT41&lt;=35,"Medio",IF(VJT41&lt;=80,"Alto","Inviable Sanitariamente"))))</f>
        <v>Inviable Sanitariamente</v>
      </c>
      <c r="VKG41" s="117">
        <v>97.9</v>
      </c>
      <c r="VKI41" s="117">
        <f>AVERAGE(VJW41:VKH41)</f>
        <v>97.9</v>
      </c>
      <c r="VKJ41" s="117" t="str">
        <f>IF(VKI41&lt;5,"SI","NO")</f>
        <v>NO</v>
      </c>
      <c r="VKK41" s="117" t="str">
        <f>IF(VKI41&lt;5,"Sin Riesgo",IF(VKI41 &lt;=14,"Bajo",IF(VKI41&lt;=35,"Medio",IF(VKI41&lt;=80,"Alto","Inviable Sanitariamente"))))</f>
        <v>Inviable Sanitariamente</v>
      </c>
      <c r="VKV41" s="117">
        <v>97.9</v>
      </c>
      <c r="VKX41" s="117">
        <f>AVERAGE(VKL41:VKW41)</f>
        <v>97.9</v>
      </c>
      <c r="VKY41" s="117" t="str">
        <f>IF(VKX41&lt;5,"SI","NO")</f>
        <v>NO</v>
      </c>
      <c r="VKZ41" s="117" t="str">
        <f>IF(VKX41&lt;5,"Sin Riesgo",IF(VKX41 &lt;=14,"Bajo",IF(VKX41&lt;=35,"Medio",IF(VKX41&lt;=80,"Alto","Inviable Sanitariamente"))))</f>
        <v>Inviable Sanitariamente</v>
      </c>
      <c r="VLK41" s="117">
        <v>97.9</v>
      </c>
      <c r="VLM41" s="117">
        <f>AVERAGE(VLA41:VLL41)</f>
        <v>97.9</v>
      </c>
      <c r="VLN41" s="117" t="str">
        <f>IF(VLM41&lt;5,"SI","NO")</f>
        <v>NO</v>
      </c>
      <c r="VLO41" s="117" t="str">
        <f>IF(VLM41&lt;5,"Sin Riesgo",IF(VLM41 &lt;=14,"Bajo",IF(VLM41&lt;=35,"Medio",IF(VLM41&lt;=80,"Alto","Inviable Sanitariamente"))))</f>
        <v>Inviable Sanitariamente</v>
      </c>
      <c r="VLZ41" s="117">
        <v>97.9</v>
      </c>
      <c r="VMB41" s="117">
        <f>AVERAGE(VLP41:VMA41)</f>
        <v>97.9</v>
      </c>
      <c r="VMC41" s="117" t="str">
        <f>IF(VMB41&lt;5,"SI","NO")</f>
        <v>NO</v>
      </c>
      <c r="VMD41" s="117" t="str">
        <f>IF(VMB41&lt;5,"Sin Riesgo",IF(VMB41 &lt;=14,"Bajo",IF(VMB41&lt;=35,"Medio",IF(VMB41&lt;=80,"Alto","Inviable Sanitariamente"))))</f>
        <v>Inviable Sanitariamente</v>
      </c>
      <c r="VMO41" s="117">
        <v>97.9</v>
      </c>
      <c r="VMQ41" s="117">
        <f>AVERAGE(VME41:VMP41)</f>
        <v>97.9</v>
      </c>
      <c r="VMR41" s="117" t="str">
        <f>IF(VMQ41&lt;5,"SI","NO")</f>
        <v>NO</v>
      </c>
      <c r="VMS41" s="117" t="str">
        <f>IF(VMQ41&lt;5,"Sin Riesgo",IF(VMQ41 &lt;=14,"Bajo",IF(VMQ41&lt;=35,"Medio",IF(VMQ41&lt;=80,"Alto","Inviable Sanitariamente"))))</f>
        <v>Inviable Sanitariamente</v>
      </c>
      <c r="VND41" s="117">
        <v>97.9</v>
      </c>
      <c r="VNF41" s="117">
        <f>AVERAGE(VMT41:VNE41)</f>
        <v>97.9</v>
      </c>
      <c r="VNG41" s="117" t="str">
        <f>IF(VNF41&lt;5,"SI","NO")</f>
        <v>NO</v>
      </c>
      <c r="VNH41" s="117" t="str">
        <f>IF(VNF41&lt;5,"Sin Riesgo",IF(VNF41 &lt;=14,"Bajo",IF(VNF41&lt;=35,"Medio",IF(VNF41&lt;=80,"Alto","Inviable Sanitariamente"))))</f>
        <v>Inviable Sanitariamente</v>
      </c>
      <c r="VNS41" s="117">
        <v>97.9</v>
      </c>
      <c r="VNU41" s="117">
        <f>AVERAGE(VNI41:VNT41)</f>
        <v>97.9</v>
      </c>
      <c r="VNV41" s="117" t="str">
        <f>IF(VNU41&lt;5,"SI","NO")</f>
        <v>NO</v>
      </c>
      <c r="VNW41" s="117" t="str">
        <f>IF(VNU41&lt;5,"Sin Riesgo",IF(VNU41 &lt;=14,"Bajo",IF(VNU41&lt;=35,"Medio",IF(VNU41&lt;=80,"Alto","Inviable Sanitariamente"))))</f>
        <v>Inviable Sanitariamente</v>
      </c>
      <c r="VOH41" s="117">
        <v>97.9</v>
      </c>
      <c r="VOJ41" s="117">
        <f>AVERAGE(VNX41:VOI41)</f>
        <v>97.9</v>
      </c>
      <c r="VOK41" s="117" t="str">
        <f>IF(VOJ41&lt;5,"SI","NO")</f>
        <v>NO</v>
      </c>
      <c r="VOL41" s="117" t="str">
        <f>IF(VOJ41&lt;5,"Sin Riesgo",IF(VOJ41 &lt;=14,"Bajo",IF(VOJ41&lt;=35,"Medio",IF(VOJ41&lt;=80,"Alto","Inviable Sanitariamente"))))</f>
        <v>Inviable Sanitariamente</v>
      </c>
      <c r="VOW41" s="117">
        <v>97.9</v>
      </c>
      <c r="VOY41" s="117">
        <f>AVERAGE(VOM41:VOX41)</f>
        <v>97.9</v>
      </c>
      <c r="VOZ41" s="117" t="str">
        <f>IF(VOY41&lt;5,"SI","NO")</f>
        <v>NO</v>
      </c>
      <c r="VPA41" s="117" t="str">
        <f>IF(VOY41&lt;5,"Sin Riesgo",IF(VOY41 &lt;=14,"Bajo",IF(VOY41&lt;=35,"Medio",IF(VOY41&lt;=80,"Alto","Inviable Sanitariamente"))))</f>
        <v>Inviable Sanitariamente</v>
      </c>
      <c r="VPL41" s="117">
        <v>97.9</v>
      </c>
      <c r="VPN41" s="117">
        <f>AVERAGE(VPB41:VPM41)</f>
        <v>97.9</v>
      </c>
      <c r="VPO41" s="117" t="str">
        <f>IF(VPN41&lt;5,"SI","NO")</f>
        <v>NO</v>
      </c>
      <c r="VPP41" s="117" t="str">
        <f>IF(VPN41&lt;5,"Sin Riesgo",IF(VPN41 &lt;=14,"Bajo",IF(VPN41&lt;=35,"Medio",IF(VPN41&lt;=80,"Alto","Inviable Sanitariamente"))))</f>
        <v>Inviable Sanitariamente</v>
      </c>
      <c r="VQA41" s="117">
        <v>97.9</v>
      </c>
      <c r="VQC41" s="117">
        <f>AVERAGE(VPQ41:VQB41)</f>
        <v>97.9</v>
      </c>
      <c r="VQD41" s="117" t="str">
        <f>IF(VQC41&lt;5,"SI","NO")</f>
        <v>NO</v>
      </c>
      <c r="VQE41" s="117" t="str">
        <f>IF(VQC41&lt;5,"Sin Riesgo",IF(VQC41 &lt;=14,"Bajo",IF(VQC41&lt;=35,"Medio",IF(VQC41&lt;=80,"Alto","Inviable Sanitariamente"))))</f>
        <v>Inviable Sanitariamente</v>
      </c>
      <c r="VQP41" s="117">
        <v>97.9</v>
      </c>
      <c r="VQR41" s="117">
        <f>AVERAGE(VQF41:VQQ41)</f>
        <v>97.9</v>
      </c>
      <c r="VQS41" s="117" t="str">
        <f>IF(VQR41&lt;5,"SI","NO")</f>
        <v>NO</v>
      </c>
      <c r="VQT41" s="117" t="str">
        <f>IF(VQR41&lt;5,"Sin Riesgo",IF(VQR41 &lt;=14,"Bajo",IF(VQR41&lt;=35,"Medio",IF(VQR41&lt;=80,"Alto","Inviable Sanitariamente"))))</f>
        <v>Inviable Sanitariamente</v>
      </c>
      <c r="VRE41" s="117">
        <v>97.9</v>
      </c>
      <c r="VRG41" s="117">
        <f>AVERAGE(VQU41:VRF41)</f>
        <v>97.9</v>
      </c>
      <c r="VRH41" s="117" t="str">
        <f>IF(VRG41&lt;5,"SI","NO")</f>
        <v>NO</v>
      </c>
      <c r="VRI41" s="117" t="str">
        <f>IF(VRG41&lt;5,"Sin Riesgo",IF(VRG41 &lt;=14,"Bajo",IF(VRG41&lt;=35,"Medio",IF(VRG41&lt;=80,"Alto","Inviable Sanitariamente"))))</f>
        <v>Inviable Sanitariamente</v>
      </c>
      <c r="VRT41" s="117">
        <v>97.9</v>
      </c>
      <c r="VRV41" s="117">
        <f>AVERAGE(VRJ41:VRU41)</f>
        <v>97.9</v>
      </c>
      <c r="VRW41" s="117" t="str">
        <f>IF(VRV41&lt;5,"SI","NO")</f>
        <v>NO</v>
      </c>
      <c r="VRX41" s="117" t="str">
        <f>IF(VRV41&lt;5,"Sin Riesgo",IF(VRV41 &lt;=14,"Bajo",IF(VRV41&lt;=35,"Medio",IF(VRV41&lt;=80,"Alto","Inviable Sanitariamente"))))</f>
        <v>Inviable Sanitariamente</v>
      </c>
      <c r="VSI41" s="117">
        <v>97.9</v>
      </c>
      <c r="VSK41" s="117">
        <f>AVERAGE(VRY41:VSJ41)</f>
        <v>97.9</v>
      </c>
      <c r="VSL41" s="117" t="str">
        <f>IF(VSK41&lt;5,"SI","NO")</f>
        <v>NO</v>
      </c>
      <c r="VSM41" s="117" t="str">
        <f>IF(VSK41&lt;5,"Sin Riesgo",IF(VSK41 &lt;=14,"Bajo",IF(VSK41&lt;=35,"Medio",IF(VSK41&lt;=80,"Alto","Inviable Sanitariamente"))))</f>
        <v>Inviable Sanitariamente</v>
      </c>
      <c r="VSX41" s="117">
        <v>97.9</v>
      </c>
      <c r="VSZ41" s="117">
        <f>AVERAGE(VSN41:VSY41)</f>
        <v>97.9</v>
      </c>
      <c r="VTA41" s="117" t="str">
        <f>IF(VSZ41&lt;5,"SI","NO")</f>
        <v>NO</v>
      </c>
      <c r="VTB41" s="117" t="str">
        <f>IF(VSZ41&lt;5,"Sin Riesgo",IF(VSZ41 &lt;=14,"Bajo",IF(VSZ41&lt;=35,"Medio",IF(VSZ41&lt;=80,"Alto","Inviable Sanitariamente"))))</f>
        <v>Inviable Sanitariamente</v>
      </c>
      <c r="VTM41" s="117">
        <v>97.9</v>
      </c>
      <c r="VTO41" s="117">
        <f>AVERAGE(VTC41:VTN41)</f>
        <v>97.9</v>
      </c>
      <c r="VTP41" s="117" t="str">
        <f>IF(VTO41&lt;5,"SI","NO")</f>
        <v>NO</v>
      </c>
      <c r="VTQ41" s="117" t="str">
        <f>IF(VTO41&lt;5,"Sin Riesgo",IF(VTO41 &lt;=14,"Bajo",IF(VTO41&lt;=35,"Medio",IF(VTO41&lt;=80,"Alto","Inviable Sanitariamente"))))</f>
        <v>Inviable Sanitariamente</v>
      </c>
      <c r="VUB41" s="117">
        <v>97.9</v>
      </c>
      <c r="VUD41" s="117">
        <f>AVERAGE(VTR41:VUC41)</f>
        <v>97.9</v>
      </c>
      <c r="VUE41" s="117" t="str">
        <f>IF(VUD41&lt;5,"SI","NO")</f>
        <v>NO</v>
      </c>
      <c r="VUF41" s="117" t="str">
        <f>IF(VUD41&lt;5,"Sin Riesgo",IF(VUD41 &lt;=14,"Bajo",IF(VUD41&lt;=35,"Medio",IF(VUD41&lt;=80,"Alto","Inviable Sanitariamente"))))</f>
        <v>Inviable Sanitariamente</v>
      </c>
      <c r="VUQ41" s="117">
        <v>97.9</v>
      </c>
      <c r="VUS41" s="117">
        <f>AVERAGE(VUG41:VUR41)</f>
        <v>97.9</v>
      </c>
      <c r="VUT41" s="117" t="str">
        <f>IF(VUS41&lt;5,"SI","NO")</f>
        <v>NO</v>
      </c>
      <c r="VUU41" s="117" t="str">
        <f>IF(VUS41&lt;5,"Sin Riesgo",IF(VUS41 &lt;=14,"Bajo",IF(VUS41&lt;=35,"Medio",IF(VUS41&lt;=80,"Alto","Inviable Sanitariamente"))))</f>
        <v>Inviable Sanitariamente</v>
      </c>
      <c r="VVF41" s="117">
        <v>97.9</v>
      </c>
      <c r="VVH41" s="117">
        <f>AVERAGE(VUV41:VVG41)</f>
        <v>97.9</v>
      </c>
      <c r="VVI41" s="117" t="str">
        <f>IF(VVH41&lt;5,"SI","NO")</f>
        <v>NO</v>
      </c>
      <c r="VVJ41" s="117" t="str">
        <f>IF(VVH41&lt;5,"Sin Riesgo",IF(VVH41 &lt;=14,"Bajo",IF(VVH41&lt;=35,"Medio",IF(VVH41&lt;=80,"Alto","Inviable Sanitariamente"))))</f>
        <v>Inviable Sanitariamente</v>
      </c>
      <c r="VVU41" s="117">
        <v>97.9</v>
      </c>
      <c r="VVW41" s="117">
        <f>AVERAGE(VVK41:VVV41)</f>
        <v>97.9</v>
      </c>
      <c r="VVX41" s="117" t="str">
        <f>IF(VVW41&lt;5,"SI","NO")</f>
        <v>NO</v>
      </c>
      <c r="VVY41" s="117" t="str">
        <f>IF(VVW41&lt;5,"Sin Riesgo",IF(VVW41 &lt;=14,"Bajo",IF(VVW41&lt;=35,"Medio",IF(VVW41&lt;=80,"Alto","Inviable Sanitariamente"))))</f>
        <v>Inviable Sanitariamente</v>
      </c>
      <c r="VWJ41" s="117">
        <v>97.9</v>
      </c>
      <c r="VWL41" s="117">
        <f>AVERAGE(VVZ41:VWK41)</f>
        <v>97.9</v>
      </c>
      <c r="VWM41" s="117" t="str">
        <f>IF(VWL41&lt;5,"SI","NO")</f>
        <v>NO</v>
      </c>
      <c r="VWN41" s="117" t="str">
        <f>IF(VWL41&lt;5,"Sin Riesgo",IF(VWL41 &lt;=14,"Bajo",IF(VWL41&lt;=35,"Medio",IF(VWL41&lt;=80,"Alto","Inviable Sanitariamente"))))</f>
        <v>Inviable Sanitariamente</v>
      </c>
      <c r="VWY41" s="117">
        <v>97.9</v>
      </c>
      <c r="VXA41" s="117">
        <f>AVERAGE(VWO41:VWZ41)</f>
        <v>97.9</v>
      </c>
      <c r="VXB41" s="117" t="str">
        <f>IF(VXA41&lt;5,"SI","NO")</f>
        <v>NO</v>
      </c>
      <c r="VXC41" s="117" t="str">
        <f>IF(VXA41&lt;5,"Sin Riesgo",IF(VXA41 &lt;=14,"Bajo",IF(VXA41&lt;=35,"Medio",IF(VXA41&lt;=80,"Alto","Inviable Sanitariamente"))))</f>
        <v>Inviable Sanitariamente</v>
      </c>
      <c r="VXN41" s="117">
        <v>97.9</v>
      </c>
      <c r="VXP41" s="117">
        <f>AVERAGE(VXD41:VXO41)</f>
        <v>97.9</v>
      </c>
      <c r="VXQ41" s="117" t="str">
        <f>IF(VXP41&lt;5,"SI","NO")</f>
        <v>NO</v>
      </c>
      <c r="VXR41" s="117" t="str">
        <f>IF(VXP41&lt;5,"Sin Riesgo",IF(VXP41 &lt;=14,"Bajo",IF(VXP41&lt;=35,"Medio",IF(VXP41&lt;=80,"Alto","Inviable Sanitariamente"))))</f>
        <v>Inviable Sanitariamente</v>
      </c>
      <c r="VYC41" s="117">
        <v>97.9</v>
      </c>
      <c r="VYE41" s="117">
        <f>AVERAGE(VXS41:VYD41)</f>
        <v>97.9</v>
      </c>
      <c r="VYF41" s="117" t="str">
        <f>IF(VYE41&lt;5,"SI","NO")</f>
        <v>NO</v>
      </c>
      <c r="VYG41" s="117" t="str">
        <f>IF(VYE41&lt;5,"Sin Riesgo",IF(VYE41 &lt;=14,"Bajo",IF(VYE41&lt;=35,"Medio",IF(VYE41&lt;=80,"Alto","Inviable Sanitariamente"))))</f>
        <v>Inviable Sanitariamente</v>
      </c>
      <c r="VYR41" s="117">
        <v>97.9</v>
      </c>
      <c r="VYT41" s="117">
        <f>AVERAGE(VYH41:VYS41)</f>
        <v>97.9</v>
      </c>
      <c r="VYU41" s="117" t="str">
        <f>IF(VYT41&lt;5,"SI","NO")</f>
        <v>NO</v>
      </c>
      <c r="VYV41" s="117" t="str">
        <f>IF(VYT41&lt;5,"Sin Riesgo",IF(VYT41 &lt;=14,"Bajo",IF(VYT41&lt;=35,"Medio",IF(VYT41&lt;=80,"Alto","Inviable Sanitariamente"))))</f>
        <v>Inviable Sanitariamente</v>
      </c>
      <c r="VZG41" s="117">
        <v>97.9</v>
      </c>
      <c r="VZI41" s="117">
        <f>AVERAGE(VYW41:VZH41)</f>
        <v>97.9</v>
      </c>
      <c r="VZJ41" s="117" t="str">
        <f>IF(VZI41&lt;5,"SI","NO")</f>
        <v>NO</v>
      </c>
      <c r="VZK41" s="117" t="str">
        <f>IF(VZI41&lt;5,"Sin Riesgo",IF(VZI41 &lt;=14,"Bajo",IF(VZI41&lt;=35,"Medio",IF(VZI41&lt;=80,"Alto","Inviable Sanitariamente"))))</f>
        <v>Inviable Sanitariamente</v>
      </c>
      <c r="VZV41" s="117">
        <v>97.9</v>
      </c>
      <c r="VZX41" s="117">
        <f>AVERAGE(VZL41:VZW41)</f>
        <v>97.9</v>
      </c>
      <c r="VZY41" s="117" t="str">
        <f>IF(VZX41&lt;5,"SI","NO")</f>
        <v>NO</v>
      </c>
      <c r="VZZ41" s="117" t="str">
        <f>IF(VZX41&lt;5,"Sin Riesgo",IF(VZX41 &lt;=14,"Bajo",IF(VZX41&lt;=35,"Medio",IF(VZX41&lt;=80,"Alto","Inviable Sanitariamente"))))</f>
        <v>Inviable Sanitariamente</v>
      </c>
      <c r="WAK41" s="117">
        <v>97.9</v>
      </c>
      <c r="WAM41" s="117">
        <f>AVERAGE(WAA41:WAL41)</f>
        <v>97.9</v>
      </c>
      <c r="WAN41" s="117" t="str">
        <f>IF(WAM41&lt;5,"SI","NO")</f>
        <v>NO</v>
      </c>
      <c r="WAO41" s="117" t="str">
        <f>IF(WAM41&lt;5,"Sin Riesgo",IF(WAM41 &lt;=14,"Bajo",IF(WAM41&lt;=35,"Medio",IF(WAM41&lt;=80,"Alto","Inviable Sanitariamente"))))</f>
        <v>Inviable Sanitariamente</v>
      </c>
      <c r="WAZ41" s="117">
        <v>97.9</v>
      </c>
      <c r="WBB41" s="117">
        <f>AVERAGE(WAP41:WBA41)</f>
        <v>97.9</v>
      </c>
      <c r="WBC41" s="117" t="str">
        <f>IF(WBB41&lt;5,"SI","NO")</f>
        <v>NO</v>
      </c>
      <c r="WBD41" s="117" t="str">
        <f>IF(WBB41&lt;5,"Sin Riesgo",IF(WBB41 &lt;=14,"Bajo",IF(WBB41&lt;=35,"Medio",IF(WBB41&lt;=80,"Alto","Inviable Sanitariamente"))))</f>
        <v>Inviable Sanitariamente</v>
      </c>
      <c r="WBO41" s="117">
        <v>97.9</v>
      </c>
      <c r="WBQ41" s="117">
        <f>AVERAGE(WBE41:WBP41)</f>
        <v>97.9</v>
      </c>
      <c r="WBR41" s="117" t="str">
        <f>IF(WBQ41&lt;5,"SI","NO")</f>
        <v>NO</v>
      </c>
      <c r="WBS41" s="117" t="str">
        <f>IF(WBQ41&lt;5,"Sin Riesgo",IF(WBQ41 &lt;=14,"Bajo",IF(WBQ41&lt;=35,"Medio",IF(WBQ41&lt;=80,"Alto","Inviable Sanitariamente"))))</f>
        <v>Inviable Sanitariamente</v>
      </c>
      <c r="WCD41" s="117">
        <v>97.9</v>
      </c>
      <c r="WCF41" s="117">
        <f>AVERAGE(WBT41:WCE41)</f>
        <v>97.9</v>
      </c>
      <c r="WCG41" s="117" t="str">
        <f>IF(WCF41&lt;5,"SI","NO")</f>
        <v>NO</v>
      </c>
      <c r="WCH41" s="117" t="str">
        <f>IF(WCF41&lt;5,"Sin Riesgo",IF(WCF41 &lt;=14,"Bajo",IF(WCF41&lt;=35,"Medio",IF(WCF41&lt;=80,"Alto","Inviable Sanitariamente"))))</f>
        <v>Inviable Sanitariamente</v>
      </c>
      <c r="WCS41" s="117">
        <v>97.9</v>
      </c>
      <c r="WCU41" s="117">
        <f>AVERAGE(WCI41:WCT41)</f>
        <v>97.9</v>
      </c>
      <c r="WCV41" s="117" t="str">
        <f>IF(WCU41&lt;5,"SI","NO")</f>
        <v>NO</v>
      </c>
      <c r="WCW41" s="117" t="str">
        <f>IF(WCU41&lt;5,"Sin Riesgo",IF(WCU41 &lt;=14,"Bajo",IF(WCU41&lt;=35,"Medio",IF(WCU41&lt;=80,"Alto","Inviable Sanitariamente"))))</f>
        <v>Inviable Sanitariamente</v>
      </c>
      <c r="WDH41" s="117">
        <v>97.9</v>
      </c>
      <c r="WDJ41" s="117">
        <f>AVERAGE(WCX41:WDI41)</f>
        <v>97.9</v>
      </c>
      <c r="WDK41" s="117" t="str">
        <f>IF(WDJ41&lt;5,"SI","NO")</f>
        <v>NO</v>
      </c>
      <c r="WDL41" s="117" t="str">
        <f>IF(WDJ41&lt;5,"Sin Riesgo",IF(WDJ41 &lt;=14,"Bajo",IF(WDJ41&lt;=35,"Medio",IF(WDJ41&lt;=80,"Alto","Inviable Sanitariamente"))))</f>
        <v>Inviable Sanitariamente</v>
      </c>
      <c r="WDW41" s="117">
        <v>97.9</v>
      </c>
      <c r="WDY41" s="117">
        <f>AVERAGE(WDM41:WDX41)</f>
        <v>97.9</v>
      </c>
      <c r="WDZ41" s="117" t="str">
        <f>IF(WDY41&lt;5,"SI","NO")</f>
        <v>NO</v>
      </c>
      <c r="WEA41" s="117" t="str">
        <f>IF(WDY41&lt;5,"Sin Riesgo",IF(WDY41 &lt;=14,"Bajo",IF(WDY41&lt;=35,"Medio",IF(WDY41&lt;=80,"Alto","Inviable Sanitariamente"))))</f>
        <v>Inviable Sanitariamente</v>
      </c>
      <c r="WEL41" s="117">
        <v>97.9</v>
      </c>
      <c r="WEN41" s="117">
        <f>AVERAGE(WEB41:WEM41)</f>
        <v>97.9</v>
      </c>
      <c r="WEO41" s="117" t="str">
        <f>IF(WEN41&lt;5,"SI","NO")</f>
        <v>NO</v>
      </c>
      <c r="WEP41" s="117" t="str">
        <f>IF(WEN41&lt;5,"Sin Riesgo",IF(WEN41 &lt;=14,"Bajo",IF(WEN41&lt;=35,"Medio",IF(WEN41&lt;=80,"Alto","Inviable Sanitariamente"))))</f>
        <v>Inviable Sanitariamente</v>
      </c>
      <c r="WFA41" s="117">
        <v>97.9</v>
      </c>
      <c r="WFC41" s="117">
        <f>AVERAGE(WEQ41:WFB41)</f>
        <v>97.9</v>
      </c>
      <c r="WFD41" s="117" t="str">
        <f>IF(WFC41&lt;5,"SI","NO")</f>
        <v>NO</v>
      </c>
      <c r="WFE41" s="117" t="str">
        <f>IF(WFC41&lt;5,"Sin Riesgo",IF(WFC41 &lt;=14,"Bajo",IF(WFC41&lt;=35,"Medio",IF(WFC41&lt;=80,"Alto","Inviable Sanitariamente"))))</f>
        <v>Inviable Sanitariamente</v>
      </c>
      <c r="WFP41" s="117">
        <v>97.9</v>
      </c>
      <c r="WFR41" s="117">
        <f>AVERAGE(WFF41:WFQ41)</f>
        <v>97.9</v>
      </c>
      <c r="WFS41" s="117" t="str">
        <f>IF(WFR41&lt;5,"SI","NO")</f>
        <v>NO</v>
      </c>
      <c r="WFT41" s="117" t="str">
        <f>IF(WFR41&lt;5,"Sin Riesgo",IF(WFR41 &lt;=14,"Bajo",IF(WFR41&lt;=35,"Medio",IF(WFR41&lt;=80,"Alto","Inviable Sanitariamente"))))</f>
        <v>Inviable Sanitariamente</v>
      </c>
      <c r="WGE41" s="117">
        <v>97.9</v>
      </c>
      <c r="WGG41" s="117">
        <f>AVERAGE(WFU41:WGF41)</f>
        <v>97.9</v>
      </c>
      <c r="WGH41" s="117" t="str">
        <f>IF(WGG41&lt;5,"SI","NO")</f>
        <v>NO</v>
      </c>
      <c r="WGI41" s="117" t="str">
        <f>IF(WGG41&lt;5,"Sin Riesgo",IF(WGG41 &lt;=14,"Bajo",IF(WGG41&lt;=35,"Medio",IF(WGG41&lt;=80,"Alto","Inviable Sanitariamente"))))</f>
        <v>Inviable Sanitariamente</v>
      </c>
      <c r="WGT41" s="117">
        <v>97.9</v>
      </c>
      <c r="WGV41" s="117">
        <f>AVERAGE(WGJ41:WGU41)</f>
        <v>97.9</v>
      </c>
      <c r="WGW41" s="117" t="str">
        <f>IF(WGV41&lt;5,"SI","NO")</f>
        <v>NO</v>
      </c>
      <c r="WGX41" s="117" t="str">
        <f>IF(WGV41&lt;5,"Sin Riesgo",IF(WGV41 &lt;=14,"Bajo",IF(WGV41&lt;=35,"Medio",IF(WGV41&lt;=80,"Alto","Inviable Sanitariamente"))))</f>
        <v>Inviable Sanitariamente</v>
      </c>
      <c r="WHI41" s="117">
        <v>97.9</v>
      </c>
      <c r="WHK41" s="117">
        <f>AVERAGE(WGY41:WHJ41)</f>
        <v>97.9</v>
      </c>
      <c r="WHL41" s="117" t="str">
        <f>IF(WHK41&lt;5,"SI","NO")</f>
        <v>NO</v>
      </c>
      <c r="WHM41" s="117" t="str">
        <f>IF(WHK41&lt;5,"Sin Riesgo",IF(WHK41 &lt;=14,"Bajo",IF(WHK41&lt;=35,"Medio",IF(WHK41&lt;=80,"Alto","Inviable Sanitariamente"))))</f>
        <v>Inviable Sanitariamente</v>
      </c>
      <c r="WHX41" s="117">
        <v>97.9</v>
      </c>
      <c r="WHZ41" s="117">
        <f>AVERAGE(WHN41:WHY41)</f>
        <v>97.9</v>
      </c>
      <c r="WIA41" s="117" t="str">
        <f>IF(WHZ41&lt;5,"SI","NO")</f>
        <v>NO</v>
      </c>
      <c r="WIB41" s="117" t="str">
        <f>IF(WHZ41&lt;5,"Sin Riesgo",IF(WHZ41 &lt;=14,"Bajo",IF(WHZ41&lt;=35,"Medio",IF(WHZ41&lt;=80,"Alto","Inviable Sanitariamente"))))</f>
        <v>Inviable Sanitariamente</v>
      </c>
      <c r="WIM41" s="117">
        <v>97.9</v>
      </c>
      <c r="WIO41" s="117">
        <f>AVERAGE(WIC41:WIN41)</f>
        <v>97.9</v>
      </c>
      <c r="WIP41" s="117" t="str">
        <f>IF(WIO41&lt;5,"SI","NO")</f>
        <v>NO</v>
      </c>
      <c r="WIQ41" s="117" t="str">
        <f>IF(WIO41&lt;5,"Sin Riesgo",IF(WIO41 &lt;=14,"Bajo",IF(WIO41&lt;=35,"Medio",IF(WIO41&lt;=80,"Alto","Inviable Sanitariamente"))))</f>
        <v>Inviable Sanitariamente</v>
      </c>
      <c r="WJB41" s="117">
        <v>97.9</v>
      </c>
      <c r="WJD41" s="117">
        <f>AVERAGE(WIR41:WJC41)</f>
        <v>97.9</v>
      </c>
      <c r="WJE41" s="117" t="str">
        <f>IF(WJD41&lt;5,"SI","NO")</f>
        <v>NO</v>
      </c>
      <c r="WJF41" s="117" t="str">
        <f>IF(WJD41&lt;5,"Sin Riesgo",IF(WJD41 &lt;=14,"Bajo",IF(WJD41&lt;=35,"Medio",IF(WJD41&lt;=80,"Alto","Inviable Sanitariamente"))))</f>
        <v>Inviable Sanitariamente</v>
      </c>
      <c r="WJQ41" s="117">
        <v>97.9</v>
      </c>
      <c r="WJS41" s="117">
        <f>AVERAGE(WJG41:WJR41)</f>
        <v>97.9</v>
      </c>
      <c r="WJT41" s="117" t="str">
        <f>IF(WJS41&lt;5,"SI","NO")</f>
        <v>NO</v>
      </c>
      <c r="WJU41" s="117" t="str">
        <f>IF(WJS41&lt;5,"Sin Riesgo",IF(WJS41 &lt;=14,"Bajo",IF(WJS41&lt;=35,"Medio",IF(WJS41&lt;=80,"Alto","Inviable Sanitariamente"))))</f>
        <v>Inviable Sanitariamente</v>
      </c>
      <c r="WKF41" s="117">
        <v>97.9</v>
      </c>
      <c r="WKH41" s="117">
        <f>AVERAGE(WJV41:WKG41)</f>
        <v>97.9</v>
      </c>
      <c r="WKI41" s="117" t="str">
        <f>IF(WKH41&lt;5,"SI","NO")</f>
        <v>NO</v>
      </c>
      <c r="WKJ41" s="117" t="str">
        <f>IF(WKH41&lt;5,"Sin Riesgo",IF(WKH41 &lt;=14,"Bajo",IF(WKH41&lt;=35,"Medio",IF(WKH41&lt;=80,"Alto","Inviable Sanitariamente"))))</f>
        <v>Inviable Sanitariamente</v>
      </c>
      <c r="WKU41" s="117">
        <v>97.9</v>
      </c>
      <c r="WKW41" s="117">
        <f>AVERAGE(WKK41:WKV41)</f>
        <v>97.9</v>
      </c>
      <c r="WKX41" s="117" t="str">
        <f>IF(WKW41&lt;5,"SI","NO")</f>
        <v>NO</v>
      </c>
      <c r="WKY41" s="117" t="str">
        <f>IF(WKW41&lt;5,"Sin Riesgo",IF(WKW41 &lt;=14,"Bajo",IF(WKW41&lt;=35,"Medio",IF(WKW41&lt;=80,"Alto","Inviable Sanitariamente"))))</f>
        <v>Inviable Sanitariamente</v>
      </c>
      <c r="WLJ41" s="117">
        <v>97.9</v>
      </c>
      <c r="WLL41" s="117">
        <f>AVERAGE(WKZ41:WLK41)</f>
        <v>97.9</v>
      </c>
      <c r="WLM41" s="117" t="str">
        <f>IF(WLL41&lt;5,"SI","NO")</f>
        <v>NO</v>
      </c>
      <c r="WLN41" s="117" t="str">
        <f>IF(WLL41&lt;5,"Sin Riesgo",IF(WLL41 &lt;=14,"Bajo",IF(WLL41&lt;=35,"Medio",IF(WLL41&lt;=80,"Alto","Inviable Sanitariamente"))))</f>
        <v>Inviable Sanitariamente</v>
      </c>
      <c r="WLY41" s="117">
        <v>97.9</v>
      </c>
      <c r="WMA41" s="117">
        <f>AVERAGE(WLO41:WLZ41)</f>
        <v>97.9</v>
      </c>
      <c r="WMB41" s="117" t="str">
        <f>IF(WMA41&lt;5,"SI","NO")</f>
        <v>NO</v>
      </c>
      <c r="WMC41" s="117" t="str">
        <f>IF(WMA41&lt;5,"Sin Riesgo",IF(WMA41 &lt;=14,"Bajo",IF(WMA41&lt;=35,"Medio",IF(WMA41&lt;=80,"Alto","Inviable Sanitariamente"))))</f>
        <v>Inviable Sanitariamente</v>
      </c>
      <c r="WMN41" s="117">
        <v>97.9</v>
      </c>
      <c r="WMP41" s="117">
        <f>AVERAGE(WMD41:WMO41)</f>
        <v>97.9</v>
      </c>
      <c r="WMQ41" s="117" t="str">
        <f>IF(WMP41&lt;5,"SI","NO")</f>
        <v>NO</v>
      </c>
      <c r="WMR41" s="117" t="str">
        <f>IF(WMP41&lt;5,"Sin Riesgo",IF(WMP41 &lt;=14,"Bajo",IF(WMP41&lt;=35,"Medio",IF(WMP41&lt;=80,"Alto","Inviable Sanitariamente"))))</f>
        <v>Inviable Sanitariamente</v>
      </c>
      <c r="WNC41" s="117">
        <v>97.9</v>
      </c>
      <c r="WNE41" s="117">
        <f>AVERAGE(WMS41:WND41)</f>
        <v>97.9</v>
      </c>
      <c r="WNF41" s="117" t="str">
        <f>IF(WNE41&lt;5,"SI","NO")</f>
        <v>NO</v>
      </c>
      <c r="WNG41" s="117" t="str">
        <f>IF(WNE41&lt;5,"Sin Riesgo",IF(WNE41 &lt;=14,"Bajo",IF(WNE41&lt;=35,"Medio",IF(WNE41&lt;=80,"Alto","Inviable Sanitariamente"))))</f>
        <v>Inviable Sanitariamente</v>
      </c>
      <c r="WNR41" s="117">
        <v>97.9</v>
      </c>
      <c r="WNT41" s="117">
        <f>AVERAGE(WNH41:WNS41)</f>
        <v>97.9</v>
      </c>
      <c r="WNU41" s="117" t="str">
        <f>IF(WNT41&lt;5,"SI","NO")</f>
        <v>NO</v>
      </c>
      <c r="WNV41" s="117" t="str">
        <f>IF(WNT41&lt;5,"Sin Riesgo",IF(WNT41 &lt;=14,"Bajo",IF(WNT41&lt;=35,"Medio",IF(WNT41&lt;=80,"Alto","Inviable Sanitariamente"))))</f>
        <v>Inviable Sanitariamente</v>
      </c>
      <c r="WOG41" s="117">
        <v>97.9</v>
      </c>
      <c r="WOI41" s="117">
        <f>AVERAGE(WNW41:WOH41)</f>
        <v>97.9</v>
      </c>
      <c r="WOJ41" s="117" t="str">
        <f>IF(WOI41&lt;5,"SI","NO")</f>
        <v>NO</v>
      </c>
      <c r="WOK41" s="117" t="str">
        <f>IF(WOI41&lt;5,"Sin Riesgo",IF(WOI41 &lt;=14,"Bajo",IF(WOI41&lt;=35,"Medio",IF(WOI41&lt;=80,"Alto","Inviable Sanitariamente"))))</f>
        <v>Inviable Sanitariamente</v>
      </c>
      <c r="WOV41" s="117">
        <v>97.9</v>
      </c>
      <c r="WOX41" s="117">
        <f>AVERAGE(WOL41:WOW41)</f>
        <v>97.9</v>
      </c>
      <c r="WOY41" s="117" t="str">
        <f>IF(WOX41&lt;5,"SI","NO")</f>
        <v>NO</v>
      </c>
      <c r="WOZ41" s="117" t="str">
        <f>IF(WOX41&lt;5,"Sin Riesgo",IF(WOX41 &lt;=14,"Bajo",IF(WOX41&lt;=35,"Medio",IF(WOX41&lt;=80,"Alto","Inviable Sanitariamente"))))</f>
        <v>Inviable Sanitariamente</v>
      </c>
      <c r="WPK41" s="117">
        <v>97.9</v>
      </c>
      <c r="WPM41" s="117">
        <f>AVERAGE(WPA41:WPL41)</f>
        <v>97.9</v>
      </c>
      <c r="WPN41" s="117" t="str">
        <f>IF(WPM41&lt;5,"SI","NO")</f>
        <v>NO</v>
      </c>
      <c r="WPO41" s="117" t="str">
        <f>IF(WPM41&lt;5,"Sin Riesgo",IF(WPM41 &lt;=14,"Bajo",IF(WPM41&lt;=35,"Medio",IF(WPM41&lt;=80,"Alto","Inviable Sanitariamente"))))</f>
        <v>Inviable Sanitariamente</v>
      </c>
      <c r="WPZ41" s="117">
        <v>97.9</v>
      </c>
      <c r="WQB41" s="117">
        <f>AVERAGE(WPP41:WQA41)</f>
        <v>97.9</v>
      </c>
      <c r="WQC41" s="117" t="str">
        <f>IF(WQB41&lt;5,"SI","NO")</f>
        <v>NO</v>
      </c>
      <c r="WQD41" s="117" t="str">
        <f>IF(WQB41&lt;5,"Sin Riesgo",IF(WQB41 &lt;=14,"Bajo",IF(WQB41&lt;=35,"Medio",IF(WQB41&lt;=80,"Alto","Inviable Sanitariamente"))))</f>
        <v>Inviable Sanitariamente</v>
      </c>
      <c r="WQO41" s="117">
        <v>97.9</v>
      </c>
      <c r="WQQ41" s="117">
        <f>AVERAGE(WQE41:WQP41)</f>
        <v>97.9</v>
      </c>
      <c r="WQR41" s="117" t="str">
        <f>IF(WQQ41&lt;5,"SI","NO")</f>
        <v>NO</v>
      </c>
      <c r="WQS41" s="117" t="str">
        <f>IF(WQQ41&lt;5,"Sin Riesgo",IF(WQQ41 &lt;=14,"Bajo",IF(WQQ41&lt;=35,"Medio",IF(WQQ41&lt;=80,"Alto","Inviable Sanitariamente"))))</f>
        <v>Inviable Sanitariamente</v>
      </c>
      <c r="WRD41" s="117">
        <v>97.9</v>
      </c>
      <c r="WRF41" s="117">
        <f>AVERAGE(WQT41:WRE41)</f>
        <v>97.9</v>
      </c>
      <c r="WRG41" s="117" t="str">
        <f>IF(WRF41&lt;5,"SI","NO")</f>
        <v>NO</v>
      </c>
      <c r="WRH41" s="117" t="str">
        <f>IF(WRF41&lt;5,"Sin Riesgo",IF(WRF41 &lt;=14,"Bajo",IF(WRF41&lt;=35,"Medio",IF(WRF41&lt;=80,"Alto","Inviable Sanitariamente"))))</f>
        <v>Inviable Sanitariamente</v>
      </c>
      <c r="WRS41" s="117">
        <v>97.9</v>
      </c>
      <c r="WRU41" s="117">
        <f>AVERAGE(WRI41:WRT41)</f>
        <v>97.9</v>
      </c>
      <c r="WRV41" s="117" t="str">
        <f>IF(WRU41&lt;5,"SI","NO")</f>
        <v>NO</v>
      </c>
      <c r="WRW41" s="117" t="str">
        <f>IF(WRU41&lt;5,"Sin Riesgo",IF(WRU41 &lt;=14,"Bajo",IF(WRU41&lt;=35,"Medio",IF(WRU41&lt;=80,"Alto","Inviable Sanitariamente"))))</f>
        <v>Inviable Sanitariamente</v>
      </c>
      <c r="WSH41" s="117">
        <v>97.9</v>
      </c>
      <c r="WSJ41" s="117">
        <f>AVERAGE(WRX41:WSI41)</f>
        <v>97.9</v>
      </c>
      <c r="WSK41" s="117" t="str">
        <f>IF(WSJ41&lt;5,"SI","NO")</f>
        <v>NO</v>
      </c>
      <c r="WSL41" s="117" t="str">
        <f>IF(WSJ41&lt;5,"Sin Riesgo",IF(WSJ41 &lt;=14,"Bajo",IF(WSJ41&lt;=35,"Medio",IF(WSJ41&lt;=80,"Alto","Inviable Sanitariamente"))))</f>
        <v>Inviable Sanitariamente</v>
      </c>
      <c r="WSW41" s="117">
        <v>97.9</v>
      </c>
      <c r="WSY41" s="117">
        <f>AVERAGE(WSM41:WSX41)</f>
        <v>97.9</v>
      </c>
      <c r="WSZ41" s="117" t="str">
        <f>IF(WSY41&lt;5,"SI","NO")</f>
        <v>NO</v>
      </c>
      <c r="WTA41" s="117" t="str">
        <f>IF(WSY41&lt;5,"Sin Riesgo",IF(WSY41 &lt;=14,"Bajo",IF(WSY41&lt;=35,"Medio",IF(WSY41&lt;=80,"Alto","Inviable Sanitariamente"))))</f>
        <v>Inviable Sanitariamente</v>
      </c>
      <c r="WTL41" s="117">
        <v>97.9</v>
      </c>
      <c r="WTN41" s="117">
        <f>AVERAGE(WTB41:WTM41)</f>
        <v>97.9</v>
      </c>
      <c r="WTO41" s="117" t="str">
        <f>IF(WTN41&lt;5,"SI","NO")</f>
        <v>NO</v>
      </c>
      <c r="WTP41" s="117" t="str">
        <f>IF(WTN41&lt;5,"Sin Riesgo",IF(WTN41 &lt;=14,"Bajo",IF(WTN41&lt;=35,"Medio",IF(WTN41&lt;=80,"Alto","Inviable Sanitariamente"))))</f>
        <v>Inviable Sanitariamente</v>
      </c>
      <c r="WUA41" s="117">
        <v>97.9</v>
      </c>
      <c r="WUC41" s="117">
        <f>AVERAGE(WTQ41:WUB41)</f>
        <v>97.9</v>
      </c>
      <c r="WUD41" s="117" t="str">
        <f>IF(WUC41&lt;5,"SI","NO")</f>
        <v>NO</v>
      </c>
      <c r="WUE41" s="117" t="str">
        <f>IF(WUC41&lt;5,"Sin Riesgo",IF(WUC41 &lt;=14,"Bajo",IF(WUC41&lt;=35,"Medio",IF(WUC41&lt;=80,"Alto","Inviable Sanitariamente"))))</f>
        <v>Inviable Sanitariamente</v>
      </c>
      <c r="WUP41" s="117">
        <v>97.9</v>
      </c>
      <c r="WUR41" s="117">
        <f>AVERAGE(WUF41:WUQ41)</f>
        <v>97.9</v>
      </c>
      <c r="WUS41" s="117" t="str">
        <f>IF(WUR41&lt;5,"SI","NO")</f>
        <v>NO</v>
      </c>
      <c r="WUT41" s="117" t="str">
        <f>IF(WUR41&lt;5,"Sin Riesgo",IF(WUR41 &lt;=14,"Bajo",IF(WUR41&lt;=35,"Medio",IF(WUR41&lt;=80,"Alto","Inviable Sanitariamente"))))</f>
        <v>Inviable Sanitariamente</v>
      </c>
      <c r="WVE41" s="117">
        <v>97.9</v>
      </c>
      <c r="WVG41" s="117">
        <f>AVERAGE(WUU41:WVF41)</f>
        <v>97.9</v>
      </c>
      <c r="WVH41" s="117" t="str">
        <f>IF(WVG41&lt;5,"SI","NO")</f>
        <v>NO</v>
      </c>
      <c r="WVI41" s="117" t="str">
        <f>IF(WVG41&lt;5,"Sin Riesgo",IF(WVG41 &lt;=14,"Bajo",IF(WVG41&lt;=35,"Medio",IF(WVG41&lt;=80,"Alto","Inviable Sanitariamente"))))</f>
        <v>Inviable Sanitariamente</v>
      </c>
      <c r="WVT41" s="117">
        <v>97.9</v>
      </c>
      <c r="WVV41" s="117">
        <f>AVERAGE(WVJ41:WVU41)</f>
        <v>97.9</v>
      </c>
      <c r="WVW41" s="117" t="str">
        <f>IF(WVV41&lt;5,"SI","NO")</f>
        <v>NO</v>
      </c>
      <c r="WVX41" s="117" t="str">
        <f>IF(WVV41&lt;5,"Sin Riesgo",IF(WVV41 &lt;=14,"Bajo",IF(WVV41&lt;=35,"Medio",IF(WVV41&lt;=80,"Alto","Inviable Sanitariamente"))))</f>
        <v>Inviable Sanitariamente</v>
      </c>
      <c r="WWI41" s="117">
        <v>97.9</v>
      </c>
      <c r="WWK41" s="117">
        <f>AVERAGE(WVY41:WWJ41)</f>
        <v>97.9</v>
      </c>
      <c r="WWL41" s="117" t="str">
        <f>IF(WWK41&lt;5,"SI","NO")</f>
        <v>NO</v>
      </c>
      <c r="WWM41" s="117" t="str">
        <f>IF(WWK41&lt;5,"Sin Riesgo",IF(WWK41 &lt;=14,"Bajo",IF(WWK41&lt;=35,"Medio",IF(WWK41&lt;=80,"Alto","Inviable Sanitariamente"))))</f>
        <v>Inviable Sanitariamente</v>
      </c>
      <c r="WWX41" s="117">
        <v>97.9</v>
      </c>
      <c r="WWZ41" s="117">
        <f>AVERAGE(WWN41:WWY41)</f>
        <v>97.9</v>
      </c>
      <c r="WXA41" s="117" t="str">
        <f>IF(WWZ41&lt;5,"SI","NO")</f>
        <v>NO</v>
      </c>
      <c r="WXB41" s="117" t="str">
        <f>IF(WWZ41&lt;5,"Sin Riesgo",IF(WWZ41 &lt;=14,"Bajo",IF(WWZ41&lt;=35,"Medio",IF(WWZ41&lt;=80,"Alto","Inviable Sanitariamente"))))</f>
        <v>Inviable Sanitariamente</v>
      </c>
      <c r="WXM41" s="117">
        <v>97.9</v>
      </c>
      <c r="WXO41" s="117">
        <f>AVERAGE(WXC41:WXN41)</f>
        <v>97.9</v>
      </c>
      <c r="WXP41" s="117" t="str">
        <f>IF(WXO41&lt;5,"SI","NO")</f>
        <v>NO</v>
      </c>
      <c r="WXQ41" s="117" t="str">
        <f>IF(WXO41&lt;5,"Sin Riesgo",IF(WXO41 &lt;=14,"Bajo",IF(WXO41&lt;=35,"Medio",IF(WXO41&lt;=80,"Alto","Inviable Sanitariamente"))))</f>
        <v>Inviable Sanitariamente</v>
      </c>
      <c r="WYB41" s="117">
        <v>97.9</v>
      </c>
      <c r="WYD41" s="117">
        <f>AVERAGE(WXR41:WYC41)</f>
        <v>97.9</v>
      </c>
      <c r="WYE41" s="117" t="str">
        <f>IF(WYD41&lt;5,"SI","NO")</f>
        <v>NO</v>
      </c>
      <c r="WYF41" s="117" t="str">
        <f>IF(WYD41&lt;5,"Sin Riesgo",IF(WYD41 &lt;=14,"Bajo",IF(WYD41&lt;=35,"Medio",IF(WYD41&lt;=80,"Alto","Inviable Sanitariamente"))))</f>
        <v>Inviable Sanitariamente</v>
      </c>
      <c r="WYQ41" s="117">
        <v>97.9</v>
      </c>
      <c r="WYS41" s="117">
        <f>AVERAGE(WYG41:WYR41)</f>
        <v>97.9</v>
      </c>
      <c r="WYT41" s="117" t="str">
        <f>IF(WYS41&lt;5,"SI","NO")</f>
        <v>NO</v>
      </c>
      <c r="WYU41" s="117" t="str">
        <f>IF(WYS41&lt;5,"Sin Riesgo",IF(WYS41 &lt;=14,"Bajo",IF(WYS41&lt;=35,"Medio",IF(WYS41&lt;=80,"Alto","Inviable Sanitariamente"))))</f>
        <v>Inviable Sanitariamente</v>
      </c>
      <c r="WZF41" s="117">
        <v>97.9</v>
      </c>
      <c r="WZH41" s="117">
        <f>AVERAGE(WYV41:WZG41)</f>
        <v>97.9</v>
      </c>
      <c r="WZI41" s="117" t="str">
        <f>IF(WZH41&lt;5,"SI","NO")</f>
        <v>NO</v>
      </c>
      <c r="WZJ41" s="117" t="str">
        <f>IF(WZH41&lt;5,"Sin Riesgo",IF(WZH41 &lt;=14,"Bajo",IF(WZH41&lt;=35,"Medio",IF(WZH41&lt;=80,"Alto","Inviable Sanitariamente"))))</f>
        <v>Inviable Sanitariamente</v>
      </c>
      <c r="WZU41" s="117">
        <v>97.9</v>
      </c>
      <c r="WZW41" s="117">
        <f>AVERAGE(WZK41:WZV41)</f>
        <v>97.9</v>
      </c>
      <c r="WZX41" s="117" t="str">
        <f>IF(WZW41&lt;5,"SI","NO")</f>
        <v>NO</v>
      </c>
      <c r="WZY41" s="117" t="str">
        <f>IF(WZW41&lt;5,"Sin Riesgo",IF(WZW41 &lt;=14,"Bajo",IF(WZW41&lt;=35,"Medio",IF(WZW41&lt;=80,"Alto","Inviable Sanitariamente"))))</f>
        <v>Inviable Sanitariamente</v>
      </c>
      <c r="XAJ41" s="117">
        <v>97.9</v>
      </c>
      <c r="XAL41" s="117">
        <f>AVERAGE(WZZ41:XAK41)</f>
        <v>97.9</v>
      </c>
      <c r="XAM41" s="117" t="str">
        <f>IF(XAL41&lt;5,"SI","NO")</f>
        <v>NO</v>
      </c>
      <c r="XAN41" s="117" t="str">
        <f>IF(XAL41&lt;5,"Sin Riesgo",IF(XAL41 &lt;=14,"Bajo",IF(XAL41&lt;=35,"Medio",IF(XAL41&lt;=80,"Alto","Inviable Sanitariamente"))))</f>
        <v>Inviable Sanitariamente</v>
      </c>
      <c r="XAY41" s="117">
        <v>97.9</v>
      </c>
      <c r="XBA41" s="117">
        <f>AVERAGE(XAO41:XAZ41)</f>
        <v>97.9</v>
      </c>
      <c r="XBB41" s="117" t="str">
        <f>IF(XBA41&lt;5,"SI","NO")</f>
        <v>NO</v>
      </c>
      <c r="XBC41" s="117" t="str">
        <f>IF(XBA41&lt;5,"Sin Riesgo",IF(XBA41 &lt;=14,"Bajo",IF(XBA41&lt;=35,"Medio",IF(XBA41&lt;=80,"Alto","Inviable Sanitariamente"))))</f>
        <v>Inviable Sanitariamente</v>
      </c>
      <c r="XBN41" s="117">
        <v>97.9</v>
      </c>
      <c r="XBP41" s="117">
        <f>AVERAGE(XBD41:XBO41)</f>
        <v>97.9</v>
      </c>
      <c r="XBQ41" s="117" t="str">
        <f>IF(XBP41&lt;5,"SI","NO")</f>
        <v>NO</v>
      </c>
      <c r="XBR41" s="117" t="str">
        <f>IF(XBP41&lt;5,"Sin Riesgo",IF(XBP41 &lt;=14,"Bajo",IF(XBP41&lt;=35,"Medio",IF(XBP41&lt;=80,"Alto","Inviable Sanitariamente"))))</f>
        <v>Inviable Sanitariamente</v>
      </c>
      <c r="XCC41" s="117">
        <v>97.9</v>
      </c>
      <c r="XCE41" s="117">
        <f>AVERAGE(XBS41:XCD41)</f>
        <v>97.9</v>
      </c>
      <c r="XCF41" s="117" t="str">
        <f>IF(XCE41&lt;5,"SI","NO")</f>
        <v>NO</v>
      </c>
      <c r="XCG41" s="117" t="str">
        <f>IF(XCE41&lt;5,"Sin Riesgo",IF(XCE41 &lt;=14,"Bajo",IF(XCE41&lt;=35,"Medio",IF(XCE41&lt;=80,"Alto","Inviable Sanitariamente"))))</f>
        <v>Inviable Sanitariamente</v>
      </c>
      <c r="XCR41" s="117">
        <v>97.9</v>
      </c>
      <c r="XCT41" s="117">
        <f>AVERAGE(XCH41:XCS41)</f>
        <v>97.9</v>
      </c>
      <c r="XCU41" s="117" t="str">
        <f>IF(XCT41&lt;5,"SI","NO")</f>
        <v>NO</v>
      </c>
      <c r="XCV41" s="117" t="str">
        <f>IF(XCT41&lt;5,"Sin Riesgo",IF(XCT41 &lt;=14,"Bajo",IF(XCT41&lt;=35,"Medio",IF(XCT41&lt;=80,"Alto","Inviable Sanitariamente"))))</f>
        <v>Inviable Sanitariamente</v>
      </c>
      <c r="XDG41" s="117">
        <v>97.9</v>
      </c>
      <c r="XDI41" s="117">
        <f>AVERAGE(XCW41:XDH41)</f>
        <v>97.9</v>
      </c>
      <c r="XDJ41" s="117" t="str">
        <f>IF(XDI41&lt;5,"SI","NO")</f>
        <v>NO</v>
      </c>
      <c r="XDK41" s="117" t="str">
        <f>IF(XDI41&lt;5,"Sin Riesgo",IF(XDI41 &lt;=14,"Bajo",IF(XDI41&lt;=35,"Medio",IF(XDI41&lt;=80,"Alto","Inviable Sanitariamente"))))</f>
        <v>Inviable Sanitariamente</v>
      </c>
      <c r="XDV41" s="117">
        <v>97.9</v>
      </c>
      <c r="XDX41" s="117">
        <f>AVERAGE(XDL41:XDW41)</f>
        <v>97.9</v>
      </c>
      <c r="XDY41" s="117" t="str">
        <f>IF(XDX41&lt;5,"SI","NO")</f>
        <v>NO</v>
      </c>
      <c r="XDZ41" s="117" t="str">
        <f>IF(XDX41&lt;5,"Sin Riesgo",IF(XDX41 &lt;=14,"Bajo",IF(XDX41&lt;=35,"Medio",IF(XDX41&lt;=80,"Alto","Inviable Sanitariamente"))))</f>
        <v>Inviable Sanitariamente</v>
      </c>
      <c r="XEK41" s="117">
        <v>97.9</v>
      </c>
      <c r="XEM41" s="117">
        <f>AVERAGE(XEA41:XEL41)</f>
        <v>97.9</v>
      </c>
      <c r="XEN41" s="117" t="str">
        <f>IF(XEM41&lt;5,"SI","NO")</f>
        <v>NO</v>
      </c>
      <c r="XEO41" s="117" t="str">
        <f>IF(XEM41&lt;5,"Sin Riesgo",IF(XEM41 &lt;=14,"Bajo",IF(XEM41&lt;=35,"Medio",IF(XEM41&lt;=80,"Alto","Inviable Sanitariamente"))))</f>
        <v>Inviable Sanitariamente</v>
      </c>
      <c r="XEZ41" s="117">
        <v>97.9</v>
      </c>
      <c r="XFB41" s="117">
        <f>AVERAGE(XEP41:XFA41)</f>
        <v>97.9</v>
      </c>
      <c r="XFC41" s="117" t="str">
        <f>IF(XFB41&lt;5,"SI","NO")</f>
        <v>NO</v>
      </c>
      <c r="XFD41" s="117" t="str">
        <f>IF(XFB41&lt;5,"Sin Riesgo",IF(XFB41 &lt;=14,"Bajo",IF(XFB41&lt;=35,"Medio",IF(XFB41&lt;=80,"Alto","Inviable Sanitariamente"))))</f>
        <v>Inviable Sanitariamente</v>
      </c>
    </row>
    <row r="42" spans="1:2045 2049:3071 3075:4095 4097:5120 5124:6144 6146:7166 7170:9215 9219:10239 10241:11261 11265:13310 13314:14336 14340:15360 15362:16384" s="117" customFormat="1" ht="32.1" customHeight="1" x14ac:dyDescent="0.2">
      <c r="A42" s="361" t="s">
        <v>78</v>
      </c>
      <c r="B42" s="362" t="s">
        <v>3970</v>
      </c>
      <c r="C42" s="362" t="s">
        <v>3971</v>
      </c>
      <c r="D42" s="364"/>
      <c r="E42" s="48"/>
      <c r="F42" s="48"/>
      <c r="G42" s="48"/>
      <c r="H42" s="48"/>
      <c r="I42" s="48"/>
      <c r="J42" s="48"/>
      <c r="K42" s="48"/>
      <c r="L42" s="48"/>
      <c r="M42" s="48"/>
      <c r="N42" s="48"/>
      <c r="O42" s="48"/>
      <c r="P42" s="48"/>
      <c r="Q42" s="374" t="e">
        <f t="shared" si="3"/>
        <v>#DIV/0!</v>
      </c>
      <c r="R42" s="375" t="e">
        <f t="shared" si="4"/>
        <v>#DIV/0!</v>
      </c>
      <c r="S42" s="376" t="e">
        <f t="shared" si="5"/>
        <v>#DIV/0!</v>
      </c>
      <c r="T42" s="152"/>
    </row>
    <row r="43" spans="1:2045 2049:3071 3075:4095 4097:5120 5124:6144 6146:7166 7170:9215 9219:10239 10241:11261 11265:13310 13314:14336 14340:15360 15362:16384" s="117" customFormat="1" ht="32.1" customHeight="1" x14ac:dyDescent="0.2">
      <c r="A43" s="361" t="s">
        <v>78</v>
      </c>
      <c r="B43" s="362" t="s">
        <v>3972</v>
      </c>
      <c r="C43" s="362" t="s">
        <v>3973</v>
      </c>
      <c r="D43" s="364">
        <v>20</v>
      </c>
      <c r="E43" s="48"/>
      <c r="F43" s="48"/>
      <c r="G43" s="48"/>
      <c r="H43" s="48"/>
      <c r="I43" s="48">
        <v>98.1</v>
      </c>
      <c r="J43" s="48"/>
      <c r="K43" s="48"/>
      <c r="L43" s="48"/>
      <c r="M43" s="48"/>
      <c r="N43" s="48">
        <v>78.7</v>
      </c>
      <c r="O43" s="48"/>
      <c r="P43" s="48"/>
      <c r="Q43" s="374">
        <f t="shared" si="3"/>
        <v>88.4</v>
      </c>
      <c r="R43" s="375" t="str">
        <f t="shared" si="4"/>
        <v>NO</v>
      </c>
      <c r="S43" s="376" t="str">
        <f t="shared" si="5"/>
        <v>Inviable Sanitariamente</v>
      </c>
      <c r="T43" s="152"/>
    </row>
    <row r="44" spans="1:2045 2049:3071 3075:4095 4097:5120 5124:6144 6146:7166 7170:9215 9219:10239 10241:11261 11265:13310 13314:14336 14340:15360 15362:16384" s="117" customFormat="1" ht="32.1" customHeight="1" x14ac:dyDescent="0.2">
      <c r="A44" s="361" t="s">
        <v>78</v>
      </c>
      <c r="B44" s="362" t="s">
        <v>3974</v>
      </c>
      <c r="C44" s="362" t="s">
        <v>3975</v>
      </c>
      <c r="D44" s="364">
        <v>530</v>
      </c>
      <c r="E44" s="48">
        <v>0</v>
      </c>
      <c r="F44" s="48"/>
      <c r="G44" s="48"/>
      <c r="H44" s="48"/>
      <c r="I44" s="48">
        <v>0</v>
      </c>
      <c r="J44" s="48"/>
      <c r="K44" s="48">
        <v>41.96</v>
      </c>
      <c r="L44" s="48"/>
      <c r="M44" s="48"/>
      <c r="N44" s="48"/>
      <c r="O44" s="48">
        <v>0</v>
      </c>
      <c r="P44" s="48"/>
      <c r="Q44" s="374">
        <f t="shared" si="3"/>
        <v>10.49</v>
      </c>
      <c r="R44" s="375" t="str">
        <f t="shared" si="4"/>
        <v>NO</v>
      </c>
      <c r="S44" s="376" t="str">
        <f t="shared" si="5"/>
        <v>Bajo</v>
      </c>
      <c r="T44" s="152"/>
    </row>
    <row r="45" spans="1:2045 2049:3071 3075:4095 4097:5120 5124:6144 6146:7166 7170:9215 9219:10239 10241:11261 11265:13310 13314:14336 14340:15360 15362:16384" s="117" customFormat="1" ht="32.1" customHeight="1" x14ac:dyDescent="0.2">
      <c r="A45" s="361" t="s">
        <v>78</v>
      </c>
      <c r="B45" s="362" t="s">
        <v>40</v>
      </c>
      <c r="C45" s="362" t="s">
        <v>3976</v>
      </c>
      <c r="D45" s="364">
        <v>8</v>
      </c>
      <c r="E45" s="48"/>
      <c r="F45" s="48"/>
      <c r="G45" s="48"/>
      <c r="H45" s="48"/>
      <c r="I45" s="48"/>
      <c r="J45" s="48">
        <v>38.700000000000003</v>
      </c>
      <c r="K45" s="48"/>
      <c r="L45" s="48"/>
      <c r="M45" s="48"/>
      <c r="N45" s="48"/>
      <c r="O45" s="48">
        <v>38.71</v>
      </c>
      <c r="P45" s="48"/>
      <c r="Q45" s="374">
        <f t="shared" si="3"/>
        <v>38.704999999999998</v>
      </c>
      <c r="R45" s="375" t="str">
        <f t="shared" si="4"/>
        <v>NO</v>
      </c>
      <c r="S45" s="376" t="str">
        <f t="shared" si="5"/>
        <v>Alto</v>
      </c>
      <c r="T45" s="152"/>
    </row>
    <row r="46" spans="1:2045 2049:3071 3075:4095 4097:5120 5124:6144 6146:7166 7170:9215 9219:10239 10241:11261 11265:13310 13314:14336 14340:15360 15362:16384" s="117" customFormat="1" ht="32.1" customHeight="1" x14ac:dyDescent="0.2">
      <c r="A46" s="361" t="s">
        <v>78</v>
      </c>
      <c r="B46" s="362" t="s">
        <v>275</v>
      </c>
      <c r="C46" s="362" t="s">
        <v>4324</v>
      </c>
      <c r="D46" s="364"/>
      <c r="E46" s="48"/>
      <c r="F46" s="48"/>
      <c r="G46" s="48"/>
      <c r="H46" s="48"/>
      <c r="I46" s="48"/>
      <c r="J46" s="48"/>
      <c r="K46" s="48"/>
      <c r="L46" s="48"/>
      <c r="M46" s="48"/>
      <c r="N46" s="48"/>
      <c r="O46" s="48"/>
      <c r="P46" s="48">
        <v>97.9</v>
      </c>
      <c r="Q46" s="374">
        <f t="shared" si="3"/>
        <v>97.9</v>
      </c>
      <c r="R46" s="375" t="str">
        <f t="shared" si="4"/>
        <v>NO</v>
      </c>
      <c r="S46" s="376" t="str">
        <f t="shared" si="5"/>
        <v>Inviable Sanitariamente</v>
      </c>
      <c r="T46" s="152"/>
    </row>
    <row r="47" spans="1:2045 2049:3071 3075:4095 4097:5120 5124:6144 6146:7166 7170:9215 9219:10239 10241:11261 11265:13310 13314:14336 14340:15360 15362:16384" s="117" customFormat="1" ht="32.1" customHeight="1" x14ac:dyDescent="0.2">
      <c r="A47" s="361" t="s">
        <v>78</v>
      </c>
      <c r="B47" s="362" t="s">
        <v>275</v>
      </c>
      <c r="C47" s="362" t="s">
        <v>4325</v>
      </c>
      <c r="D47" s="364"/>
      <c r="E47" s="48"/>
      <c r="F47" s="48"/>
      <c r="G47" s="48"/>
      <c r="H47" s="48"/>
      <c r="I47" s="48"/>
      <c r="J47" s="48"/>
      <c r="K47" s="48"/>
      <c r="L47" s="48"/>
      <c r="M47" s="48"/>
      <c r="N47" s="48"/>
      <c r="O47" s="48"/>
      <c r="P47" s="48">
        <v>97.9</v>
      </c>
      <c r="Q47" s="374">
        <f t="shared" si="3"/>
        <v>97.9</v>
      </c>
      <c r="R47" s="375" t="str">
        <f t="shared" si="4"/>
        <v>NO</v>
      </c>
      <c r="S47" s="376" t="str">
        <f t="shared" si="5"/>
        <v>Inviable Sanitariamente</v>
      </c>
      <c r="T47" s="152"/>
    </row>
    <row r="48" spans="1:2045 2049:3071 3075:4095 4097:5120 5124:6144 6146:7166 7170:9215 9219:10239 10241:11261 11265:13310 13314:14336 14340:15360 15362:16384" s="117" customFormat="1" ht="32.1" customHeight="1" x14ac:dyDescent="0.2">
      <c r="A48" s="361" t="s">
        <v>78</v>
      </c>
      <c r="B48" s="362" t="s">
        <v>275</v>
      </c>
      <c r="C48" s="362" t="s">
        <v>4326</v>
      </c>
      <c r="D48" s="364"/>
      <c r="E48" s="48"/>
      <c r="F48" s="48"/>
      <c r="G48" s="48"/>
      <c r="H48" s="48"/>
      <c r="I48" s="48"/>
      <c r="J48" s="48"/>
      <c r="K48" s="48"/>
      <c r="L48" s="48"/>
      <c r="M48" s="48"/>
      <c r="N48" s="48"/>
      <c r="O48" s="48"/>
      <c r="P48" s="48">
        <v>97.9</v>
      </c>
      <c r="Q48" s="374">
        <f t="shared" si="3"/>
        <v>97.9</v>
      </c>
      <c r="R48" s="375" t="str">
        <f t="shared" si="4"/>
        <v>NO</v>
      </c>
      <c r="S48" s="376" t="str">
        <f t="shared" si="5"/>
        <v>Inviable Sanitariamente</v>
      </c>
      <c r="T48" s="152"/>
    </row>
    <row r="49" spans="1:23" s="117" customFormat="1" ht="45" customHeight="1" x14ac:dyDescent="0.2">
      <c r="A49" s="361" t="s">
        <v>78</v>
      </c>
      <c r="B49" s="362" t="s">
        <v>487</v>
      </c>
      <c r="C49" s="362" t="s">
        <v>3977</v>
      </c>
      <c r="D49" s="364">
        <v>170</v>
      </c>
      <c r="E49" s="48">
        <v>0</v>
      </c>
      <c r="F49" s="48"/>
      <c r="G49" s="48">
        <v>0</v>
      </c>
      <c r="H49" s="48"/>
      <c r="I49" s="48"/>
      <c r="J49" s="48"/>
      <c r="K49" s="48"/>
      <c r="L49" s="48"/>
      <c r="M49" s="48"/>
      <c r="N49" s="48"/>
      <c r="O49" s="48">
        <v>0</v>
      </c>
      <c r="P49" s="48"/>
      <c r="Q49" s="374">
        <f t="shared" si="3"/>
        <v>0</v>
      </c>
      <c r="R49" s="375" t="str">
        <f t="shared" si="4"/>
        <v>SI</v>
      </c>
      <c r="S49" s="376" t="str">
        <f t="shared" si="5"/>
        <v>Sin Riesgo</v>
      </c>
      <c r="T49" s="152"/>
    </row>
    <row r="50" spans="1:23" s="117" customFormat="1" ht="32.1" customHeight="1" x14ac:dyDescent="0.2">
      <c r="A50" s="361" t="s">
        <v>78</v>
      </c>
      <c r="B50" s="362" t="s">
        <v>3978</v>
      </c>
      <c r="C50" s="362" t="s">
        <v>3979</v>
      </c>
      <c r="D50" s="364">
        <v>307</v>
      </c>
      <c r="E50" s="48"/>
      <c r="F50" s="48"/>
      <c r="G50" s="48"/>
      <c r="H50" s="48">
        <v>90.3</v>
      </c>
      <c r="I50" s="48"/>
      <c r="J50" s="48"/>
      <c r="K50" s="48"/>
      <c r="L50" s="48"/>
      <c r="M50" s="48">
        <v>90.3</v>
      </c>
      <c r="N50" s="48"/>
      <c r="O50" s="48"/>
      <c r="P50" s="48"/>
      <c r="Q50" s="374">
        <f t="shared" si="3"/>
        <v>90.3</v>
      </c>
      <c r="R50" s="375" t="str">
        <f t="shared" si="4"/>
        <v>NO</v>
      </c>
      <c r="S50" s="376" t="str">
        <f t="shared" si="5"/>
        <v>Inviable Sanitariamente</v>
      </c>
      <c r="T50" s="152"/>
    </row>
    <row r="51" spans="1:23" s="117" customFormat="1" ht="32.1" customHeight="1" x14ac:dyDescent="0.2">
      <c r="A51" s="361" t="s">
        <v>78</v>
      </c>
      <c r="B51" s="362" t="s">
        <v>4311</v>
      </c>
      <c r="C51" s="362" t="s">
        <v>4312</v>
      </c>
      <c r="D51" s="364"/>
      <c r="E51" s="48"/>
      <c r="F51" s="48"/>
      <c r="G51" s="48"/>
      <c r="H51" s="48"/>
      <c r="I51" s="48"/>
      <c r="J51" s="48"/>
      <c r="K51" s="48"/>
      <c r="L51" s="48"/>
      <c r="M51" s="48"/>
      <c r="N51" s="48"/>
      <c r="O51" s="48"/>
      <c r="P51" s="48"/>
      <c r="Q51" s="374"/>
      <c r="R51" s="375"/>
      <c r="S51" s="376"/>
      <c r="T51" s="152"/>
    </row>
    <row r="52" spans="1:23" s="117" customFormat="1" ht="32.1" customHeight="1" x14ac:dyDescent="0.2">
      <c r="A52" s="361" t="s">
        <v>78</v>
      </c>
      <c r="B52" s="362" t="s">
        <v>41</v>
      </c>
      <c r="C52" s="362" t="s">
        <v>3980</v>
      </c>
      <c r="D52" s="364">
        <v>57</v>
      </c>
      <c r="E52" s="48"/>
      <c r="F52" s="48"/>
      <c r="G52" s="48">
        <v>71</v>
      </c>
      <c r="H52" s="48"/>
      <c r="I52" s="48"/>
      <c r="J52" s="48"/>
      <c r="K52" s="48"/>
      <c r="L52" s="48"/>
      <c r="M52" s="48"/>
      <c r="N52" s="48"/>
      <c r="O52" s="48">
        <v>90.3</v>
      </c>
      <c r="P52" s="48"/>
      <c r="Q52" s="374">
        <f>AVERAGE(E52:P52)</f>
        <v>80.650000000000006</v>
      </c>
      <c r="R52" s="375" t="str">
        <f>IF(Q52&lt;5,"SI","NO")</f>
        <v>NO</v>
      </c>
      <c r="S52" s="376" t="str">
        <f>IF(Q52&lt;5,"Sin Riesgo",IF(Q52 &lt;=14,"Bajo",IF(Q52&lt;=35,"Medio",IF(Q52&lt;=80,"Alto","Inviable Sanitariamente"))))</f>
        <v>Inviable Sanitariamente</v>
      </c>
      <c r="T52" s="152"/>
    </row>
    <row r="53" spans="1:23" s="117" customFormat="1" ht="32.1" customHeight="1" x14ac:dyDescent="0.2">
      <c r="A53" s="361" t="s">
        <v>78</v>
      </c>
      <c r="B53" s="362" t="s">
        <v>276</v>
      </c>
      <c r="C53" s="362" t="s">
        <v>277</v>
      </c>
      <c r="D53" s="364">
        <v>31</v>
      </c>
      <c r="E53" s="48"/>
      <c r="F53" s="48"/>
      <c r="G53" s="48"/>
      <c r="H53" s="48"/>
      <c r="I53" s="48"/>
      <c r="J53" s="48"/>
      <c r="K53" s="48"/>
      <c r="L53" s="48"/>
      <c r="M53" s="48"/>
      <c r="N53" s="48"/>
      <c r="O53" s="48"/>
      <c r="P53" s="48"/>
      <c r="Q53" s="374" t="e">
        <f>AVERAGE(E53:P53)</f>
        <v>#DIV/0!</v>
      </c>
      <c r="R53" s="375" t="e">
        <f>IF(Q53&lt;5,"SI","NO")</f>
        <v>#DIV/0!</v>
      </c>
      <c r="S53" s="376" t="e">
        <f>IF(Q53&lt;5,"Sin Riesgo",IF(Q53 &lt;=14,"Bajo",IF(Q53&lt;=35,"Medio",IF(Q53&lt;=80,"Alto","Inviable Sanitariamente"))))</f>
        <v>#DIV/0!</v>
      </c>
      <c r="T53" s="152"/>
    </row>
    <row r="54" spans="1:23" s="117" customFormat="1" ht="47.25" customHeight="1" x14ac:dyDescent="0.2">
      <c r="A54" s="361" t="s">
        <v>78</v>
      </c>
      <c r="B54" s="362" t="s">
        <v>10</v>
      </c>
      <c r="C54" s="362" t="s">
        <v>3981</v>
      </c>
      <c r="D54" s="364">
        <v>247</v>
      </c>
      <c r="E54" s="48"/>
      <c r="F54" s="48"/>
      <c r="G54" s="48">
        <v>0</v>
      </c>
      <c r="H54" s="48"/>
      <c r="I54" s="48"/>
      <c r="J54" s="48"/>
      <c r="K54" s="48"/>
      <c r="L54" s="48">
        <v>0</v>
      </c>
      <c r="M54" s="48"/>
      <c r="N54" s="48"/>
      <c r="O54" s="48"/>
      <c r="P54" s="48"/>
      <c r="Q54" s="374">
        <f>AVERAGE(E54:P54)</f>
        <v>0</v>
      </c>
      <c r="R54" s="375" t="str">
        <f>IF(Q54&lt;5,"SI","NO")</f>
        <v>SI</v>
      </c>
      <c r="S54" s="376" t="str">
        <f>IF(Q54&lt;5,"Sin Riesgo",IF(Q54 &lt;=14,"Bajo",IF(Q54&lt;=35,"Medio",IF(Q54&lt;=80,"Alto","Inviable Sanitariamente"))))</f>
        <v>Sin Riesgo</v>
      </c>
      <c r="T54" s="152"/>
    </row>
    <row r="55" spans="1:23" s="117" customFormat="1" ht="47.25" customHeight="1" x14ac:dyDescent="0.2">
      <c r="A55" s="361" t="s">
        <v>78</v>
      </c>
      <c r="B55" s="362" t="s">
        <v>4319</v>
      </c>
      <c r="C55" s="362" t="s">
        <v>4320</v>
      </c>
      <c r="D55" s="364"/>
      <c r="E55" s="48"/>
      <c r="F55" s="48"/>
      <c r="G55" s="48"/>
      <c r="H55" s="48"/>
      <c r="I55" s="48"/>
      <c r="J55" s="48"/>
      <c r="K55" s="48"/>
      <c r="L55" s="48"/>
      <c r="M55" s="48"/>
      <c r="N55" s="48"/>
      <c r="O55" s="48"/>
      <c r="P55" s="48"/>
      <c r="Q55" s="374"/>
      <c r="R55" s="375"/>
      <c r="S55" s="376"/>
      <c r="T55" s="152"/>
    </row>
    <row r="56" spans="1:23" s="117" customFormat="1" ht="47.25" customHeight="1" x14ac:dyDescent="0.2">
      <c r="A56" s="361" t="s">
        <v>78</v>
      </c>
      <c r="B56" s="362" t="s">
        <v>4321</v>
      </c>
      <c r="C56" s="362" t="s">
        <v>4322</v>
      </c>
      <c r="D56" s="364"/>
      <c r="E56" s="48"/>
      <c r="F56" s="48"/>
      <c r="G56" s="48"/>
      <c r="H56" s="48"/>
      <c r="I56" s="48"/>
      <c r="J56" s="48"/>
      <c r="K56" s="48"/>
      <c r="L56" s="48"/>
      <c r="M56" s="48"/>
      <c r="N56" s="48"/>
      <c r="O56" s="48"/>
      <c r="P56" s="48"/>
      <c r="Q56" s="374"/>
      <c r="R56" s="375"/>
      <c r="S56" s="376"/>
      <c r="T56" s="152"/>
    </row>
    <row r="57" spans="1:23" s="117" customFormat="1" ht="32.1" customHeight="1" x14ac:dyDescent="0.2">
      <c r="A57" s="361" t="s">
        <v>78</v>
      </c>
      <c r="B57" s="362" t="s">
        <v>42</v>
      </c>
      <c r="C57" s="362" t="s">
        <v>3982</v>
      </c>
      <c r="D57" s="364">
        <v>57</v>
      </c>
      <c r="E57" s="48"/>
      <c r="F57" s="48"/>
      <c r="G57" s="48"/>
      <c r="H57" s="48"/>
      <c r="I57" s="48">
        <v>97.9</v>
      </c>
      <c r="J57" s="48"/>
      <c r="K57" s="48"/>
      <c r="L57" s="48"/>
      <c r="M57" s="48"/>
      <c r="N57" s="48"/>
      <c r="O57" s="48"/>
      <c r="P57" s="48"/>
      <c r="Q57" s="374">
        <f t="shared" ref="Q57:Q95" si="6">AVERAGE(E57:P57)</f>
        <v>97.9</v>
      </c>
      <c r="R57" s="375" t="str">
        <f t="shared" ref="R57:R95" si="7">IF(Q57&lt;5,"SI","NO")</f>
        <v>NO</v>
      </c>
      <c r="S57" s="376" t="str">
        <f t="shared" ref="S57:S95" si="8">IF(Q57&lt;5,"Sin Riesgo",IF(Q57 &lt;=14,"Bajo",IF(Q57&lt;=35,"Medio",IF(Q57&lt;=80,"Alto","Inviable Sanitariamente"))))</f>
        <v>Inviable Sanitariamente</v>
      </c>
      <c r="T57" s="226"/>
      <c r="U57" s="227"/>
      <c r="V57" s="227"/>
      <c r="W57" s="227"/>
    </row>
    <row r="58" spans="1:23" s="117" customFormat="1" ht="32.1" customHeight="1" x14ac:dyDescent="0.2">
      <c r="A58" s="361" t="s">
        <v>78</v>
      </c>
      <c r="B58" s="362" t="s">
        <v>43</v>
      </c>
      <c r="C58" s="362" t="s">
        <v>3983</v>
      </c>
      <c r="D58" s="364">
        <v>104</v>
      </c>
      <c r="E58" s="48"/>
      <c r="F58" s="48"/>
      <c r="G58" s="48"/>
      <c r="H58" s="48"/>
      <c r="I58" s="48"/>
      <c r="J58" s="48"/>
      <c r="K58" s="48"/>
      <c r="L58" s="48"/>
      <c r="M58" s="48">
        <v>97.9</v>
      </c>
      <c r="N58" s="48"/>
      <c r="O58" s="48"/>
      <c r="P58" s="48"/>
      <c r="Q58" s="374">
        <f t="shared" si="6"/>
        <v>97.9</v>
      </c>
      <c r="R58" s="375" t="str">
        <f t="shared" si="7"/>
        <v>NO</v>
      </c>
      <c r="S58" s="376" t="str">
        <f t="shared" si="8"/>
        <v>Inviable Sanitariamente</v>
      </c>
      <c r="T58" s="152"/>
    </row>
    <row r="59" spans="1:23" s="117" customFormat="1" ht="32.1" customHeight="1" x14ac:dyDescent="0.2">
      <c r="A59" s="361" t="s">
        <v>78</v>
      </c>
      <c r="B59" s="362" t="s">
        <v>3984</v>
      </c>
      <c r="C59" s="362" t="s">
        <v>3985</v>
      </c>
      <c r="D59" s="364">
        <v>742</v>
      </c>
      <c r="E59" s="48"/>
      <c r="F59" s="48"/>
      <c r="G59" s="48"/>
      <c r="H59" s="48"/>
      <c r="I59" s="48"/>
      <c r="J59" s="48"/>
      <c r="K59" s="48"/>
      <c r="L59" s="48"/>
      <c r="M59" s="48"/>
      <c r="N59" s="48"/>
      <c r="O59" s="48">
        <v>97.4</v>
      </c>
      <c r="P59" s="48"/>
      <c r="Q59" s="374">
        <f t="shared" si="6"/>
        <v>97.4</v>
      </c>
      <c r="R59" s="375" t="str">
        <f t="shared" si="7"/>
        <v>NO</v>
      </c>
      <c r="S59" s="376" t="str">
        <f t="shared" si="8"/>
        <v>Inviable Sanitariamente</v>
      </c>
      <c r="T59" s="152"/>
    </row>
    <row r="60" spans="1:23" s="117" customFormat="1" ht="32.1" customHeight="1" x14ac:dyDescent="0.2">
      <c r="A60" s="361" t="s">
        <v>78</v>
      </c>
      <c r="B60" s="362" t="s">
        <v>3986</v>
      </c>
      <c r="C60" s="362" t="s">
        <v>278</v>
      </c>
      <c r="D60" s="364">
        <v>57</v>
      </c>
      <c r="E60" s="48"/>
      <c r="F60" s="48"/>
      <c r="G60" s="48"/>
      <c r="H60" s="48"/>
      <c r="I60" s="48"/>
      <c r="J60" s="48"/>
      <c r="K60" s="48"/>
      <c r="L60" s="48">
        <v>90.3</v>
      </c>
      <c r="M60" s="48">
        <v>71</v>
      </c>
      <c r="N60" s="48"/>
      <c r="O60" s="48"/>
      <c r="P60" s="48">
        <v>97.4</v>
      </c>
      <c r="Q60" s="374">
        <f t="shared" si="6"/>
        <v>86.233333333333348</v>
      </c>
      <c r="R60" s="375" t="str">
        <f t="shared" si="7"/>
        <v>NO</v>
      </c>
      <c r="S60" s="376" t="str">
        <f t="shared" si="8"/>
        <v>Inviable Sanitariamente</v>
      </c>
      <c r="T60" s="152"/>
    </row>
    <row r="61" spans="1:23" s="117" customFormat="1" ht="32.1" customHeight="1" x14ac:dyDescent="0.2">
      <c r="A61" s="361" t="s">
        <v>78</v>
      </c>
      <c r="B61" s="362" t="s">
        <v>66</v>
      </c>
      <c r="C61" s="362" t="s">
        <v>279</v>
      </c>
      <c r="D61" s="364">
        <v>100</v>
      </c>
      <c r="E61" s="48"/>
      <c r="F61" s="48"/>
      <c r="G61" s="48"/>
      <c r="H61" s="48"/>
      <c r="I61" s="48"/>
      <c r="J61" s="48">
        <v>97.9</v>
      </c>
      <c r="K61" s="48"/>
      <c r="L61" s="48"/>
      <c r="M61" s="48"/>
      <c r="N61" s="48"/>
      <c r="O61" s="48">
        <v>97.9</v>
      </c>
      <c r="P61" s="48"/>
      <c r="Q61" s="374">
        <f t="shared" si="6"/>
        <v>97.9</v>
      </c>
      <c r="R61" s="375" t="str">
        <f t="shared" si="7"/>
        <v>NO</v>
      </c>
      <c r="S61" s="376" t="str">
        <f t="shared" si="8"/>
        <v>Inviable Sanitariamente</v>
      </c>
      <c r="T61" s="152"/>
    </row>
    <row r="62" spans="1:23" s="117" customFormat="1" ht="32.1" customHeight="1" x14ac:dyDescent="0.2">
      <c r="A62" s="361" t="s">
        <v>78</v>
      </c>
      <c r="B62" s="362" t="s">
        <v>266</v>
      </c>
      <c r="C62" s="362" t="s">
        <v>280</v>
      </c>
      <c r="D62" s="364">
        <v>151</v>
      </c>
      <c r="E62" s="48"/>
      <c r="F62" s="48"/>
      <c r="G62" s="48"/>
      <c r="H62" s="48">
        <v>71</v>
      </c>
      <c r="I62" s="48"/>
      <c r="J62" s="48"/>
      <c r="K62" s="48"/>
      <c r="L62" s="48"/>
      <c r="M62" s="48">
        <v>38.700000000000003</v>
      </c>
      <c r="N62" s="48"/>
      <c r="O62" s="48"/>
      <c r="P62" s="48">
        <v>70.900000000000006</v>
      </c>
      <c r="Q62" s="374">
        <f t="shared" si="6"/>
        <v>60.20000000000001</v>
      </c>
      <c r="R62" s="375" t="str">
        <f t="shared" si="7"/>
        <v>NO</v>
      </c>
      <c r="S62" s="376" t="str">
        <f t="shared" si="8"/>
        <v>Alto</v>
      </c>
      <c r="T62" s="152"/>
    </row>
    <row r="63" spans="1:23" s="117" customFormat="1" ht="32.1" customHeight="1" x14ac:dyDescent="0.2">
      <c r="A63" s="361" t="s">
        <v>78</v>
      </c>
      <c r="B63" s="362" t="s">
        <v>485</v>
      </c>
      <c r="C63" s="362" t="s">
        <v>3987</v>
      </c>
      <c r="D63" s="364">
        <v>41</v>
      </c>
      <c r="E63" s="48"/>
      <c r="F63" s="48"/>
      <c r="G63" s="48"/>
      <c r="H63" s="48"/>
      <c r="I63" s="48"/>
      <c r="J63" s="48"/>
      <c r="K63" s="48"/>
      <c r="L63" s="48"/>
      <c r="M63" s="48">
        <v>98.1</v>
      </c>
      <c r="N63" s="48"/>
      <c r="O63" s="48"/>
      <c r="P63" s="48">
        <v>70.900000000000006</v>
      </c>
      <c r="Q63" s="374">
        <f t="shared" si="6"/>
        <v>84.5</v>
      </c>
      <c r="R63" s="375" t="str">
        <f t="shared" si="7"/>
        <v>NO</v>
      </c>
      <c r="S63" s="376" t="str">
        <f t="shared" si="8"/>
        <v>Inviable Sanitariamente</v>
      </c>
      <c r="T63" s="152"/>
    </row>
    <row r="64" spans="1:23" s="117" customFormat="1" ht="32.1" customHeight="1" x14ac:dyDescent="0.2">
      <c r="A64" s="361" t="s">
        <v>78</v>
      </c>
      <c r="B64" s="362" t="s">
        <v>67</v>
      </c>
      <c r="C64" s="362" t="s">
        <v>3988</v>
      </c>
      <c r="D64" s="364">
        <v>205</v>
      </c>
      <c r="E64" s="48"/>
      <c r="F64" s="48"/>
      <c r="G64" s="48"/>
      <c r="H64" s="48"/>
      <c r="I64" s="48">
        <v>76.92</v>
      </c>
      <c r="J64" s="48"/>
      <c r="K64" s="48"/>
      <c r="L64" s="48"/>
      <c r="M64" s="48"/>
      <c r="N64" s="48">
        <v>76.92</v>
      </c>
      <c r="O64" s="48"/>
      <c r="P64" s="48"/>
      <c r="Q64" s="374">
        <f t="shared" si="6"/>
        <v>76.92</v>
      </c>
      <c r="R64" s="375" t="str">
        <f t="shared" si="7"/>
        <v>NO</v>
      </c>
      <c r="S64" s="376" t="str">
        <f t="shared" si="8"/>
        <v>Alto</v>
      </c>
      <c r="T64" s="152"/>
    </row>
    <row r="65" spans="1:20" s="117" customFormat="1" ht="32.1" customHeight="1" x14ac:dyDescent="0.2">
      <c r="A65" s="361" t="s">
        <v>78</v>
      </c>
      <c r="B65" s="362" t="s">
        <v>61</v>
      </c>
      <c r="C65" s="362" t="s">
        <v>281</v>
      </c>
      <c r="D65" s="364">
        <v>160</v>
      </c>
      <c r="E65" s="48"/>
      <c r="F65" s="48"/>
      <c r="G65" s="48"/>
      <c r="H65" s="48"/>
      <c r="I65" s="48"/>
      <c r="J65" s="48"/>
      <c r="K65" s="48"/>
      <c r="L65" s="48"/>
      <c r="M65" s="48"/>
      <c r="N65" s="48">
        <v>97.9</v>
      </c>
      <c r="O65" s="48"/>
      <c r="P65" s="48"/>
      <c r="Q65" s="374">
        <f t="shared" si="6"/>
        <v>97.9</v>
      </c>
      <c r="R65" s="375" t="str">
        <f t="shared" si="7"/>
        <v>NO</v>
      </c>
      <c r="S65" s="376" t="str">
        <f t="shared" si="8"/>
        <v>Inviable Sanitariamente</v>
      </c>
      <c r="T65" s="152"/>
    </row>
    <row r="66" spans="1:20" s="117" customFormat="1" ht="32.1" customHeight="1" x14ac:dyDescent="0.2">
      <c r="A66" s="361" t="s">
        <v>78</v>
      </c>
      <c r="B66" s="362" t="s">
        <v>989</v>
      </c>
      <c r="C66" s="362" t="s">
        <v>3989</v>
      </c>
      <c r="D66" s="364">
        <v>72</v>
      </c>
      <c r="E66" s="48"/>
      <c r="F66" s="48"/>
      <c r="G66" s="48"/>
      <c r="H66" s="48"/>
      <c r="I66" s="48"/>
      <c r="J66" s="48"/>
      <c r="K66" s="48"/>
      <c r="L66" s="48"/>
      <c r="M66" s="48"/>
      <c r="N66" s="48"/>
      <c r="O66" s="48">
        <v>38.700000000000003</v>
      </c>
      <c r="P66" s="48"/>
      <c r="Q66" s="374">
        <f t="shared" si="6"/>
        <v>38.700000000000003</v>
      </c>
      <c r="R66" s="375" t="str">
        <f t="shared" si="7"/>
        <v>NO</v>
      </c>
      <c r="S66" s="376" t="str">
        <f t="shared" si="8"/>
        <v>Alto</v>
      </c>
      <c r="T66" s="152"/>
    </row>
    <row r="67" spans="1:20" s="117" customFormat="1" ht="32.1" customHeight="1" x14ac:dyDescent="0.2">
      <c r="A67" s="361" t="s">
        <v>78</v>
      </c>
      <c r="B67" s="362" t="s">
        <v>2586</v>
      </c>
      <c r="C67" s="362" t="s">
        <v>3990</v>
      </c>
      <c r="D67" s="364">
        <v>145</v>
      </c>
      <c r="E67" s="48"/>
      <c r="F67" s="48"/>
      <c r="G67" s="48"/>
      <c r="H67" s="48"/>
      <c r="I67" s="48"/>
      <c r="J67" s="48">
        <v>38.700000000000003</v>
      </c>
      <c r="K67" s="48"/>
      <c r="L67" s="48"/>
      <c r="M67" s="48"/>
      <c r="N67" s="48"/>
      <c r="O67" s="48"/>
      <c r="P67" s="48"/>
      <c r="Q67" s="374">
        <f t="shared" si="6"/>
        <v>38.700000000000003</v>
      </c>
      <c r="R67" s="375" t="str">
        <f t="shared" si="7"/>
        <v>NO</v>
      </c>
      <c r="S67" s="376" t="str">
        <f t="shared" si="8"/>
        <v>Alto</v>
      </c>
      <c r="T67" s="152"/>
    </row>
    <row r="68" spans="1:20" s="117" customFormat="1" ht="32.1" customHeight="1" x14ac:dyDescent="0.2">
      <c r="A68" s="361" t="s">
        <v>78</v>
      </c>
      <c r="B68" s="362" t="s">
        <v>3991</v>
      </c>
      <c r="C68" s="362" t="s">
        <v>3992</v>
      </c>
      <c r="D68" s="364">
        <v>9</v>
      </c>
      <c r="E68" s="48"/>
      <c r="F68" s="48"/>
      <c r="G68" s="48">
        <v>71</v>
      </c>
      <c r="H68" s="48"/>
      <c r="I68" s="48"/>
      <c r="J68" s="48"/>
      <c r="K68" s="48"/>
      <c r="L68" s="48"/>
      <c r="M68" s="48"/>
      <c r="N68" s="48"/>
      <c r="O68" s="48"/>
      <c r="P68" s="48"/>
      <c r="Q68" s="374">
        <f t="shared" si="6"/>
        <v>71</v>
      </c>
      <c r="R68" s="375" t="str">
        <f t="shared" si="7"/>
        <v>NO</v>
      </c>
      <c r="S68" s="376" t="str">
        <f t="shared" si="8"/>
        <v>Alto</v>
      </c>
      <c r="T68" s="152"/>
    </row>
    <row r="69" spans="1:20" s="117" customFormat="1" ht="32.1" customHeight="1" x14ac:dyDescent="0.2">
      <c r="A69" s="361" t="s">
        <v>78</v>
      </c>
      <c r="B69" s="362" t="s">
        <v>4316</v>
      </c>
      <c r="C69" s="362" t="s">
        <v>4317</v>
      </c>
      <c r="D69" s="364">
        <v>68</v>
      </c>
      <c r="E69" s="383">
        <v>0</v>
      </c>
      <c r="F69" s="383"/>
      <c r="G69" s="383"/>
      <c r="H69" s="383"/>
      <c r="I69" s="383">
        <v>0</v>
      </c>
      <c r="J69" s="383"/>
      <c r="K69" s="383">
        <v>0</v>
      </c>
      <c r="L69" s="383"/>
      <c r="M69" s="383"/>
      <c r="N69" s="383"/>
      <c r="O69" s="383"/>
      <c r="P69" s="383"/>
      <c r="Q69" s="384">
        <f t="shared" si="6"/>
        <v>0</v>
      </c>
      <c r="R69" s="375" t="str">
        <f t="shared" si="7"/>
        <v>SI</v>
      </c>
      <c r="S69" s="376" t="str">
        <f t="shared" si="8"/>
        <v>Sin Riesgo</v>
      </c>
      <c r="T69" s="152"/>
    </row>
    <row r="70" spans="1:20" s="117" customFormat="1" ht="51.75" customHeight="1" x14ac:dyDescent="0.2">
      <c r="A70" s="361" t="s">
        <v>78</v>
      </c>
      <c r="B70" s="362" t="s">
        <v>1053</v>
      </c>
      <c r="C70" s="362" t="s">
        <v>4292</v>
      </c>
      <c r="D70" s="364">
        <v>46</v>
      </c>
      <c r="E70" s="383">
        <v>21</v>
      </c>
      <c r="F70" s="383"/>
      <c r="G70" s="383"/>
      <c r="H70" s="383"/>
      <c r="I70" s="383">
        <v>21</v>
      </c>
      <c r="J70" s="383"/>
      <c r="K70" s="383">
        <v>42</v>
      </c>
      <c r="L70" s="383"/>
      <c r="M70" s="383"/>
      <c r="N70" s="383"/>
      <c r="O70" s="383"/>
      <c r="P70" s="383"/>
      <c r="Q70" s="384">
        <f t="shared" si="6"/>
        <v>28</v>
      </c>
      <c r="R70" s="375" t="str">
        <f t="shared" si="7"/>
        <v>NO</v>
      </c>
      <c r="S70" s="376" t="str">
        <f t="shared" si="8"/>
        <v>Medio</v>
      </c>
      <c r="T70" s="152"/>
    </row>
    <row r="71" spans="1:20" s="117" customFormat="1" ht="45" customHeight="1" x14ac:dyDescent="0.2">
      <c r="A71" s="361" t="s">
        <v>78</v>
      </c>
      <c r="B71" s="362" t="s">
        <v>69</v>
      </c>
      <c r="C71" s="362" t="s">
        <v>4293</v>
      </c>
      <c r="D71" s="364">
        <v>46</v>
      </c>
      <c r="E71" s="383">
        <v>21</v>
      </c>
      <c r="F71" s="383"/>
      <c r="G71" s="383"/>
      <c r="H71" s="383"/>
      <c r="I71" s="383">
        <v>21</v>
      </c>
      <c r="J71" s="383"/>
      <c r="K71" s="383"/>
      <c r="L71" s="383"/>
      <c r="M71" s="383"/>
      <c r="N71" s="383"/>
      <c r="O71" s="383"/>
      <c r="P71" s="383"/>
      <c r="Q71" s="384">
        <f t="shared" si="6"/>
        <v>21</v>
      </c>
      <c r="R71" s="375" t="str">
        <f t="shared" si="7"/>
        <v>NO</v>
      </c>
      <c r="S71" s="376" t="str">
        <f t="shared" si="8"/>
        <v>Medio</v>
      </c>
      <c r="T71" s="152"/>
    </row>
    <row r="72" spans="1:20" s="117" customFormat="1" ht="32.1" customHeight="1" x14ac:dyDescent="0.2">
      <c r="A72" s="361" t="s">
        <v>78</v>
      </c>
      <c r="B72" s="362" t="s">
        <v>69</v>
      </c>
      <c r="C72" s="362" t="s">
        <v>4298</v>
      </c>
      <c r="D72" s="364">
        <v>70</v>
      </c>
      <c r="E72" s="383"/>
      <c r="F72" s="383"/>
      <c r="G72" s="383"/>
      <c r="H72" s="383"/>
      <c r="I72" s="383">
        <v>97.9</v>
      </c>
      <c r="J72" s="383"/>
      <c r="K72" s="383"/>
      <c r="L72" s="383"/>
      <c r="M72" s="383"/>
      <c r="N72" s="383"/>
      <c r="O72" s="383">
        <v>97.9</v>
      </c>
      <c r="P72" s="383"/>
      <c r="Q72" s="384">
        <f t="shared" si="6"/>
        <v>97.9</v>
      </c>
      <c r="R72" s="375" t="str">
        <f t="shared" si="7"/>
        <v>NO</v>
      </c>
      <c r="S72" s="376" t="str">
        <f t="shared" si="8"/>
        <v>Inviable Sanitariamente</v>
      </c>
      <c r="T72" s="152"/>
    </row>
    <row r="73" spans="1:20" s="117" customFormat="1" ht="32.1" customHeight="1" x14ac:dyDescent="0.2">
      <c r="A73" s="361" t="s">
        <v>78</v>
      </c>
      <c r="B73" s="362" t="s">
        <v>4308</v>
      </c>
      <c r="C73" s="362" t="s">
        <v>4309</v>
      </c>
      <c r="D73" s="364"/>
      <c r="E73" s="383">
        <v>76.900000000000006</v>
      </c>
      <c r="F73" s="383"/>
      <c r="G73" s="383"/>
      <c r="H73" s="383"/>
      <c r="I73" s="383"/>
      <c r="J73" s="383"/>
      <c r="K73" s="383"/>
      <c r="L73" s="383"/>
      <c r="M73" s="383"/>
      <c r="N73" s="383"/>
      <c r="O73" s="383"/>
      <c r="P73" s="383"/>
      <c r="Q73" s="384">
        <f t="shared" si="6"/>
        <v>76.900000000000006</v>
      </c>
      <c r="R73" s="375" t="str">
        <f t="shared" si="7"/>
        <v>NO</v>
      </c>
      <c r="S73" s="376" t="str">
        <f t="shared" si="8"/>
        <v>Alto</v>
      </c>
      <c r="T73" s="152"/>
    </row>
    <row r="74" spans="1:20" s="117" customFormat="1" ht="32.1" customHeight="1" x14ac:dyDescent="0.2">
      <c r="A74" s="361" t="s">
        <v>78</v>
      </c>
      <c r="B74" s="362" t="s">
        <v>4310</v>
      </c>
      <c r="C74" s="362" t="s">
        <v>4309</v>
      </c>
      <c r="D74" s="364">
        <v>25</v>
      </c>
      <c r="E74" s="383">
        <v>76.900000000000006</v>
      </c>
      <c r="F74" s="383"/>
      <c r="G74" s="383"/>
      <c r="H74" s="383"/>
      <c r="I74" s="383"/>
      <c r="J74" s="383"/>
      <c r="K74" s="383"/>
      <c r="L74" s="383"/>
      <c r="M74" s="383"/>
      <c r="N74" s="383"/>
      <c r="O74" s="383"/>
      <c r="P74" s="383"/>
      <c r="Q74" s="384">
        <f t="shared" si="6"/>
        <v>76.900000000000006</v>
      </c>
      <c r="R74" s="375" t="str">
        <f t="shared" si="7"/>
        <v>NO</v>
      </c>
      <c r="S74" s="376" t="str">
        <f t="shared" si="8"/>
        <v>Alto</v>
      </c>
      <c r="T74" s="152"/>
    </row>
    <row r="75" spans="1:20" s="117" customFormat="1" ht="32.1" customHeight="1" x14ac:dyDescent="0.2">
      <c r="A75" s="361" t="s">
        <v>78</v>
      </c>
      <c r="B75" s="362" t="s">
        <v>4315</v>
      </c>
      <c r="C75" s="362" t="s">
        <v>280</v>
      </c>
      <c r="D75" s="364">
        <v>151</v>
      </c>
      <c r="E75" s="383">
        <v>76.900000000000006</v>
      </c>
      <c r="F75" s="383"/>
      <c r="G75" s="383">
        <v>26.6</v>
      </c>
      <c r="H75" s="383"/>
      <c r="I75" s="383"/>
      <c r="J75" s="383">
        <v>21</v>
      </c>
      <c r="K75" s="383"/>
      <c r="L75" s="383"/>
      <c r="M75" s="383"/>
      <c r="N75" s="383"/>
      <c r="O75" s="383"/>
      <c r="P75" s="383"/>
      <c r="Q75" s="384">
        <f t="shared" si="6"/>
        <v>41.5</v>
      </c>
      <c r="R75" s="375" t="str">
        <f t="shared" si="7"/>
        <v>NO</v>
      </c>
      <c r="S75" s="376" t="str">
        <f t="shared" si="8"/>
        <v>Alto</v>
      </c>
      <c r="T75" s="152"/>
    </row>
    <row r="76" spans="1:20" s="117" customFormat="1" ht="32.1" customHeight="1" x14ac:dyDescent="0.2">
      <c r="A76" s="361" t="s">
        <v>78</v>
      </c>
      <c r="B76" s="362" t="s">
        <v>1325</v>
      </c>
      <c r="C76" s="362" t="s">
        <v>4318</v>
      </c>
      <c r="D76" s="364"/>
      <c r="E76" s="383"/>
      <c r="F76" s="383"/>
      <c r="G76" s="383"/>
      <c r="H76" s="383"/>
      <c r="I76" s="383"/>
      <c r="J76" s="383"/>
      <c r="K76" s="383"/>
      <c r="L76" s="383"/>
      <c r="M76" s="383"/>
      <c r="N76" s="383"/>
      <c r="O76" s="383">
        <v>97.9</v>
      </c>
      <c r="P76" s="383"/>
      <c r="Q76" s="384">
        <f t="shared" si="6"/>
        <v>97.9</v>
      </c>
      <c r="R76" s="375" t="str">
        <f t="shared" si="7"/>
        <v>NO</v>
      </c>
      <c r="S76" s="376" t="str">
        <f t="shared" si="8"/>
        <v>Inviable Sanitariamente</v>
      </c>
      <c r="T76" s="152"/>
    </row>
    <row r="77" spans="1:20" s="117" customFormat="1" ht="32.1" customHeight="1" x14ac:dyDescent="0.2">
      <c r="A77" s="361" t="s">
        <v>79</v>
      </c>
      <c r="B77" s="362" t="s">
        <v>282</v>
      </c>
      <c r="C77" s="362" t="s">
        <v>283</v>
      </c>
      <c r="D77" s="364">
        <v>650</v>
      </c>
      <c r="E77" s="48"/>
      <c r="F77" s="48"/>
      <c r="G77" s="48"/>
      <c r="H77" s="48">
        <v>8.2799999999999994</v>
      </c>
      <c r="I77" s="48">
        <v>0</v>
      </c>
      <c r="J77" s="48"/>
      <c r="K77" s="48">
        <v>0</v>
      </c>
      <c r="L77" s="48">
        <v>0</v>
      </c>
      <c r="M77" s="48"/>
      <c r="N77" s="48"/>
      <c r="O77" s="48"/>
      <c r="P77" s="48"/>
      <c r="Q77" s="374">
        <f t="shared" si="6"/>
        <v>2.0699999999999998</v>
      </c>
      <c r="R77" s="375" t="str">
        <f t="shared" si="7"/>
        <v>SI</v>
      </c>
      <c r="S77" s="376" t="str">
        <f t="shared" si="8"/>
        <v>Sin Riesgo</v>
      </c>
      <c r="T77" s="152"/>
    </row>
    <row r="78" spans="1:20" s="117" customFormat="1" ht="32.1" customHeight="1" x14ac:dyDescent="0.2">
      <c r="A78" s="361" t="s">
        <v>79</v>
      </c>
      <c r="B78" s="362" t="s">
        <v>75</v>
      </c>
      <c r="C78" s="362" t="s">
        <v>284</v>
      </c>
      <c r="D78" s="364">
        <v>300</v>
      </c>
      <c r="E78" s="48"/>
      <c r="F78" s="48"/>
      <c r="G78" s="48"/>
      <c r="H78" s="48"/>
      <c r="I78" s="48">
        <v>46.45</v>
      </c>
      <c r="J78" s="48"/>
      <c r="K78" s="48">
        <v>0</v>
      </c>
      <c r="L78" s="48">
        <v>0</v>
      </c>
      <c r="M78" s="48"/>
      <c r="N78" s="48"/>
      <c r="O78" s="48"/>
      <c r="P78" s="48"/>
      <c r="Q78" s="374">
        <f t="shared" si="6"/>
        <v>15.483333333333334</v>
      </c>
      <c r="R78" s="375" t="str">
        <f t="shared" si="7"/>
        <v>NO</v>
      </c>
      <c r="S78" s="376" t="str">
        <f t="shared" si="8"/>
        <v>Medio</v>
      </c>
      <c r="T78" s="152"/>
    </row>
    <row r="79" spans="1:20" s="117" customFormat="1" ht="32.1" customHeight="1" x14ac:dyDescent="0.2">
      <c r="A79" s="361" t="s">
        <v>79</v>
      </c>
      <c r="B79" s="362" t="s">
        <v>3993</v>
      </c>
      <c r="C79" s="362" t="s">
        <v>3994</v>
      </c>
      <c r="D79" s="364">
        <v>187</v>
      </c>
      <c r="E79" s="48">
        <v>0</v>
      </c>
      <c r="F79" s="48">
        <v>0</v>
      </c>
      <c r="G79" s="48">
        <v>0</v>
      </c>
      <c r="H79" s="48">
        <v>16.850000000000001</v>
      </c>
      <c r="I79" s="48"/>
      <c r="J79" s="48"/>
      <c r="K79" s="48">
        <v>70.97</v>
      </c>
      <c r="L79" s="48"/>
      <c r="M79" s="48"/>
      <c r="N79" s="48"/>
      <c r="O79" s="48"/>
      <c r="P79" s="48"/>
      <c r="Q79" s="374">
        <f t="shared" si="6"/>
        <v>17.564</v>
      </c>
      <c r="R79" s="375" t="str">
        <f t="shared" si="7"/>
        <v>NO</v>
      </c>
      <c r="S79" s="376" t="str">
        <f t="shared" si="8"/>
        <v>Medio</v>
      </c>
      <c r="T79" s="152"/>
    </row>
    <row r="80" spans="1:20" s="117" customFormat="1" ht="32.1" customHeight="1" x14ac:dyDescent="0.2">
      <c r="A80" s="361" t="s">
        <v>79</v>
      </c>
      <c r="B80" s="362" t="s">
        <v>76</v>
      </c>
      <c r="C80" s="362" t="s">
        <v>285</v>
      </c>
      <c r="D80" s="364">
        <v>398</v>
      </c>
      <c r="E80" s="48"/>
      <c r="F80" s="48"/>
      <c r="G80" s="48"/>
      <c r="H80" s="48">
        <v>70.22</v>
      </c>
      <c r="I80" s="48">
        <v>7.74</v>
      </c>
      <c r="J80" s="48"/>
      <c r="K80" s="48">
        <v>70.97</v>
      </c>
      <c r="L80" s="48">
        <v>0</v>
      </c>
      <c r="M80" s="48"/>
      <c r="N80" s="48"/>
      <c r="O80" s="48"/>
      <c r="P80" s="48"/>
      <c r="Q80" s="374">
        <f t="shared" si="6"/>
        <v>37.232500000000002</v>
      </c>
      <c r="R80" s="375" t="str">
        <f t="shared" si="7"/>
        <v>NO</v>
      </c>
      <c r="S80" s="376" t="str">
        <f t="shared" si="8"/>
        <v>Alto</v>
      </c>
      <c r="T80" s="152"/>
    </row>
    <row r="81" spans="1:23" s="117" customFormat="1" ht="32.1" customHeight="1" x14ac:dyDescent="0.2">
      <c r="A81" s="361" t="s">
        <v>79</v>
      </c>
      <c r="B81" s="362" t="s">
        <v>69</v>
      </c>
      <c r="C81" s="362" t="s">
        <v>286</v>
      </c>
      <c r="D81" s="364">
        <v>210</v>
      </c>
      <c r="E81" s="48"/>
      <c r="F81" s="48"/>
      <c r="G81" s="48"/>
      <c r="H81" s="48">
        <v>48.39</v>
      </c>
      <c r="I81" s="48">
        <v>90.32</v>
      </c>
      <c r="J81" s="48"/>
      <c r="K81" s="48"/>
      <c r="L81" s="48"/>
      <c r="M81" s="48"/>
      <c r="N81" s="48"/>
      <c r="O81" s="48"/>
      <c r="P81" s="48"/>
      <c r="Q81" s="374">
        <f t="shared" si="6"/>
        <v>69.35499999999999</v>
      </c>
      <c r="R81" s="375" t="str">
        <f t="shared" si="7"/>
        <v>NO</v>
      </c>
      <c r="S81" s="376" t="str">
        <f t="shared" si="8"/>
        <v>Alto</v>
      </c>
      <c r="T81" s="152"/>
    </row>
    <row r="82" spans="1:23" s="117" customFormat="1" ht="32.1" customHeight="1" x14ac:dyDescent="0.2">
      <c r="A82" s="361" t="s">
        <v>79</v>
      </c>
      <c r="B82" s="362" t="s">
        <v>12</v>
      </c>
      <c r="C82" s="362" t="s">
        <v>287</v>
      </c>
      <c r="D82" s="364">
        <v>290</v>
      </c>
      <c r="E82" s="48"/>
      <c r="F82" s="48"/>
      <c r="G82" s="48"/>
      <c r="H82" s="48">
        <v>27.1</v>
      </c>
      <c r="I82" s="48">
        <v>46.45</v>
      </c>
      <c r="J82" s="48"/>
      <c r="K82" s="48"/>
      <c r="L82" s="48"/>
      <c r="M82" s="48"/>
      <c r="N82" s="48"/>
      <c r="O82" s="48"/>
      <c r="P82" s="48"/>
      <c r="Q82" s="374">
        <f t="shared" si="6"/>
        <v>36.775000000000006</v>
      </c>
      <c r="R82" s="375" t="str">
        <f t="shared" si="7"/>
        <v>NO</v>
      </c>
      <c r="S82" s="376" t="str">
        <f t="shared" si="8"/>
        <v>Alto</v>
      </c>
      <c r="T82" s="152"/>
    </row>
    <row r="83" spans="1:23" s="117" customFormat="1" ht="32.1" customHeight="1" x14ac:dyDescent="0.2">
      <c r="A83" s="361" t="s">
        <v>79</v>
      </c>
      <c r="B83" s="362" t="s">
        <v>288</v>
      </c>
      <c r="C83" s="362" t="s">
        <v>289</v>
      </c>
      <c r="D83" s="364"/>
      <c r="E83" s="48"/>
      <c r="F83" s="48"/>
      <c r="G83" s="48"/>
      <c r="H83" s="48"/>
      <c r="I83" s="48"/>
      <c r="J83" s="48"/>
      <c r="K83" s="48"/>
      <c r="L83" s="48"/>
      <c r="M83" s="48"/>
      <c r="N83" s="48"/>
      <c r="O83" s="48"/>
      <c r="P83" s="48"/>
      <c r="Q83" s="374" t="e">
        <f t="shared" si="6"/>
        <v>#DIV/0!</v>
      </c>
      <c r="R83" s="375" t="e">
        <f t="shared" si="7"/>
        <v>#DIV/0!</v>
      </c>
      <c r="S83" s="376" t="e">
        <f t="shared" si="8"/>
        <v>#DIV/0!</v>
      </c>
      <c r="T83" s="152"/>
    </row>
    <row r="84" spans="1:23" s="117" customFormat="1" ht="32.1" customHeight="1" x14ac:dyDescent="0.2">
      <c r="A84" s="361" t="s">
        <v>79</v>
      </c>
      <c r="B84" s="362" t="s">
        <v>290</v>
      </c>
      <c r="C84" s="362" t="s">
        <v>291</v>
      </c>
      <c r="D84" s="364"/>
      <c r="E84" s="48"/>
      <c r="F84" s="48"/>
      <c r="G84" s="48"/>
      <c r="H84" s="48"/>
      <c r="I84" s="48"/>
      <c r="J84" s="48"/>
      <c r="K84" s="48"/>
      <c r="L84" s="48"/>
      <c r="M84" s="48"/>
      <c r="N84" s="48"/>
      <c r="O84" s="48"/>
      <c r="P84" s="48"/>
      <c r="Q84" s="374" t="e">
        <f t="shared" si="6"/>
        <v>#DIV/0!</v>
      </c>
      <c r="R84" s="375" t="e">
        <f t="shared" si="7"/>
        <v>#DIV/0!</v>
      </c>
      <c r="S84" s="376" t="e">
        <f t="shared" si="8"/>
        <v>#DIV/0!</v>
      </c>
      <c r="T84" s="152"/>
    </row>
    <row r="85" spans="1:23" s="117" customFormat="1" ht="32.1" customHeight="1" x14ac:dyDescent="0.2">
      <c r="A85" s="361" t="s">
        <v>79</v>
      </c>
      <c r="B85" s="362" t="s">
        <v>3</v>
      </c>
      <c r="C85" s="362" t="s">
        <v>296</v>
      </c>
      <c r="D85" s="364"/>
      <c r="E85" s="48"/>
      <c r="F85" s="48"/>
      <c r="G85" s="48"/>
      <c r="H85" s="48"/>
      <c r="I85" s="48"/>
      <c r="J85" s="48"/>
      <c r="K85" s="48"/>
      <c r="L85" s="48"/>
      <c r="M85" s="48"/>
      <c r="N85" s="48"/>
      <c r="O85" s="48"/>
      <c r="P85" s="48"/>
      <c r="Q85" s="374" t="e">
        <f t="shared" si="6"/>
        <v>#DIV/0!</v>
      </c>
      <c r="R85" s="375" t="e">
        <f t="shared" si="7"/>
        <v>#DIV/0!</v>
      </c>
      <c r="S85" s="376" t="e">
        <f t="shared" si="8"/>
        <v>#DIV/0!</v>
      </c>
      <c r="T85" s="152"/>
    </row>
    <row r="86" spans="1:23" s="117" customFormat="1" ht="32.1" customHeight="1" x14ac:dyDescent="0.2">
      <c r="A86" s="361" t="s">
        <v>79</v>
      </c>
      <c r="B86" s="362" t="s">
        <v>3995</v>
      </c>
      <c r="C86" s="362" t="s">
        <v>3996</v>
      </c>
      <c r="D86" s="364"/>
      <c r="E86" s="48"/>
      <c r="F86" s="48"/>
      <c r="G86" s="48"/>
      <c r="H86" s="48"/>
      <c r="I86" s="48"/>
      <c r="J86" s="48"/>
      <c r="K86" s="48"/>
      <c r="L86" s="48"/>
      <c r="M86" s="48"/>
      <c r="N86" s="48"/>
      <c r="O86" s="48"/>
      <c r="P86" s="48"/>
      <c r="Q86" s="374" t="e">
        <f t="shared" si="6"/>
        <v>#DIV/0!</v>
      </c>
      <c r="R86" s="375" t="e">
        <f t="shared" si="7"/>
        <v>#DIV/0!</v>
      </c>
      <c r="S86" s="376" t="e">
        <f t="shared" si="8"/>
        <v>#DIV/0!</v>
      </c>
      <c r="T86" s="152"/>
    </row>
    <row r="87" spans="1:23" s="117" customFormat="1" ht="32.1" customHeight="1" x14ac:dyDescent="0.2">
      <c r="A87" s="361" t="s">
        <v>79</v>
      </c>
      <c r="B87" s="362" t="s">
        <v>3997</v>
      </c>
      <c r="C87" s="362" t="s">
        <v>3998</v>
      </c>
      <c r="D87" s="364"/>
      <c r="E87" s="48"/>
      <c r="F87" s="48"/>
      <c r="G87" s="48"/>
      <c r="H87" s="48"/>
      <c r="I87" s="48"/>
      <c r="J87" s="48"/>
      <c r="K87" s="48"/>
      <c r="L87" s="48"/>
      <c r="M87" s="48"/>
      <c r="N87" s="48"/>
      <c r="O87" s="48"/>
      <c r="P87" s="48"/>
      <c r="Q87" s="374" t="e">
        <f t="shared" si="6"/>
        <v>#DIV/0!</v>
      </c>
      <c r="R87" s="375" t="e">
        <f t="shared" si="7"/>
        <v>#DIV/0!</v>
      </c>
      <c r="S87" s="376" t="e">
        <f t="shared" si="8"/>
        <v>#DIV/0!</v>
      </c>
      <c r="T87" s="152"/>
    </row>
    <row r="88" spans="1:23" s="117" customFormat="1" ht="32.1" customHeight="1" x14ac:dyDescent="0.2">
      <c r="A88" s="361" t="s">
        <v>79</v>
      </c>
      <c r="B88" s="362" t="s">
        <v>292</v>
      </c>
      <c r="C88" s="362" t="s">
        <v>293</v>
      </c>
      <c r="D88" s="364"/>
      <c r="E88" s="48"/>
      <c r="F88" s="48"/>
      <c r="G88" s="48"/>
      <c r="H88" s="48"/>
      <c r="I88" s="48"/>
      <c r="J88" s="48"/>
      <c r="K88" s="48"/>
      <c r="L88" s="48"/>
      <c r="M88" s="48"/>
      <c r="N88" s="48"/>
      <c r="O88" s="48"/>
      <c r="P88" s="48"/>
      <c r="Q88" s="374" t="e">
        <f t="shared" si="6"/>
        <v>#DIV/0!</v>
      </c>
      <c r="R88" s="375" t="e">
        <f t="shared" si="7"/>
        <v>#DIV/0!</v>
      </c>
      <c r="S88" s="376" t="e">
        <f t="shared" si="8"/>
        <v>#DIV/0!</v>
      </c>
      <c r="T88" s="152"/>
    </row>
    <row r="89" spans="1:23" s="117" customFormat="1" ht="32.1" customHeight="1" x14ac:dyDescent="0.2">
      <c r="A89" s="361" t="s">
        <v>79</v>
      </c>
      <c r="B89" s="362" t="s">
        <v>301</v>
      </c>
      <c r="C89" s="362" t="s">
        <v>302</v>
      </c>
      <c r="D89" s="364">
        <v>126</v>
      </c>
      <c r="E89" s="48"/>
      <c r="F89" s="48"/>
      <c r="G89" s="48"/>
      <c r="H89" s="48">
        <v>0</v>
      </c>
      <c r="I89" s="48">
        <v>0</v>
      </c>
      <c r="J89" s="48"/>
      <c r="K89" s="48">
        <v>0</v>
      </c>
      <c r="L89" s="48">
        <v>0</v>
      </c>
      <c r="M89" s="48"/>
      <c r="N89" s="48"/>
      <c r="O89" s="48"/>
      <c r="P89" s="48"/>
      <c r="Q89" s="374">
        <f t="shared" si="6"/>
        <v>0</v>
      </c>
      <c r="R89" s="375" t="str">
        <f t="shared" si="7"/>
        <v>SI</v>
      </c>
      <c r="S89" s="376" t="str">
        <f t="shared" si="8"/>
        <v>Sin Riesgo</v>
      </c>
      <c r="T89" s="152"/>
    </row>
    <row r="90" spans="1:23" s="117" customFormat="1" ht="32.1" customHeight="1" x14ac:dyDescent="0.2">
      <c r="A90" s="361" t="s">
        <v>79</v>
      </c>
      <c r="B90" s="362" t="s">
        <v>299</v>
      </c>
      <c r="C90" s="362" t="s">
        <v>300</v>
      </c>
      <c r="D90" s="364">
        <v>96</v>
      </c>
      <c r="E90" s="48"/>
      <c r="F90" s="48"/>
      <c r="G90" s="48">
        <v>0</v>
      </c>
      <c r="H90" s="48">
        <v>42.13</v>
      </c>
      <c r="I90" s="48"/>
      <c r="J90" s="48"/>
      <c r="K90" s="48"/>
      <c r="L90" s="48"/>
      <c r="M90" s="48"/>
      <c r="N90" s="48"/>
      <c r="O90" s="48"/>
      <c r="P90" s="48"/>
      <c r="Q90" s="374">
        <f t="shared" si="6"/>
        <v>21.065000000000001</v>
      </c>
      <c r="R90" s="375" t="str">
        <f t="shared" si="7"/>
        <v>NO</v>
      </c>
      <c r="S90" s="376" t="str">
        <f t="shared" si="8"/>
        <v>Medio</v>
      </c>
      <c r="T90" s="152"/>
    </row>
    <row r="91" spans="1:23" s="117" customFormat="1" ht="32.1" customHeight="1" x14ac:dyDescent="0.2">
      <c r="A91" s="361" t="s">
        <v>79</v>
      </c>
      <c r="B91" s="362" t="s">
        <v>294</v>
      </c>
      <c r="C91" s="362" t="s">
        <v>295</v>
      </c>
      <c r="D91" s="364">
        <v>235</v>
      </c>
      <c r="E91" s="48"/>
      <c r="F91" s="48"/>
      <c r="G91" s="48"/>
      <c r="H91" s="48"/>
      <c r="I91" s="48"/>
      <c r="J91" s="48"/>
      <c r="K91" s="48"/>
      <c r="L91" s="48"/>
      <c r="M91" s="48"/>
      <c r="N91" s="48"/>
      <c r="O91" s="48"/>
      <c r="P91" s="48"/>
      <c r="Q91" s="374" t="e">
        <f t="shared" si="6"/>
        <v>#DIV/0!</v>
      </c>
      <c r="R91" s="375" t="e">
        <f t="shared" si="7"/>
        <v>#DIV/0!</v>
      </c>
      <c r="S91" s="376" t="e">
        <f t="shared" si="8"/>
        <v>#DIV/0!</v>
      </c>
    </row>
    <row r="92" spans="1:23" s="227" customFormat="1" ht="32.1" customHeight="1" x14ac:dyDescent="0.2">
      <c r="A92" s="361" t="s">
        <v>79</v>
      </c>
      <c r="B92" s="362" t="s">
        <v>297</v>
      </c>
      <c r="C92" s="362" t="s">
        <v>298</v>
      </c>
      <c r="D92" s="364">
        <v>53</v>
      </c>
      <c r="E92" s="48"/>
      <c r="F92" s="48"/>
      <c r="G92" s="48"/>
      <c r="H92" s="48">
        <v>0</v>
      </c>
      <c r="I92" s="48"/>
      <c r="J92" s="48"/>
      <c r="K92" s="48">
        <v>0</v>
      </c>
      <c r="L92" s="48">
        <v>0</v>
      </c>
      <c r="M92" s="48"/>
      <c r="N92" s="48"/>
      <c r="O92" s="48"/>
      <c r="P92" s="48"/>
      <c r="Q92" s="374">
        <f t="shared" si="6"/>
        <v>0</v>
      </c>
      <c r="R92" s="375" t="str">
        <f t="shared" si="7"/>
        <v>SI</v>
      </c>
      <c r="S92" s="376" t="str">
        <f t="shared" si="8"/>
        <v>Sin Riesgo</v>
      </c>
      <c r="T92" s="117"/>
      <c r="U92" s="117"/>
      <c r="V92" s="117"/>
      <c r="W92" s="117"/>
    </row>
    <row r="93" spans="1:23" s="117" customFormat="1" ht="32.1" customHeight="1" x14ac:dyDescent="0.2">
      <c r="A93" s="385" t="s">
        <v>105</v>
      </c>
      <c r="B93" s="362" t="s">
        <v>68</v>
      </c>
      <c r="C93" s="362" t="s">
        <v>4000</v>
      </c>
      <c r="D93" s="364">
        <v>180</v>
      </c>
      <c r="E93" s="48"/>
      <c r="F93" s="48"/>
      <c r="G93" s="48"/>
      <c r="H93" s="48">
        <v>17.399999999999999</v>
      </c>
      <c r="I93" s="48"/>
      <c r="J93" s="48"/>
      <c r="K93" s="48"/>
      <c r="L93" s="48"/>
      <c r="M93" s="48">
        <v>63.953400000000002</v>
      </c>
      <c r="N93" s="48"/>
      <c r="O93" s="48"/>
      <c r="P93" s="48"/>
      <c r="Q93" s="374">
        <f t="shared" si="6"/>
        <v>40.676699999999997</v>
      </c>
      <c r="R93" s="375" t="str">
        <f t="shared" si="7"/>
        <v>NO</v>
      </c>
      <c r="S93" s="376" t="str">
        <f t="shared" si="8"/>
        <v>Alto</v>
      </c>
    </row>
    <row r="94" spans="1:23" s="117" customFormat="1" ht="32.1" customHeight="1" x14ac:dyDescent="0.2">
      <c r="A94" s="385" t="s">
        <v>105</v>
      </c>
      <c r="B94" s="362" t="s">
        <v>4001</v>
      </c>
      <c r="C94" s="362" t="s">
        <v>309</v>
      </c>
      <c r="D94" s="364">
        <v>1111</v>
      </c>
      <c r="E94" s="48"/>
      <c r="F94" s="48"/>
      <c r="G94" s="48"/>
      <c r="H94" s="48">
        <v>0</v>
      </c>
      <c r="I94" s="48">
        <f>AVERAGE(0,51.6)</f>
        <v>25.8</v>
      </c>
      <c r="J94" s="48">
        <f>AVERAGE(0,19.3548)</f>
        <v>9.6774000000000004</v>
      </c>
      <c r="K94" s="48">
        <f>AVERAGE(17.4418,0)</f>
        <v>8.7209000000000003</v>
      </c>
      <c r="L94" s="48">
        <f>AVERAGE(0,0)</f>
        <v>0</v>
      </c>
      <c r="M94" s="48">
        <f>AVERAGE(0,0)</f>
        <v>0</v>
      </c>
      <c r="N94" s="48">
        <f>AVERAGE(0,0)</f>
        <v>0</v>
      </c>
      <c r="O94" s="48">
        <f>AVERAGE(17.4418,19.3548)</f>
        <v>18.398299999999999</v>
      </c>
      <c r="P94" s="48">
        <f>AVERAGE(0,51.6129)</f>
        <v>25.806450000000002</v>
      </c>
      <c r="Q94" s="374">
        <f t="shared" si="6"/>
        <v>9.8225611111111117</v>
      </c>
      <c r="R94" s="375" t="str">
        <f t="shared" si="7"/>
        <v>NO</v>
      </c>
      <c r="S94" s="376" t="str">
        <f t="shared" si="8"/>
        <v>Bajo</v>
      </c>
    </row>
    <row r="95" spans="1:23" s="117" customFormat="1" ht="32.1" customHeight="1" x14ac:dyDescent="0.2">
      <c r="A95" s="385" t="s">
        <v>105</v>
      </c>
      <c r="B95" s="362" t="s">
        <v>4002</v>
      </c>
      <c r="C95" s="362" t="s">
        <v>4003</v>
      </c>
      <c r="D95" s="364">
        <v>70</v>
      </c>
      <c r="E95" s="48"/>
      <c r="F95" s="48"/>
      <c r="G95" s="48">
        <v>43.6</v>
      </c>
      <c r="H95" s="48"/>
      <c r="I95" s="48"/>
      <c r="J95" s="48"/>
      <c r="K95" s="48"/>
      <c r="L95" s="48"/>
      <c r="M95" s="48"/>
      <c r="N95" s="48">
        <v>71</v>
      </c>
      <c r="O95" s="48"/>
      <c r="P95" s="48"/>
      <c r="Q95" s="374">
        <f t="shared" si="6"/>
        <v>57.3</v>
      </c>
      <c r="R95" s="375" t="str">
        <f t="shared" si="7"/>
        <v>NO</v>
      </c>
      <c r="S95" s="376" t="str">
        <f t="shared" si="8"/>
        <v>Alto</v>
      </c>
    </row>
    <row r="96" spans="1:23" s="117" customFormat="1" ht="32.1" customHeight="1" x14ac:dyDescent="0.2">
      <c r="A96" s="385" t="s">
        <v>105</v>
      </c>
      <c r="B96" s="362" t="s">
        <v>454</v>
      </c>
      <c r="C96" s="362" t="s">
        <v>311</v>
      </c>
      <c r="D96" s="364">
        <v>230</v>
      </c>
      <c r="E96" s="48"/>
      <c r="F96" s="48"/>
      <c r="G96" s="48"/>
      <c r="H96" s="48"/>
      <c r="I96" s="48"/>
      <c r="J96" s="48">
        <v>88.372</v>
      </c>
      <c r="K96" s="48"/>
      <c r="L96" s="48"/>
      <c r="M96" s="48"/>
      <c r="N96" s="48"/>
      <c r="O96" s="48"/>
      <c r="P96" s="48">
        <v>70.967699999999994</v>
      </c>
      <c r="Q96" s="374">
        <f t="shared" ref="Q96:Q128" si="9">AVERAGE(E96:P96)</f>
        <v>79.669849999999997</v>
      </c>
      <c r="R96" s="375" t="str">
        <f t="shared" ref="R96:R128" si="10">IF(Q96&lt;5,"SI","NO")</f>
        <v>NO</v>
      </c>
      <c r="S96" s="376" t="str">
        <f t="shared" ref="S96:S160" si="11">IF(Q96&lt;5,"Sin Riesgo",IF(Q96 &lt;=14,"Bajo",IF(Q96&lt;=35,"Medio",IF(Q96&lt;=80,"Alto","Inviable Sanitariamente"))))</f>
        <v>Alto</v>
      </c>
    </row>
    <row r="97" spans="1:19" s="117" customFormat="1" ht="42.75" customHeight="1" x14ac:dyDescent="0.2">
      <c r="A97" s="385" t="s">
        <v>105</v>
      </c>
      <c r="B97" s="362" t="s">
        <v>4004</v>
      </c>
      <c r="C97" s="362" t="s">
        <v>312</v>
      </c>
      <c r="D97" s="364">
        <v>1352</v>
      </c>
      <c r="E97" s="48"/>
      <c r="F97" s="48"/>
      <c r="G97" s="48"/>
      <c r="H97" s="48">
        <v>0</v>
      </c>
      <c r="I97" s="48">
        <f>AVERAGE(0,0)</f>
        <v>0</v>
      </c>
      <c r="J97" s="48">
        <f>AVERAGE(0,0)</f>
        <v>0</v>
      </c>
      <c r="K97" s="48">
        <f>AVERAGE(6.9767,17.4418)</f>
        <v>12.209250000000001</v>
      </c>
      <c r="L97" s="48">
        <f>AVERAGE(19.3548,17.4418)</f>
        <v>18.398299999999999</v>
      </c>
      <c r="M97" s="48">
        <f>AVERAGE(0,0)</f>
        <v>0</v>
      </c>
      <c r="N97" s="48">
        <f>AVERAGE(0,19.3548)</f>
        <v>9.6774000000000004</v>
      </c>
      <c r="O97" s="48">
        <f>AVERAGE(0,0)</f>
        <v>0</v>
      </c>
      <c r="P97" s="48">
        <f>AVERAGE(0,0)</f>
        <v>0</v>
      </c>
      <c r="Q97" s="374">
        <f t="shared" si="9"/>
        <v>4.4761055555555558</v>
      </c>
      <c r="R97" s="375" t="str">
        <f t="shared" si="10"/>
        <v>SI</v>
      </c>
      <c r="S97" s="376" t="str">
        <f t="shared" si="11"/>
        <v>Sin Riesgo</v>
      </c>
    </row>
    <row r="98" spans="1:19" s="117" customFormat="1" ht="32.1" customHeight="1" x14ac:dyDescent="0.2">
      <c r="A98" s="385" t="s">
        <v>105</v>
      </c>
      <c r="B98" s="362" t="s">
        <v>452</v>
      </c>
      <c r="C98" s="362" t="s">
        <v>313</v>
      </c>
      <c r="D98" s="364">
        <v>177</v>
      </c>
      <c r="E98" s="48"/>
      <c r="F98" s="48"/>
      <c r="G98" s="48"/>
      <c r="H98" s="48">
        <v>63.953400000000002</v>
      </c>
      <c r="I98" s="48"/>
      <c r="J98" s="48"/>
      <c r="K98" s="48"/>
      <c r="L98" s="48"/>
      <c r="M98" s="48"/>
      <c r="N98" s="48"/>
      <c r="O98" s="48"/>
      <c r="P98" s="48">
        <v>63.953400000000002</v>
      </c>
      <c r="Q98" s="374">
        <f t="shared" si="9"/>
        <v>63.953400000000002</v>
      </c>
      <c r="R98" s="375" t="str">
        <f t="shared" si="10"/>
        <v>NO</v>
      </c>
      <c r="S98" s="376" t="str">
        <f t="shared" si="11"/>
        <v>Alto</v>
      </c>
    </row>
    <row r="99" spans="1:19" s="117" customFormat="1" ht="32.1" customHeight="1" x14ac:dyDescent="0.2">
      <c r="A99" s="385" t="s">
        <v>105</v>
      </c>
      <c r="B99" s="362" t="s">
        <v>4005</v>
      </c>
      <c r="C99" s="362" t="s">
        <v>315</v>
      </c>
      <c r="D99" s="364">
        <v>161</v>
      </c>
      <c r="E99" s="48"/>
      <c r="F99" s="48"/>
      <c r="G99" s="48"/>
      <c r="H99" s="48">
        <v>46.451599999999999</v>
      </c>
      <c r="I99" s="48"/>
      <c r="J99" s="48"/>
      <c r="K99" s="48"/>
      <c r="L99" s="48"/>
      <c r="M99" s="48">
        <v>81.395300000000006</v>
      </c>
      <c r="N99" s="48"/>
      <c r="O99" s="48"/>
      <c r="P99" s="48"/>
      <c r="Q99" s="374">
        <f t="shared" si="9"/>
        <v>63.923450000000003</v>
      </c>
      <c r="R99" s="375" t="str">
        <f t="shared" si="10"/>
        <v>NO</v>
      </c>
      <c r="S99" s="376" t="str">
        <f t="shared" si="11"/>
        <v>Alto</v>
      </c>
    </row>
    <row r="100" spans="1:19" s="117" customFormat="1" ht="32.1" customHeight="1" x14ac:dyDescent="0.2">
      <c r="A100" s="385" t="s">
        <v>105</v>
      </c>
      <c r="B100" s="362" t="s">
        <v>4006</v>
      </c>
      <c r="C100" s="362" t="s">
        <v>314</v>
      </c>
      <c r="D100" s="364">
        <v>352</v>
      </c>
      <c r="E100" s="48"/>
      <c r="F100" s="48"/>
      <c r="G100" s="48"/>
      <c r="H100" s="48">
        <v>38.709600000000002</v>
      </c>
      <c r="I100" s="48"/>
      <c r="J100" s="48"/>
      <c r="K100" s="48"/>
      <c r="L100" s="48"/>
      <c r="M100" s="48">
        <v>81.395300000000006</v>
      </c>
      <c r="N100" s="48"/>
      <c r="O100" s="48"/>
      <c r="P100" s="48"/>
      <c r="Q100" s="374">
        <f t="shared" si="9"/>
        <v>60.052450000000007</v>
      </c>
      <c r="R100" s="375" t="str">
        <f t="shared" si="10"/>
        <v>NO</v>
      </c>
      <c r="S100" s="376" t="str">
        <f t="shared" si="11"/>
        <v>Alto</v>
      </c>
    </row>
    <row r="101" spans="1:19" s="117" customFormat="1" ht="32.1" customHeight="1" x14ac:dyDescent="0.2">
      <c r="A101" s="385" t="s">
        <v>105</v>
      </c>
      <c r="B101" s="362" t="s">
        <v>4007</v>
      </c>
      <c r="C101" s="362" t="s">
        <v>316</v>
      </c>
      <c r="D101" s="364">
        <v>108</v>
      </c>
      <c r="E101" s="48"/>
      <c r="F101" s="48"/>
      <c r="G101" s="48"/>
      <c r="H101" s="48">
        <v>38.709600000000002</v>
      </c>
      <c r="I101" s="48"/>
      <c r="J101" s="48"/>
      <c r="K101" s="48"/>
      <c r="L101" s="48"/>
      <c r="M101" s="48">
        <v>63.953400000000002</v>
      </c>
      <c r="N101" s="48"/>
      <c r="O101" s="48"/>
      <c r="P101" s="48"/>
      <c r="Q101" s="374">
        <f t="shared" si="9"/>
        <v>51.331500000000005</v>
      </c>
      <c r="R101" s="375" t="str">
        <f t="shared" si="10"/>
        <v>NO</v>
      </c>
      <c r="S101" s="376" t="str">
        <f t="shared" si="11"/>
        <v>Alto</v>
      </c>
    </row>
    <row r="102" spans="1:19" s="117" customFormat="1" ht="32.1" customHeight="1" x14ac:dyDescent="0.2">
      <c r="A102" s="385" t="s">
        <v>105</v>
      </c>
      <c r="B102" s="362" t="s">
        <v>453</v>
      </c>
      <c r="C102" s="362" t="s">
        <v>317</v>
      </c>
      <c r="D102" s="364">
        <v>375</v>
      </c>
      <c r="E102" s="48"/>
      <c r="F102" s="48"/>
      <c r="G102" s="48"/>
      <c r="H102" s="48">
        <v>63.953400000000002</v>
      </c>
      <c r="I102" s="48"/>
      <c r="J102" s="48"/>
      <c r="K102" s="48"/>
      <c r="L102" s="48"/>
      <c r="M102" s="48"/>
      <c r="N102" s="48"/>
      <c r="O102" s="48"/>
      <c r="P102" s="48">
        <v>38.709600000000002</v>
      </c>
      <c r="Q102" s="374">
        <f t="shared" si="9"/>
        <v>51.331500000000005</v>
      </c>
      <c r="R102" s="375" t="str">
        <f t="shared" si="10"/>
        <v>NO</v>
      </c>
      <c r="S102" s="376" t="str">
        <f t="shared" si="11"/>
        <v>Alto</v>
      </c>
    </row>
    <row r="103" spans="1:19" s="117" customFormat="1" ht="32.1" customHeight="1" x14ac:dyDescent="0.2">
      <c r="A103" s="385" t="s">
        <v>105</v>
      </c>
      <c r="B103" s="362" t="s">
        <v>455</v>
      </c>
      <c r="C103" s="362" t="s">
        <v>318</v>
      </c>
      <c r="D103" s="364">
        <v>300</v>
      </c>
      <c r="E103" s="48"/>
      <c r="F103" s="48"/>
      <c r="G103" s="48"/>
      <c r="H103" s="48"/>
      <c r="I103" s="48"/>
      <c r="J103" s="48">
        <v>63.953400000000002</v>
      </c>
      <c r="K103" s="48"/>
      <c r="L103" s="48"/>
      <c r="M103" s="48"/>
      <c r="N103" s="48"/>
      <c r="O103" s="48"/>
      <c r="P103" s="48">
        <v>59.210500000000003</v>
      </c>
      <c r="Q103" s="374">
        <f t="shared" si="9"/>
        <v>61.581950000000006</v>
      </c>
      <c r="R103" s="375" t="str">
        <f t="shared" si="10"/>
        <v>NO</v>
      </c>
      <c r="S103" s="376" t="str">
        <f t="shared" si="11"/>
        <v>Alto</v>
      </c>
    </row>
    <row r="104" spans="1:19" s="117" customFormat="1" ht="32.1" customHeight="1" x14ac:dyDescent="0.2">
      <c r="A104" s="385" t="s">
        <v>105</v>
      </c>
      <c r="B104" s="362" t="s">
        <v>20</v>
      </c>
      <c r="C104" s="362" t="s">
        <v>319</v>
      </c>
      <c r="D104" s="364">
        <v>130</v>
      </c>
      <c r="E104" s="48"/>
      <c r="F104" s="48"/>
      <c r="G104" s="48"/>
      <c r="H104" s="48">
        <v>81.395300000000006</v>
      </c>
      <c r="I104" s="48"/>
      <c r="J104" s="48"/>
      <c r="K104" s="48"/>
      <c r="L104" s="48"/>
      <c r="M104" s="48">
        <v>63.953400000000002</v>
      </c>
      <c r="N104" s="48"/>
      <c r="O104" s="48"/>
      <c r="P104" s="48"/>
      <c r="Q104" s="374">
        <f t="shared" si="9"/>
        <v>72.674350000000004</v>
      </c>
      <c r="R104" s="375" t="str">
        <f t="shared" si="10"/>
        <v>NO</v>
      </c>
      <c r="S104" s="376" t="str">
        <f t="shared" si="11"/>
        <v>Alto</v>
      </c>
    </row>
    <row r="105" spans="1:19" s="117" customFormat="1" ht="32.1" customHeight="1" x14ac:dyDescent="0.2">
      <c r="A105" s="385" t="s">
        <v>105</v>
      </c>
      <c r="B105" s="362" t="s">
        <v>489</v>
      </c>
      <c r="C105" s="362" t="s">
        <v>320</v>
      </c>
      <c r="D105" s="364">
        <v>36</v>
      </c>
      <c r="E105" s="48"/>
      <c r="F105" s="48"/>
      <c r="G105" s="48"/>
      <c r="H105" s="48"/>
      <c r="I105" s="48"/>
      <c r="J105" s="48">
        <v>63.953400000000002</v>
      </c>
      <c r="K105" s="48"/>
      <c r="L105" s="48"/>
      <c r="M105" s="48"/>
      <c r="N105" s="48"/>
      <c r="O105" s="48"/>
      <c r="P105" s="48">
        <v>70.967699999999994</v>
      </c>
      <c r="Q105" s="374">
        <f t="shared" si="9"/>
        <v>67.460549999999998</v>
      </c>
      <c r="R105" s="375" t="str">
        <f t="shared" si="10"/>
        <v>NO</v>
      </c>
      <c r="S105" s="376" t="str">
        <f t="shared" si="11"/>
        <v>Alto</v>
      </c>
    </row>
    <row r="106" spans="1:19" s="117" customFormat="1" ht="32.1" customHeight="1" x14ac:dyDescent="0.2">
      <c r="A106" s="385" t="s">
        <v>105</v>
      </c>
      <c r="B106" s="362" t="s">
        <v>4008</v>
      </c>
      <c r="C106" s="362" t="s">
        <v>321</v>
      </c>
      <c r="D106" s="364">
        <v>50</v>
      </c>
      <c r="E106" s="48"/>
      <c r="F106" s="48"/>
      <c r="G106" s="48"/>
      <c r="H106" s="48"/>
      <c r="I106" s="48"/>
      <c r="J106" s="48">
        <v>17.441800000000001</v>
      </c>
      <c r="K106" s="48"/>
      <c r="L106" s="48"/>
      <c r="M106" s="48"/>
      <c r="N106" s="48"/>
      <c r="O106" s="48"/>
      <c r="P106" s="48">
        <v>70.967699999999994</v>
      </c>
      <c r="Q106" s="374">
        <f t="shared" si="9"/>
        <v>44.204749999999997</v>
      </c>
      <c r="R106" s="375" t="str">
        <f t="shared" si="10"/>
        <v>NO</v>
      </c>
      <c r="S106" s="376" t="str">
        <f t="shared" si="11"/>
        <v>Alto</v>
      </c>
    </row>
    <row r="107" spans="1:19" s="117" customFormat="1" ht="32.1" customHeight="1" x14ac:dyDescent="0.2">
      <c r="A107" s="385" t="s">
        <v>105</v>
      </c>
      <c r="B107" s="362" t="s">
        <v>77</v>
      </c>
      <c r="C107" s="362" t="s">
        <v>322</v>
      </c>
      <c r="D107" s="364">
        <v>458</v>
      </c>
      <c r="E107" s="48"/>
      <c r="F107" s="48"/>
      <c r="G107" s="48"/>
      <c r="H107" s="48">
        <v>0</v>
      </c>
      <c r="I107" s="48">
        <v>0</v>
      </c>
      <c r="J107" s="48">
        <f t="shared" ref="J107:P107" si="12">AVERAGE(0,0)</f>
        <v>0</v>
      </c>
      <c r="K107" s="48">
        <f t="shared" si="12"/>
        <v>0</v>
      </c>
      <c r="L107" s="48">
        <f t="shared" si="12"/>
        <v>0</v>
      </c>
      <c r="M107" s="48">
        <f t="shared" si="12"/>
        <v>0</v>
      </c>
      <c r="N107" s="48">
        <f t="shared" si="12"/>
        <v>0</v>
      </c>
      <c r="O107" s="48">
        <f t="shared" si="12"/>
        <v>0</v>
      </c>
      <c r="P107" s="48">
        <f t="shared" si="12"/>
        <v>0</v>
      </c>
      <c r="Q107" s="374">
        <f t="shared" si="9"/>
        <v>0</v>
      </c>
      <c r="R107" s="375" t="str">
        <f t="shared" si="10"/>
        <v>SI</v>
      </c>
      <c r="S107" s="376" t="str">
        <f t="shared" si="11"/>
        <v>Sin Riesgo</v>
      </c>
    </row>
    <row r="108" spans="1:19" s="117" customFormat="1" ht="32.1" customHeight="1" x14ac:dyDescent="0.2">
      <c r="A108" s="385" t="s">
        <v>105</v>
      </c>
      <c r="B108" s="362" t="s">
        <v>456</v>
      </c>
      <c r="C108" s="362" t="s">
        <v>323</v>
      </c>
      <c r="D108" s="364">
        <v>490</v>
      </c>
      <c r="E108" s="48"/>
      <c r="F108" s="48"/>
      <c r="G108" s="48"/>
      <c r="H108" s="48">
        <v>41.860399999999998</v>
      </c>
      <c r="I108" s="48">
        <f>AVERAGE(0,17.4418)</f>
        <v>8.7209000000000003</v>
      </c>
      <c r="J108" s="48">
        <f>AVERAGE(0,0)</f>
        <v>0</v>
      </c>
      <c r="K108" s="48">
        <f>AVERAGE(0,0)</f>
        <v>0</v>
      </c>
      <c r="L108" s="48">
        <f>AVERAGE(17.4418,0)</f>
        <v>8.7209000000000003</v>
      </c>
      <c r="M108" s="48">
        <f>AVERAGE(0,0)</f>
        <v>0</v>
      </c>
      <c r="N108" s="48">
        <f>AVERAGE(0,0)</f>
        <v>0</v>
      </c>
      <c r="O108" s="48">
        <f>AVERAGE(0,0)</f>
        <v>0</v>
      </c>
      <c r="P108" s="48">
        <f>AVERAGE(0,19.3548)</f>
        <v>9.6774000000000004</v>
      </c>
      <c r="Q108" s="374">
        <f t="shared" si="9"/>
        <v>7.6644000000000005</v>
      </c>
      <c r="R108" s="375" t="str">
        <f t="shared" si="10"/>
        <v>NO</v>
      </c>
      <c r="S108" s="376" t="str">
        <f t="shared" si="11"/>
        <v>Bajo</v>
      </c>
    </row>
    <row r="109" spans="1:19" s="117" customFormat="1" ht="32.1" customHeight="1" x14ac:dyDescent="0.2">
      <c r="A109" s="385" t="s">
        <v>105</v>
      </c>
      <c r="B109" s="362" t="s">
        <v>4009</v>
      </c>
      <c r="C109" s="362" t="s">
        <v>4010</v>
      </c>
      <c r="D109" s="364">
        <v>60</v>
      </c>
      <c r="E109" s="48"/>
      <c r="F109" s="48"/>
      <c r="G109" s="48"/>
      <c r="H109" s="48">
        <v>38.709600000000002</v>
      </c>
      <c r="I109" s="48"/>
      <c r="J109" s="48"/>
      <c r="K109" s="48"/>
      <c r="L109" s="48"/>
      <c r="M109" s="48"/>
      <c r="N109" s="48"/>
      <c r="O109" s="48"/>
      <c r="P109" s="48">
        <v>70.967699999999994</v>
      </c>
      <c r="Q109" s="374">
        <f t="shared" si="9"/>
        <v>54.838650000000001</v>
      </c>
      <c r="R109" s="375" t="str">
        <f t="shared" si="10"/>
        <v>NO</v>
      </c>
      <c r="S109" s="376" t="str">
        <f t="shared" si="11"/>
        <v>Alto</v>
      </c>
    </row>
    <row r="110" spans="1:19" s="117" customFormat="1" ht="32.1" customHeight="1" x14ac:dyDescent="0.2">
      <c r="A110" s="385" t="s">
        <v>105</v>
      </c>
      <c r="B110" s="362" t="s">
        <v>4011</v>
      </c>
      <c r="C110" s="362" t="s">
        <v>310</v>
      </c>
      <c r="D110" s="364">
        <v>50</v>
      </c>
      <c r="E110" s="48"/>
      <c r="F110" s="48"/>
      <c r="G110" s="48"/>
      <c r="H110" s="48"/>
      <c r="I110" s="48"/>
      <c r="J110" s="48">
        <v>63.953400000000002</v>
      </c>
      <c r="K110" s="48"/>
      <c r="L110" s="48"/>
      <c r="M110" s="48"/>
      <c r="N110" s="48"/>
      <c r="O110" s="48"/>
      <c r="P110" s="48">
        <v>70.967699999999994</v>
      </c>
      <c r="Q110" s="374">
        <f t="shared" si="9"/>
        <v>67.460549999999998</v>
      </c>
      <c r="R110" s="375" t="str">
        <f t="shared" si="10"/>
        <v>NO</v>
      </c>
      <c r="S110" s="376" t="str">
        <f t="shared" si="11"/>
        <v>Alto</v>
      </c>
    </row>
    <row r="111" spans="1:19" s="117" customFormat="1" ht="32.1" customHeight="1" x14ac:dyDescent="0.2">
      <c r="A111" s="385" t="s">
        <v>105</v>
      </c>
      <c r="B111" s="362" t="s">
        <v>457</v>
      </c>
      <c r="C111" s="362" t="s">
        <v>4012</v>
      </c>
      <c r="D111" s="364">
        <v>458</v>
      </c>
      <c r="E111" s="48"/>
      <c r="F111" s="48"/>
      <c r="G111" s="48"/>
      <c r="H111" s="48">
        <v>24.418600000000001</v>
      </c>
      <c r="I111" s="48">
        <f>AVERAGE(19.3548,17.4418)</f>
        <v>18.398299999999999</v>
      </c>
      <c r="J111" s="48">
        <f>AVERAGE(19.3548,17.4418)</f>
        <v>18.398299999999999</v>
      </c>
      <c r="K111" s="48">
        <f>AVERAGE(17.4418,0)</f>
        <v>8.7209000000000003</v>
      </c>
      <c r="L111" s="48">
        <f>AVERAGE(17.4418,0)</f>
        <v>8.7209000000000003</v>
      </c>
      <c r="M111" s="48">
        <f>AVERAGE(0,17.4418)</f>
        <v>8.7209000000000003</v>
      </c>
      <c r="N111" s="48">
        <f>AVERAGE(0,19.3548)</f>
        <v>9.6774000000000004</v>
      </c>
      <c r="O111" s="48">
        <f>AVERAGE(0,0)</f>
        <v>0</v>
      </c>
      <c r="P111" s="48">
        <f>AVERAGE(34.8837,0)</f>
        <v>17.441849999999999</v>
      </c>
      <c r="Q111" s="374">
        <f t="shared" si="9"/>
        <v>12.721905555555558</v>
      </c>
      <c r="R111" s="375" t="str">
        <f t="shared" si="10"/>
        <v>NO</v>
      </c>
      <c r="S111" s="376" t="str">
        <f t="shared" si="11"/>
        <v>Bajo</v>
      </c>
    </row>
    <row r="112" spans="1:19" s="117" customFormat="1" ht="32.1" customHeight="1" x14ac:dyDescent="0.2">
      <c r="A112" s="385" t="s">
        <v>106</v>
      </c>
      <c r="B112" s="362" t="s">
        <v>4186</v>
      </c>
      <c r="C112" s="362" t="s">
        <v>4187</v>
      </c>
      <c r="D112" s="364">
        <v>348</v>
      </c>
      <c r="E112" s="48"/>
      <c r="F112" s="48"/>
      <c r="G112" s="48"/>
      <c r="H112" s="48"/>
      <c r="I112" s="48"/>
      <c r="J112" s="48"/>
      <c r="K112" s="48"/>
      <c r="L112" s="48"/>
      <c r="M112" s="48">
        <v>7.06</v>
      </c>
      <c r="N112" s="48">
        <v>0</v>
      </c>
      <c r="O112" s="48"/>
      <c r="P112" s="48">
        <v>24.71</v>
      </c>
      <c r="Q112" s="374">
        <f t="shared" si="9"/>
        <v>10.59</v>
      </c>
      <c r="R112" s="375" t="str">
        <f t="shared" si="10"/>
        <v>NO</v>
      </c>
      <c r="S112" s="376" t="str">
        <f t="shared" si="11"/>
        <v>Bajo</v>
      </c>
    </row>
    <row r="113" spans="1:19" s="117" customFormat="1" ht="32.1" customHeight="1" x14ac:dyDescent="0.2">
      <c r="A113" s="361" t="s">
        <v>106</v>
      </c>
      <c r="B113" s="362" t="s">
        <v>4327</v>
      </c>
      <c r="C113" s="362" t="s">
        <v>4328</v>
      </c>
      <c r="D113" s="364">
        <v>510</v>
      </c>
      <c r="E113" s="48"/>
      <c r="F113" s="48"/>
      <c r="G113" s="48"/>
      <c r="H113" s="48"/>
      <c r="I113" s="48"/>
      <c r="J113" s="48"/>
      <c r="K113" s="48"/>
      <c r="L113" s="48"/>
      <c r="M113" s="48"/>
      <c r="N113" s="48">
        <v>0</v>
      </c>
      <c r="O113" s="48"/>
      <c r="P113" s="48">
        <v>0</v>
      </c>
      <c r="Q113" s="374">
        <f t="shared" si="9"/>
        <v>0</v>
      </c>
      <c r="R113" s="375" t="str">
        <f t="shared" si="10"/>
        <v>SI</v>
      </c>
      <c r="S113" s="376" t="str">
        <f t="shared" si="11"/>
        <v>Sin Riesgo</v>
      </c>
    </row>
    <row r="114" spans="1:19" s="117" customFormat="1" ht="32.1" customHeight="1" x14ac:dyDescent="0.2">
      <c r="A114" s="361" t="s">
        <v>106</v>
      </c>
      <c r="B114" s="362" t="s">
        <v>4329</v>
      </c>
      <c r="C114" s="362" t="s">
        <v>4330</v>
      </c>
      <c r="D114" s="364">
        <v>130</v>
      </c>
      <c r="E114" s="48"/>
      <c r="F114" s="48"/>
      <c r="G114" s="48"/>
      <c r="H114" s="48"/>
      <c r="I114" s="48"/>
      <c r="J114" s="48"/>
      <c r="K114" s="48"/>
      <c r="L114" s="48"/>
      <c r="M114" s="48">
        <v>7.06</v>
      </c>
      <c r="N114" s="48">
        <v>42.35</v>
      </c>
      <c r="O114" s="48"/>
      <c r="P114" s="48"/>
      <c r="Q114" s="374">
        <f t="shared" si="9"/>
        <v>24.705000000000002</v>
      </c>
      <c r="R114" s="375" t="str">
        <f t="shared" si="10"/>
        <v>NO</v>
      </c>
      <c r="S114" s="376" t="str">
        <f t="shared" si="11"/>
        <v>Medio</v>
      </c>
    </row>
    <row r="115" spans="1:19" s="117" customFormat="1" ht="32.1" customHeight="1" x14ac:dyDescent="0.2">
      <c r="A115" s="361" t="s">
        <v>106</v>
      </c>
      <c r="B115" s="362" t="s">
        <v>4331</v>
      </c>
      <c r="C115" s="362" t="s">
        <v>4332</v>
      </c>
      <c r="D115" s="364">
        <v>230</v>
      </c>
      <c r="E115" s="48"/>
      <c r="F115" s="48"/>
      <c r="G115" s="48"/>
      <c r="H115" s="48"/>
      <c r="I115" s="48"/>
      <c r="J115" s="48"/>
      <c r="K115" s="48"/>
      <c r="L115" s="48"/>
      <c r="M115" s="48">
        <v>24.71</v>
      </c>
      <c r="N115" s="48">
        <v>35.29</v>
      </c>
      <c r="O115" s="48"/>
      <c r="P115" s="48">
        <v>3.53</v>
      </c>
      <c r="Q115" s="374">
        <f t="shared" si="9"/>
        <v>21.176666666666666</v>
      </c>
      <c r="R115" s="375" t="str">
        <f t="shared" si="10"/>
        <v>NO</v>
      </c>
      <c r="S115" s="376" t="str">
        <f t="shared" si="11"/>
        <v>Medio</v>
      </c>
    </row>
    <row r="116" spans="1:19" s="117" customFormat="1" ht="32.1" customHeight="1" x14ac:dyDescent="0.2">
      <c r="A116" s="361" t="s">
        <v>106</v>
      </c>
      <c r="B116" s="362" t="s">
        <v>4333</v>
      </c>
      <c r="C116" s="362" t="s">
        <v>4334</v>
      </c>
      <c r="D116" s="364">
        <v>81</v>
      </c>
      <c r="E116" s="48"/>
      <c r="F116" s="48"/>
      <c r="G116" s="48"/>
      <c r="H116" s="48"/>
      <c r="I116" s="48"/>
      <c r="J116" s="48"/>
      <c r="K116" s="48"/>
      <c r="L116" s="48"/>
      <c r="M116" s="48">
        <v>7.06</v>
      </c>
      <c r="N116" s="48">
        <v>7.06</v>
      </c>
      <c r="O116" s="48"/>
      <c r="P116" s="48">
        <v>28.24</v>
      </c>
      <c r="Q116" s="374">
        <f t="shared" si="9"/>
        <v>14.12</v>
      </c>
      <c r="R116" s="375" t="str">
        <f t="shared" si="10"/>
        <v>NO</v>
      </c>
      <c r="S116" s="376" t="str">
        <f t="shared" si="11"/>
        <v>Medio</v>
      </c>
    </row>
    <row r="117" spans="1:19" s="117" customFormat="1" ht="32.1" customHeight="1" x14ac:dyDescent="0.2">
      <c r="A117" s="361" t="s">
        <v>106</v>
      </c>
      <c r="B117" s="362" t="s">
        <v>4335</v>
      </c>
      <c r="C117" s="362" t="s">
        <v>4336</v>
      </c>
      <c r="D117" s="364">
        <v>132</v>
      </c>
      <c r="E117" s="48"/>
      <c r="F117" s="48"/>
      <c r="G117" s="48"/>
      <c r="H117" s="48"/>
      <c r="I117" s="48"/>
      <c r="J117" s="48"/>
      <c r="K117" s="48"/>
      <c r="L117" s="48"/>
      <c r="M117" s="48">
        <v>17.649999999999999</v>
      </c>
      <c r="N117" s="48"/>
      <c r="O117" s="48"/>
      <c r="P117" s="48">
        <v>17.649999999999999</v>
      </c>
      <c r="Q117" s="374">
        <f t="shared" si="9"/>
        <v>17.649999999999999</v>
      </c>
      <c r="R117" s="375" t="str">
        <f t="shared" si="10"/>
        <v>NO</v>
      </c>
      <c r="S117" s="376" t="str">
        <f t="shared" si="11"/>
        <v>Medio</v>
      </c>
    </row>
    <row r="118" spans="1:19" s="117" customFormat="1" ht="32.1" customHeight="1" x14ac:dyDescent="0.2">
      <c r="A118" s="361" t="s">
        <v>106</v>
      </c>
      <c r="B118" s="362" t="s">
        <v>4337</v>
      </c>
      <c r="C118" s="362" t="s">
        <v>4338</v>
      </c>
      <c r="D118" s="364">
        <v>702</v>
      </c>
      <c r="E118" s="48"/>
      <c r="F118" s="48"/>
      <c r="G118" s="48"/>
      <c r="H118" s="48"/>
      <c r="I118" s="48"/>
      <c r="J118" s="48"/>
      <c r="K118" s="48"/>
      <c r="L118" s="48"/>
      <c r="M118" s="48">
        <v>17.649999999999999</v>
      </c>
      <c r="N118" s="48">
        <v>0</v>
      </c>
      <c r="O118" s="48"/>
      <c r="P118" s="48">
        <v>17.649999999999999</v>
      </c>
      <c r="Q118" s="374">
        <f t="shared" si="9"/>
        <v>11.766666666666666</v>
      </c>
      <c r="R118" s="375" t="str">
        <f t="shared" si="10"/>
        <v>NO</v>
      </c>
      <c r="S118" s="376" t="str">
        <f t="shared" si="11"/>
        <v>Bajo</v>
      </c>
    </row>
    <row r="119" spans="1:19" s="117" customFormat="1" ht="32.1" customHeight="1" x14ac:dyDescent="0.2">
      <c r="A119" s="361" t="s">
        <v>106</v>
      </c>
      <c r="B119" s="362" t="s">
        <v>87</v>
      </c>
      <c r="C119" s="362" t="s">
        <v>4339</v>
      </c>
      <c r="D119" s="364">
        <v>70</v>
      </c>
      <c r="E119" s="48"/>
      <c r="F119" s="48"/>
      <c r="G119" s="48"/>
      <c r="H119" s="48"/>
      <c r="I119" s="48"/>
      <c r="J119" s="48"/>
      <c r="K119" s="48"/>
      <c r="L119" s="48"/>
      <c r="M119" s="48">
        <v>17.649999999999999</v>
      </c>
      <c r="N119" s="48"/>
      <c r="O119" s="48">
        <v>24.71</v>
      </c>
      <c r="P119" s="48"/>
      <c r="Q119" s="374">
        <f t="shared" si="9"/>
        <v>21.18</v>
      </c>
      <c r="R119" s="375" t="str">
        <f t="shared" si="10"/>
        <v>NO</v>
      </c>
      <c r="S119" s="376" t="str">
        <f t="shared" si="11"/>
        <v>Medio</v>
      </c>
    </row>
    <row r="120" spans="1:19" s="117" customFormat="1" ht="32.1" customHeight="1" x14ac:dyDescent="0.2">
      <c r="A120" s="361" t="s">
        <v>106</v>
      </c>
      <c r="B120" s="362" t="s">
        <v>4340</v>
      </c>
      <c r="C120" s="362" t="s">
        <v>4341</v>
      </c>
      <c r="D120" s="364">
        <v>98</v>
      </c>
      <c r="E120" s="48"/>
      <c r="F120" s="48"/>
      <c r="G120" s="48"/>
      <c r="H120" s="48"/>
      <c r="I120" s="48"/>
      <c r="J120" s="48"/>
      <c r="K120" s="48"/>
      <c r="L120" s="48"/>
      <c r="M120" s="48">
        <v>0</v>
      </c>
      <c r="N120" s="48">
        <v>7.06</v>
      </c>
      <c r="O120" s="48"/>
      <c r="P120" s="48"/>
      <c r="Q120" s="374">
        <f t="shared" si="9"/>
        <v>3.53</v>
      </c>
      <c r="R120" s="375" t="str">
        <f t="shared" si="10"/>
        <v>SI</v>
      </c>
      <c r="S120" s="376" t="str">
        <f t="shared" si="11"/>
        <v>Sin Riesgo</v>
      </c>
    </row>
    <row r="121" spans="1:19" s="117" customFormat="1" ht="32.1" customHeight="1" x14ac:dyDescent="0.2">
      <c r="A121" s="361" t="s">
        <v>106</v>
      </c>
      <c r="B121" s="362" t="s">
        <v>4342</v>
      </c>
      <c r="C121" s="362" t="s">
        <v>4343</v>
      </c>
      <c r="D121" s="364">
        <v>132</v>
      </c>
      <c r="E121" s="48"/>
      <c r="F121" s="48"/>
      <c r="G121" s="48"/>
      <c r="H121" s="48"/>
      <c r="I121" s="48"/>
      <c r="J121" s="48"/>
      <c r="K121" s="48"/>
      <c r="L121" s="48"/>
      <c r="M121" s="48">
        <v>0</v>
      </c>
      <c r="N121" s="48">
        <v>0</v>
      </c>
      <c r="O121" s="48"/>
      <c r="P121" s="48"/>
      <c r="Q121" s="374">
        <f t="shared" si="9"/>
        <v>0</v>
      </c>
      <c r="R121" s="375" t="str">
        <f t="shared" si="10"/>
        <v>SI</v>
      </c>
      <c r="S121" s="376" t="str">
        <f t="shared" si="11"/>
        <v>Sin Riesgo</v>
      </c>
    </row>
    <row r="122" spans="1:19" s="117" customFormat="1" ht="32.1" customHeight="1" x14ac:dyDescent="0.2">
      <c r="A122" s="361" t="s">
        <v>106</v>
      </c>
      <c r="B122" s="362" t="s">
        <v>50</v>
      </c>
      <c r="C122" s="362" t="s">
        <v>4344</v>
      </c>
      <c r="D122" s="364">
        <v>88</v>
      </c>
      <c r="E122" s="48"/>
      <c r="F122" s="48"/>
      <c r="G122" s="48"/>
      <c r="H122" s="48"/>
      <c r="I122" s="48"/>
      <c r="J122" s="48"/>
      <c r="K122" s="48"/>
      <c r="L122" s="48"/>
      <c r="M122" s="48">
        <v>17.649999999999999</v>
      </c>
      <c r="N122" s="48">
        <v>42.35</v>
      </c>
      <c r="O122" s="48"/>
      <c r="P122" s="48"/>
      <c r="Q122" s="374">
        <f t="shared" si="9"/>
        <v>30</v>
      </c>
      <c r="R122" s="375" t="str">
        <f t="shared" si="10"/>
        <v>NO</v>
      </c>
      <c r="S122" s="376" t="str">
        <f t="shared" si="11"/>
        <v>Medio</v>
      </c>
    </row>
    <row r="123" spans="1:19" s="117" customFormat="1" ht="32.1" customHeight="1" x14ac:dyDescent="0.2">
      <c r="A123" s="361" t="s">
        <v>106</v>
      </c>
      <c r="B123" s="362" t="s">
        <v>4345</v>
      </c>
      <c r="C123" s="362" t="s">
        <v>4346</v>
      </c>
      <c r="D123" s="364">
        <v>440</v>
      </c>
      <c r="E123" s="48"/>
      <c r="F123" s="48"/>
      <c r="G123" s="48"/>
      <c r="H123" s="48"/>
      <c r="I123" s="48"/>
      <c r="J123" s="48"/>
      <c r="K123" s="48"/>
      <c r="L123" s="48"/>
      <c r="M123" s="48">
        <v>7.06</v>
      </c>
      <c r="N123" s="48"/>
      <c r="O123" s="48">
        <v>24.71</v>
      </c>
      <c r="P123" s="48"/>
      <c r="Q123" s="374">
        <f t="shared" si="9"/>
        <v>15.885</v>
      </c>
      <c r="R123" s="375" t="str">
        <f t="shared" si="10"/>
        <v>NO</v>
      </c>
      <c r="S123" s="376" t="str">
        <f t="shared" si="11"/>
        <v>Medio</v>
      </c>
    </row>
    <row r="124" spans="1:19" s="117" customFormat="1" ht="32.1" customHeight="1" x14ac:dyDescent="0.2">
      <c r="A124" s="361" t="s">
        <v>106</v>
      </c>
      <c r="B124" s="362" t="s">
        <v>4347</v>
      </c>
      <c r="C124" s="362" t="s">
        <v>4348</v>
      </c>
      <c r="D124" s="364">
        <v>1302</v>
      </c>
      <c r="E124" s="48"/>
      <c r="F124" s="48"/>
      <c r="G124" s="48"/>
      <c r="H124" s="48"/>
      <c r="I124" s="48"/>
      <c r="J124" s="48"/>
      <c r="K124" s="48"/>
      <c r="L124" s="48"/>
      <c r="M124" s="48">
        <v>0</v>
      </c>
      <c r="N124" s="48"/>
      <c r="O124" s="48">
        <v>0</v>
      </c>
      <c r="P124" s="48">
        <v>0</v>
      </c>
      <c r="Q124" s="374">
        <f t="shared" si="9"/>
        <v>0</v>
      </c>
      <c r="R124" s="375" t="str">
        <f t="shared" si="10"/>
        <v>SI</v>
      </c>
      <c r="S124" s="376" t="str">
        <f t="shared" si="11"/>
        <v>Sin Riesgo</v>
      </c>
    </row>
    <row r="125" spans="1:19" s="117" customFormat="1" ht="32.1" customHeight="1" x14ac:dyDescent="0.2">
      <c r="A125" s="361" t="s">
        <v>106</v>
      </c>
      <c r="B125" s="362" t="s">
        <v>4349</v>
      </c>
      <c r="C125" s="362" t="s">
        <v>4350</v>
      </c>
      <c r="D125" s="364">
        <v>170</v>
      </c>
      <c r="E125" s="48"/>
      <c r="F125" s="48"/>
      <c r="G125" s="48"/>
      <c r="H125" s="48"/>
      <c r="I125" s="48"/>
      <c r="J125" s="48"/>
      <c r="K125" s="48"/>
      <c r="L125" s="48"/>
      <c r="M125" s="48">
        <v>0</v>
      </c>
      <c r="N125" s="48">
        <v>0</v>
      </c>
      <c r="O125" s="48">
        <v>0</v>
      </c>
      <c r="P125" s="48"/>
      <c r="Q125" s="374">
        <f t="shared" si="9"/>
        <v>0</v>
      </c>
      <c r="R125" s="375" t="str">
        <f t="shared" si="10"/>
        <v>SI</v>
      </c>
      <c r="S125" s="376" t="str">
        <f t="shared" si="11"/>
        <v>Sin Riesgo</v>
      </c>
    </row>
    <row r="126" spans="1:19" s="117" customFormat="1" ht="32.1" customHeight="1" x14ac:dyDescent="0.2">
      <c r="A126" s="361" t="s">
        <v>106</v>
      </c>
      <c r="B126" s="362" t="s">
        <v>458</v>
      </c>
      <c r="C126" s="362" t="s">
        <v>4351</v>
      </c>
      <c r="D126" s="364">
        <v>365</v>
      </c>
      <c r="E126" s="48"/>
      <c r="F126" s="48"/>
      <c r="G126" s="48"/>
      <c r="H126" s="48"/>
      <c r="I126" s="48"/>
      <c r="J126" s="48"/>
      <c r="K126" s="48"/>
      <c r="L126" s="48"/>
      <c r="M126" s="48">
        <v>7.06</v>
      </c>
      <c r="N126" s="48"/>
      <c r="O126" s="48"/>
      <c r="P126" s="48">
        <v>24.71</v>
      </c>
      <c r="Q126" s="374">
        <f t="shared" si="9"/>
        <v>15.885</v>
      </c>
      <c r="R126" s="375" t="str">
        <f t="shared" si="10"/>
        <v>NO</v>
      </c>
      <c r="S126" s="376" t="str">
        <f t="shared" si="11"/>
        <v>Medio</v>
      </c>
    </row>
    <row r="127" spans="1:19" s="117" customFormat="1" ht="32.1" customHeight="1" x14ac:dyDescent="0.2">
      <c r="A127" s="361" t="s">
        <v>106</v>
      </c>
      <c r="B127" s="362" t="s">
        <v>670</v>
      </c>
      <c r="C127" s="362" t="s">
        <v>4352</v>
      </c>
      <c r="D127" s="364">
        <v>303</v>
      </c>
      <c r="E127" s="48"/>
      <c r="F127" s="48"/>
      <c r="G127" s="48"/>
      <c r="H127" s="48"/>
      <c r="I127" s="48"/>
      <c r="J127" s="48"/>
      <c r="K127" s="48"/>
      <c r="L127" s="48"/>
      <c r="M127" s="48">
        <v>0</v>
      </c>
      <c r="N127" s="48">
        <v>0</v>
      </c>
      <c r="O127" s="48"/>
      <c r="P127" s="48">
        <v>3.53</v>
      </c>
      <c r="Q127" s="374">
        <f t="shared" si="9"/>
        <v>1.1766666666666665</v>
      </c>
      <c r="R127" s="375" t="str">
        <f t="shared" si="10"/>
        <v>SI</v>
      </c>
      <c r="S127" s="376" t="str">
        <f t="shared" si="11"/>
        <v>Sin Riesgo</v>
      </c>
    </row>
    <row r="128" spans="1:19" s="117" customFormat="1" ht="32.1" customHeight="1" x14ac:dyDescent="0.2">
      <c r="A128" s="361" t="s">
        <v>106</v>
      </c>
      <c r="B128" s="362" t="s">
        <v>4353</v>
      </c>
      <c r="C128" s="362" t="s">
        <v>4354</v>
      </c>
      <c r="D128" s="364">
        <v>70</v>
      </c>
      <c r="E128" s="48"/>
      <c r="F128" s="48"/>
      <c r="G128" s="48"/>
      <c r="H128" s="48"/>
      <c r="I128" s="48"/>
      <c r="J128" s="48"/>
      <c r="K128" s="48"/>
      <c r="L128" s="48"/>
      <c r="M128" s="48">
        <v>17.649999999999999</v>
      </c>
      <c r="N128" s="48">
        <v>64.709999999999994</v>
      </c>
      <c r="O128" s="48"/>
      <c r="P128" s="48">
        <v>17.649999999999999</v>
      </c>
      <c r="Q128" s="374">
        <f t="shared" si="9"/>
        <v>33.336666666666666</v>
      </c>
      <c r="R128" s="375" t="str">
        <f t="shared" si="10"/>
        <v>NO</v>
      </c>
      <c r="S128" s="376" t="str">
        <f t="shared" si="11"/>
        <v>Medio</v>
      </c>
    </row>
    <row r="129" spans="1:19" s="117" customFormat="1" ht="32.1" customHeight="1" x14ac:dyDescent="0.2">
      <c r="A129" s="361" t="s">
        <v>106</v>
      </c>
      <c r="B129" s="362" t="s">
        <v>4355</v>
      </c>
      <c r="C129" s="362" t="s">
        <v>4356</v>
      </c>
      <c r="D129" s="364" t="s">
        <v>4357</v>
      </c>
      <c r="E129" s="48"/>
      <c r="F129" s="48"/>
      <c r="G129" s="48"/>
      <c r="H129" s="48"/>
      <c r="I129" s="48"/>
      <c r="J129" s="48"/>
      <c r="K129" s="48"/>
      <c r="L129" s="48"/>
      <c r="M129" s="48">
        <v>17.649999999999999</v>
      </c>
      <c r="N129" s="48">
        <v>47.06</v>
      </c>
      <c r="O129" s="48"/>
      <c r="P129" s="48"/>
      <c r="Q129" s="374">
        <f t="shared" ref="Q129:Q160" si="13">AVERAGE(E129:P129)</f>
        <v>32.355000000000004</v>
      </c>
      <c r="R129" s="375" t="str">
        <f t="shared" ref="R129:R160" si="14">IF(Q129&lt;5,"SI","NO")</f>
        <v>NO</v>
      </c>
      <c r="S129" s="376" t="str">
        <f t="shared" si="11"/>
        <v>Medio</v>
      </c>
    </row>
    <row r="130" spans="1:19" s="117" customFormat="1" ht="32.1" customHeight="1" x14ac:dyDescent="0.2">
      <c r="A130" s="361" t="s">
        <v>106</v>
      </c>
      <c r="B130" s="362" t="s">
        <v>4358</v>
      </c>
      <c r="C130" s="362" t="s">
        <v>4359</v>
      </c>
      <c r="D130" s="364">
        <v>30</v>
      </c>
      <c r="E130" s="48"/>
      <c r="F130" s="48"/>
      <c r="G130" s="48"/>
      <c r="H130" s="48"/>
      <c r="I130" s="48"/>
      <c r="J130" s="48"/>
      <c r="K130" s="48"/>
      <c r="L130" s="48"/>
      <c r="M130" s="48">
        <v>64.709999999999994</v>
      </c>
      <c r="N130" s="48">
        <v>17.649999999999999</v>
      </c>
      <c r="O130" s="48"/>
      <c r="P130" s="48"/>
      <c r="Q130" s="374">
        <f t="shared" si="13"/>
        <v>41.179999999999993</v>
      </c>
      <c r="R130" s="375" t="str">
        <f t="shared" si="14"/>
        <v>NO</v>
      </c>
      <c r="S130" s="376" t="str">
        <f t="shared" si="11"/>
        <v>Alto</v>
      </c>
    </row>
    <row r="131" spans="1:19" s="117" customFormat="1" ht="32.1" customHeight="1" x14ac:dyDescent="0.2">
      <c r="A131" s="361" t="s">
        <v>106</v>
      </c>
      <c r="B131" s="362" t="s">
        <v>4360</v>
      </c>
      <c r="C131" s="362" t="s">
        <v>4361</v>
      </c>
      <c r="D131" s="364">
        <v>32</v>
      </c>
      <c r="E131" s="48"/>
      <c r="F131" s="48"/>
      <c r="G131" s="48"/>
      <c r="H131" s="48"/>
      <c r="I131" s="48"/>
      <c r="J131" s="48"/>
      <c r="K131" s="48"/>
      <c r="L131" s="48"/>
      <c r="M131" s="48">
        <v>91.18</v>
      </c>
      <c r="N131" s="48"/>
      <c r="O131" s="48"/>
      <c r="P131" s="48">
        <v>91.18</v>
      </c>
      <c r="Q131" s="386">
        <f t="shared" si="13"/>
        <v>91.18</v>
      </c>
      <c r="R131" s="375" t="str">
        <f t="shared" si="14"/>
        <v>NO</v>
      </c>
      <c r="S131" s="376" t="str">
        <f t="shared" si="11"/>
        <v>Inviable Sanitariamente</v>
      </c>
    </row>
    <row r="132" spans="1:19" s="117" customFormat="1" ht="32.1" customHeight="1" x14ac:dyDescent="0.2">
      <c r="A132" s="385" t="s">
        <v>108</v>
      </c>
      <c r="B132" s="387" t="s">
        <v>4019</v>
      </c>
      <c r="C132" s="388" t="s">
        <v>4020</v>
      </c>
      <c r="D132" s="364">
        <v>12</v>
      </c>
      <c r="E132" s="48"/>
      <c r="F132" s="48"/>
      <c r="G132" s="48"/>
      <c r="H132" s="48"/>
      <c r="I132" s="48"/>
      <c r="J132" s="48"/>
      <c r="K132" s="48"/>
      <c r="L132" s="48">
        <v>17.399999999999999</v>
      </c>
      <c r="M132" s="48">
        <v>49</v>
      </c>
      <c r="N132" s="48">
        <v>34.799999999999997</v>
      </c>
      <c r="O132" s="48"/>
      <c r="P132" s="48"/>
      <c r="Q132" s="374">
        <f t="shared" si="13"/>
        <v>33.733333333333334</v>
      </c>
      <c r="R132" s="375" t="str">
        <f t="shared" si="14"/>
        <v>NO</v>
      </c>
      <c r="S132" s="376" t="str">
        <f t="shared" si="11"/>
        <v>Medio</v>
      </c>
    </row>
    <row r="133" spans="1:19" s="117" customFormat="1" ht="32.1" customHeight="1" x14ac:dyDescent="0.2">
      <c r="A133" s="385" t="s">
        <v>108</v>
      </c>
      <c r="B133" s="387" t="s">
        <v>4019</v>
      </c>
      <c r="C133" s="388" t="s">
        <v>4021</v>
      </c>
      <c r="D133" s="364">
        <v>19</v>
      </c>
      <c r="E133" s="48"/>
      <c r="F133" s="48"/>
      <c r="G133" s="48"/>
      <c r="H133" s="48"/>
      <c r="I133" s="48"/>
      <c r="J133" s="48"/>
      <c r="K133" s="48">
        <v>53.4</v>
      </c>
      <c r="L133" s="48"/>
      <c r="M133" s="48"/>
      <c r="N133" s="48">
        <v>19.3</v>
      </c>
      <c r="O133" s="48">
        <v>19.100000000000001</v>
      </c>
      <c r="P133" s="48"/>
      <c r="Q133" s="374">
        <f t="shared" si="13"/>
        <v>30.600000000000005</v>
      </c>
      <c r="R133" s="375" t="str">
        <f t="shared" si="14"/>
        <v>NO</v>
      </c>
      <c r="S133" s="376" t="str">
        <f t="shared" si="11"/>
        <v>Medio</v>
      </c>
    </row>
    <row r="134" spans="1:19" s="117" customFormat="1" ht="32.1" customHeight="1" x14ac:dyDescent="0.2">
      <c r="A134" s="385" t="s">
        <v>108</v>
      </c>
      <c r="B134" s="387" t="s">
        <v>4022</v>
      </c>
      <c r="C134" s="387" t="s">
        <v>4022</v>
      </c>
      <c r="D134" s="364">
        <v>63</v>
      </c>
      <c r="E134" s="48"/>
      <c r="F134" s="48"/>
      <c r="G134" s="48"/>
      <c r="H134" s="48"/>
      <c r="I134" s="48"/>
      <c r="J134" s="48"/>
      <c r="K134" s="48"/>
      <c r="L134" s="48">
        <v>0</v>
      </c>
      <c r="M134" s="48">
        <v>0</v>
      </c>
      <c r="N134" s="48">
        <v>19.3</v>
      </c>
      <c r="O134" s="48"/>
      <c r="P134" s="48"/>
      <c r="Q134" s="374">
        <f t="shared" si="13"/>
        <v>6.4333333333333336</v>
      </c>
      <c r="R134" s="375" t="str">
        <f t="shared" si="14"/>
        <v>NO</v>
      </c>
      <c r="S134" s="376" t="str">
        <f t="shared" si="11"/>
        <v>Bajo</v>
      </c>
    </row>
    <row r="135" spans="1:19" s="117" customFormat="1" ht="32.1" customHeight="1" x14ac:dyDescent="0.2">
      <c r="A135" s="385" t="s">
        <v>108</v>
      </c>
      <c r="B135" s="387" t="s">
        <v>4023</v>
      </c>
      <c r="C135" s="387" t="s">
        <v>4362</v>
      </c>
      <c r="D135" s="364">
        <v>171</v>
      </c>
      <c r="E135" s="48"/>
      <c r="F135" s="48"/>
      <c r="G135" s="48"/>
      <c r="H135" s="48"/>
      <c r="I135" s="48"/>
      <c r="J135" s="48"/>
      <c r="K135" s="48">
        <v>0</v>
      </c>
      <c r="L135" s="48"/>
      <c r="M135" s="48">
        <v>0</v>
      </c>
      <c r="N135" s="48">
        <v>38.700000000000003</v>
      </c>
      <c r="O135" s="48"/>
      <c r="P135" s="48"/>
      <c r="Q135" s="374">
        <f t="shared" si="13"/>
        <v>12.9</v>
      </c>
      <c r="R135" s="375" t="str">
        <f t="shared" si="14"/>
        <v>NO</v>
      </c>
      <c r="S135" s="376" t="str">
        <f t="shared" si="11"/>
        <v>Bajo</v>
      </c>
    </row>
    <row r="136" spans="1:19" s="117" customFormat="1" ht="32.1" customHeight="1" x14ac:dyDescent="0.2">
      <c r="A136" s="385" t="s">
        <v>108</v>
      </c>
      <c r="B136" s="387" t="s">
        <v>4024</v>
      </c>
      <c r="C136" s="388" t="s">
        <v>4363</v>
      </c>
      <c r="D136" s="364">
        <v>244</v>
      </c>
      <c r="E136" s="48"/>
      <c r="F136" s="48"/>
      <c r="G136" s="48"/>
      <c r="H136" s="48"/>
      <c r="I136" s="48"/>
      <c r="J136" s="48"/>
      <c r="K136" s="48">
        <v>0</v>
      </c>
      <c r="L136" s="48"/>
      <c r="M136" s="48">
        <v>0</v>
      </c>
      <c r="N136" s="48"/>
      <c r="O136" s="48">
        <v>17.399999999999999</v>
      </c>
      <c r="P136" s="48"/>
      <c r="Q136" s="374">
        <f t="shared" si="13"/>
        <v>5.8</v>
      </c>
      <c r="R136" s="375" t="str">
        <f t="shared" si="14"/>
        <v>NO</v>
      </c>
      <c r="S136" s="376" t="str">
        <f t="shared" si="11"/>
        <v>Bajo</v>
      </c>
    </row>
    <row r="137" spans="1:19" s="117" customFormat="1" ht="32.1" customHeight="1" x14ac:dyDescent="0.2">
      <c r="A137" s="385" t="s">
        <v>108</v>
      </c>
      <c r="B137" s="387" t="s">
        <v>4025</v>
      </c>
      <c r="C137" s="388" t="s">
        <v>4026</v>
      </c>
      <c r="D137" s="364">
        <v>940</v>
      </c>
      <c r="E137" s="48"/>
      <c r="F137" s="48"/>
      <c r="G137" s="48"/>
      <c r="H137" s="48"/>
      <c r="I137" s="48"/>
      <c r="J137" s="48"/>
      <c r="K137" s="48">
        <v>8.7200000000000006</v>
      </c>
      <c r="L137" s="48"/>
      <c r="M137" s="48">
        <v>0</v>
      </c>
      <c r="N137" s="48">
        <v>13.5</v>
      </c>
      <c r="O137" s="48">
        <v>0</v>
      </c>
      <c r="P137" s="48"/>
      <c r="Q137" s="374">
        <f t="shared" si="13"/>
        <v>5.5549999999999997</v>
      </c>
      <c r="R137" s="375" t="str">
        <f t="shared" si="14"/>
        <v>NO</v>
      </c>
      <c r="S137" s="376" t="str">
        <f t="shared" si="11"/>
        <v>Bajo</v>
      </c>
    </row>
    <row r="138" spans="1:19" s="117" customFormat="1" ht="32.1" customHeight="1" x14ac:dyDescent="0.2">
      <c r="A138" s="385" t="s">
        <v>108</v>
      </c>
      <c r="B138" s="387" t="s">
        <v>488</v>
      </c>
      <c r="C138" s="387" t="s">
        <v>488</v>
      </c>
      <c r="D138" s="364">
        <v>313</v>
      </c>
      <c r="E138" s="48"/>
      <c r="F138" s="48"/>
      <c r="G138" s="48"/>
      <c r="H138" s="48"/>
      <c r="I138" s="48"/>
      <c r="J138" s="48"/>
      <c r="K138" s="48"/>
      <c r="L138" s="48">
        <v>17.440000000000001</v>
      </c>
      <c r="M138" s="48">
        <v>0</v>
      </c>
      <c r="N138" s="48">
        <v>0</v>
      </c>
      <c r="O138" s="48"/>
      <c r="P138" s="48"/>
      <c r="Q138" s="374">
        <f>AVERAGE(E138:P138)</f>
        <v>5.8133333333333335</v>
      </c>
      <c r="R138" s="375" t="str">
        <f>IF(Q138&lt;5,"SI","NO")</f>
        <v>NO</v>
      </c>
      <c r="S138" s="376" t="str">
        <f>IF(Q138&lt;5,"Sin Riesgo",IF(Q138 &lt;=14,"Bajo",IF(Q138&lt;=35,"Medio",IF(Q138&lt;=80,"Alto","Inviable Sanitariamente"))))</f>
        <v>Bajo</v>
      </c>
    </row>
    <row r="139" spans="1:19" s="117" customFormat="1" ht="32.1" customHeight="1" x14ac:dyDescent="0.2">
      <c r="A139" s="385" t="s">
        <v>108</v>
      </c>
      <c r="B139" s="387" t="s">
        <v>4027</v>
      </c>
      <c r="C139" s="387" t="s">
        <v>4028</v>
      </c>
      <c r="D139" s="364">
        <v>375</v>
      </c>
      <c r="E139" s="48"/>
      <c r="F139" s="48"/>
      <c r="G139" s="48"/>
      <c r="H139" s="48"/>
      <c r="I139" s="48"/>
      <c r="J139" s="48"/>
      <c r="K139" s="48">
        <v>0</v>
      </c>
      <c r="L139" s="48"/>
      <c r="M139" s="48">
        <v>19.600000000000001</v>
      </c>
      <c r="N139" s="48">
        <v>19.3</v>
      </c>
      <c r="O139" s="48"/>
      <c r="P139" s="48"/>
      <c r="Q139" s="374">
        <f t="shared" si="13"/>
        <v>12.966666666666669</v>
      </c>
      <c r="R139" s="375" t="str">
        <f t="shared" si="14"/>
        <v>NO</v>
      </c>
      <c r="S139" s="376" t="str">
        <f t="shared" si="11"/>
        <v>Bajo</v>
      </c>
    </row>
    <row r="140" spans="1:19" s="117" customFormat="1" ht="32.1" customHeight="1" x14ac:dyDescent="0.2">
      <c r="A140" s="385" t="s">
        <v>108</v>
      </c>
      <c r="B140" s="387" t="s">
        <v>4029</v>
      </c>
      <c r="C140" s="388" t="s">
        <v>4030</v>
      </c>
      <c r="D140" s="364">
        <v>232</v>
      </c>
      <c r="E140" s="48"/>
      <c r="F140" s="48"/>
      <c r="G140" s="48"/>
      <c r="H140" s="48"/>
      <c r="I140" s="48"/>
      <c r="J140" s="48"/>
      <c r="K140" s="48">
        <v>17.399999999999999</v>
      </c>
      <c r="L140" s="48">
        <v>17.399999999999999</v>
      </c>
      <c r="M140" s="48"/>
      <c r="N140" s="48">
        <v>36.799999999999997</v>
      </c>
      <c r="O140" s="48">
        <v>17.399999999999999</v>
      </c>
      <c r="P140" s="48"/>
      <c r="Q140" s="374">
        <f t="shared" si="13"/>
        <v>22.25</v>
      </c>
      <c r="R140" s="375" t="str">
        <f t="shared" si="14"/>
        <v>NO</v>
      </c>
      <c r="S140" s="376" t="str">
        <f t="shared" si="11"/>
        <v>Medio</v>
      </c>
    </row>
    <row r="141" spans="1:19" s="117" customFormat="1" ht="32.1" customHeight="1" x14ac:dyDescent="0.2">
      <c r="A141" s="385" t="s">
        <v>108</v>
      </c>
      <c r="B141" s="387" t="s">
        <v>4029</v>
      </c>
      <c r="C141" s="388" t="s">
        <v>4031</v>
      </c>
      <c r="D141" s="364">
        <v>150</v>
      </c>
      <c r="E141" s="48"/>
      <c r="F141" s="48"/>
      <c r="G141" s="48"/>
      <c r="H141" s="48"/>
      <c r="I141" s="48"/>
      <c r="J141" s="48"/>
      <c r="K141" s="48">
        <v>24.4</v>
      </c>
      <c r="L141" s="48"/>
      <c r="M141" s="48"/>
      <c r="N141" s="48">
        <v>37.200000000000003</v>
      </c>
      <c r="O141" s="48">
        <v>0</v>
      </c>
      <c r="P141" s="48"/>
      <c r="Q141" s="374">
        <f t="shared" si="13"/>
        <v>20.533333333333335</v>
      </c>
      <c r="R141" s="375" t="str">
        <f t="shared" si="14"/>
        <v>NO</v>
      </c>
      <c r="S141" s="376" t="str">
        <f t="shared" si="11"/>
        <v>Medio</v>
      </c>
    </row>
    <row r="142" spans="1:19" s="117" customFormat="1" ht="32.1" customHeight="1" x14ac:dyDescent="0.2">
      <c r="A142" s="385" t="s">
        <v>108</v>
      </c>
      <c r="B142" s="387" t="s">
        <v>747</v>
      </c>
      <c r="C142" s="388" t="s">
        <v>4032</v>
      </c>
      <c r="D142" s="364">
        <v>435</v>
      </c>
      <c r="E142" s="48"/>
      <c r="F142" s="48"/>
      <c r="G142" s="48"/>
      <c r="H142" s="48"/>
      <c r="I142" s="48"/>
      <c r="J142" s="48"/>
      <c r="K142" s="48"/>
      <c r="L142" s="48">
        <v>17.399999999999999</v>
      </c>
      <c r="M142" s="48"/>
      <c r="N142" s="48">
        <v>25.7</v>
      </c>
      <c r="O142" s="48">
        <v>34.799999999999997</v>
      </c>
      <c r="P142" s="48"/>
      <c r="Q142" s="374">
        <f t="shared" si="13"/>
        <v>25.966666666666665</v>
      </c>
      <c r="R142" s="375" t="str">
        <f t="shared" si="14"/>
        <v>NO</v>
      </c>
      <c r="S142" s="376" t="str">
        <f t="shared" si="11"/>
        <v>Medio</v>
      </c>
    </row>
    <row r="143" spans="1:19" s="117" customFormat="1" ht="32.1" customHeight="1" x14ac:dyDescent="0.2">
      <c r="A143" s="385" t="s">
        <v>108</v>
      </c>
      <c r="B143" s="387" t="s">
        <v>4033</v>
      </c>
      <c r="C143" s="388" t="s">
        <v>4034</v>
      </c>
      <c r="D143" s="364">
        <v>1886</v>
      </c>
      <c r="E143" s="48"/>
      <c r="F143" s="48"/>
      <c r="G143" s="48"/>
      <c r="H143" s="48"/>
      <c r="I143" s="48"/>
      <c r="J143" s="48"/>
      <c r="K143" s="48">
        <v>0</v>
      </c>
      <c r="L143" s="48">
        <v>17</v>
      </c>
      <c r="M143" s="48">
        <v>1.2</v>
      </c>
      <c r="N143" s="48">
        <v>0</v>
      </c>
      <c r="O143" s="48">
        <v>0</v>
      </c>
      <c r="P143" s="48"/>
      <c r="Q143" s="374">
        <f t="shared" si="13"/>
        <v>3.6399999999999997</v>
      </c>
      <c r="R143" s="375" t="str">
        <f t="shared" si="14"/>
        <v>SI</v>
      </c>
      <c r="S143" s="376" t="str">
        <f t="shared" si="11"/>
        <v>Sin Riesgo</v>
      </c>
    </row>
    <row r="144" spans="1:19" s="117" customFormat="1" ht="32.1" customHeight="1" x14ac:dyDescent="0.2">
      <c r="A144" s="385" t="s">
        <v>108</v>
      </c>
      <c r="B144" s="387" t="s">
        <v>4364</v>
      </c>
      <c r="C144" s="388" t="s">
        <v>4365</v>
      </c>
      <c r="D144" s="364">
        <v>143</v>
      </c>
      <c r="E144" s="48"/>
      <c r="F144" s="48"/>
      <c r="G144" s="48"/>
      <c r="H144" s="48"/>
      <c r="I144" s="48"/>
      <c r="J144" s="48"/>
      <c r="K144" s="48">
        <v>0</v>
      </c>
      <c r="L144" s="48"/>
      <c r="M144" s="48">
        <v>18.399999999999999</v>
      </c>
      <c r="N144" s="48">
        <v>19.3</v>
      </c>
      <c r="O144" s="48"/>
      <c r="P144" s="48"/>
      <c r="Q144" s="374">
        <f t="shared" si="13"/>
        <v>12.566666666666668</v>
      </c>
      <c r="R144" s="375" t="str">
        <f t="shared" si="14"/>
        <v>NO</v>
      </c>
      <c r="S144" s="376" t="str">
        <f t="shared" si="11"/>
        <v>Bajo</v>
      </c>
    </row>
    <row r="145" spans="1:19" s="117" customFormat="1" ht="32.1" customHeight="1" x14ac:dyDescent="0.2">
      <c r="A145" s="385" t="s">
        <v>108</v>
      </c>
      <c r="B145" s="387" t="s">
        <v>4035</v>
      </c>
      <c r="C145" s="388" t="s">
        <v>4036</v>
      </c>
      <c r="D145" s="364">
        <v>164</v>
      </c>
      <c r="E145" s="48"/>
      <c r="F145" s="48"/>
      <c r="G145" s="48"/>
      <c r="H145" s="48"/>
      <c r="I145" s="48"/>
      <c r="J145" s="48"/>
      <c r="K145" s="48"/>
      <c r="L145" s="48">
        <v>0</v>
      </c>
      <c r="M145" s="48"/>
      <c r="N145" s="48">
        <v>0</v>
      </c>
      <c r="O145" s="48">
        <v>0</v>
      </c>
      <c r="P145" s="48"/>
      <c r="Q145" s="374">
        <f t="shared" si="13"/>
        <v>0</v>
      </c>
      <c r="R145" s="375" t="str">
        <f t="shared" si="14"/>
        <v>SI</v>
      </c>
      <c r="S145" s="376" t="str">
        <f t="shared" si="11"/>
        <v>Sin Riesgo</v>
      </c>
    </row>
    <row r="146" spans="1:19" s="117" customFormat="1" ht="32.1" customHeight="1" x14ac:dyDescent="0.2">
      <c r="A146" s="385" t="s">
        <v>108</v>
      </c>
      <c r="B146" s="387" t="s">
        <v>4037</v>
      </c>
      <c r="C146" s="388" t="s">
        <v>4038</v>
      </c>
      <c r="D146" s="364">
        <v>254</v>
      </c>
      <c r="E146" s="48"/>
      <c r="F146" s="48"/>
      <c r="G146" s="48"/>
      <c r="H146" s="48"/>
      <c r="I146" s="48"/>
      <c r="J146" s="48"/>
      <c r="K146" s="48"/>
      <c r="L146" s="48" t="s">
        <v>4366</v>
      </c>
      <c r="M146" s="48">
        <v>44.17</v>
      </c>
      <c r="N146" s="48">
        <v>38.700000000000003</v>
      </c>
      <c r="O146" s="48"/>
      <c r="P146" s="48"/>
      <c r="Q146" s="374">
        <f t="shared" si="13"/>
        <v>41.435000000000002</v>
      </c>
      <c r="R146" s="375" t="str">
        <f t="shared" si="14"/>
        <v>NO</v>
      </c>
      <c r="S146" s="376" t="str">
        <f t="shared" si="11"/>
        <v>Alto</v>
      </c>
    </row>
    <row r="147" spans="1:19" s="117" customFormat="1" ht="46.5" customHeight="1" x14ac:dyDescent="0.2">
      <c r="A147" s="361" t="s">
        <v>80</v>
      </c>
      <c r="B147" s="362" t="s">
        <v>4367</v>
      </c>
      <c r="C147" s="362" t="s">
        <v>4368</v>
      </c>
      <c r="D147" s="364">
        <v>320</v>
      </c>
      <c r="E147" s="48"/>
      <c r="F147" s="48">
        <v>0</v>
      </c>
      <c r="G147" s="48"/>
      <c r="H147" s="48">
        <v>7.74</v>
      </c>
      <c r="I147" s="48">
        <v>0</v>
      </c>
      <c r="J147" s="48">
        <v>0</v>
      </c>
      <c r="K147" s="48">
        <v>7.741935483870968</v>
      </c>
      <c r="L147" s="48">
        <v>7.741935483870968</v>
      </c>
      <c r="M147" s="48">
        <v>7.741935483870968</v>
      </c>
      <c r="N147" s="48">
        <v>7.741935483870968</v>
      </c>
      <c r="O147" s="48">
        <v>0</v>
      </c>
      <c r="P147" s="48">
        <v>22.58</v>
      </c>
      <c r="Q147" s="374">
        <f t="shared" si="13"/>
        <v>6.128774193548387</v>
      </c>
      <c r="R147" s="375" t="str">
        <f t="shared" si="14"/>
        <v>NO</v>
      </c>
      <c r="S147" s="376" t="str">
        <f t="shared" si="11"/>
        <v>Bajo</v>
      </c>
    </row>
    <row r="148" spans="1:19" s="117" customFormat="1" ht="48" customHeight="1" x14ac:dyDescent="0.2">
      <c r="A148" s="361" t="s">
        <v>80</v>
      </c>
      <c r="B148" s="362" t="s">
        <v>449</v>
      </c>
      <c r="C148" s="362" t="s">
        <v>4369</v>
      </c>
      <c r="D148" s="364">
        <v>255</v>
      </c>
      <c r="E148" s="48"/>
      <c r="F148" s="48">
        <v>0</v>
      </c>
      <c r="G148" s="48"/>
      <c r="H148" s="48">
        <v>7.74</v>
      </c>
      <c r="I148" s="48">
        <v>0</v>
      </c>
      <c r="J148" s="48">
        <v>0</v>
      </c>
      <c r="K148" s="48">
        <v>27.096774193548391</v>
      </c>
      <c r="L148" s="48">
        <v>0</v>
      </c>
      <c r="M148" s="48">
        <v>0</v>
      </c>
      <c r="N148" s="48">
        <v>27.096774193548391</v>
      </c>
      <c r="O148" s="48">
        <v>46.451612903225808</v>
      </c>
      <c r="P148" s="48">
        <v>38.71</v>
      </c>
      <c r="Q148" s="374">
        <f t="shared" si="13"/>
        <v>14.709516129032261</v>
      </c>
      <c r="R148" s="375" t="str">
        <f t="shared" si="14"/>
        <v>NO</v>
      </c>
      <c r="S148" s="376" t="str">
        <f t="shared" si="11"/>
        <v>Medio</v>
      </c>
    </row>
    <row r="149" spans="1:19" s="117" customFormat="1" ht="48" customHeight="1" x14ac:dyDescent="0.2">
      <c r="A149" s="361" t="s">
        <v>80</v>
      </c>
      <c r="B149" s="362" t="s">
        <v>4370</v>
      </c>
      <c r="C149" s="362" t="s">
        <v>4371</v>
      </c>
      <c r="D149" s="364">
        <v>35</v>
      </c>
      <c r="E149" s="48"/>
      <c r="F149" s="48">
        <v>0</v>
      </c>
      <c r="G149" s="48"/>
      <c r="H149" s="48">
        <v>27.1</v>
      </c>
      <c r="I149" s="48">
        <v>19.350000000000001</v>
      </c>
      <c r="J149" s="48">
        <v>0</v>
      </c>
      <c r="K149" s="48">
        <v>0</v>
      </c>
      <c r="L149" s="48">
        <v>19.35483870967742</v>
      </c>
      <c r="M149" s="48">
        <v>9.67741935483871</v>
      </c>
      <c r="N149" s="48">
        <v>0</v>
      </c>
      <c r="O149" s="48">
        <v>19.35483870967742</v>
      </c>
      <c r="P149" s="48">
        <v>0</v>
      </c>
      <c r="Q149" s="374">
        <f t="shared" si="13"/>
        <v>9.4837096774193554</v>
      </c>
      <c r="R149" s="375" t="str">
        <f t="shared" si="14"/>
        <v>NO</v>
      </c>
      <c r="S149" s="376" t="str">
        <f t="shared" si="11"/>
        <v>Bajo</v>
      </c>
    </row>
    <row r="150" spans="1:19" s="117" customFormat="1" ht="32.1" customHeight="1" x14ac:dyDescent="0.2">
      <c r="A150" s="361" t="s">
        <v>80</v>
      </c>
      <c r="B150" s="362" t="s">
        <v>85</v>
      </c>
      <c r="C150" s="362" t="s">
        <v>84</v>
      </c>
      <c r="D150" s="364">
        <v>123</v>
      </c>
      <c r="E150" s="48"/>
      <c r="F150" s="48">
        <v>19.350000000000001</v>
      </c>
      <c r="G150" s="48"/>
      <c r="H150" s="48">
        <v>0</v>
      </c>
      <c r="I150" s="48">
        <v>46.45</v>
      </c>
      <c r="J150" s="48">
        <v>19.350000000000001</v>
      </c>
      <c r="K150" s="48" t="s">
        <v>4372</v>
      </c>
      <c r="L150" s="48">
        <v>27.096774193548391</v>
      </c>
      <c r="M150" s="48">
        <v>27.096774193548391</v>
      </c>
      <c r="N150" s="48">
        <v>78.709677419354847</v>
      </c>
      <c r="O150" s="48" t="s">
        <v>4372</v>
      </c>
      <c r="P150" s="48">
        <v>22.58</v>
      </c>
      <c r="Q150" s="389">
        <f t="shared" si="13"/>
        <v>30.079153225806451</v>
      </c>
      <c r="R150" s="375" t="str">
        <f t="shared" si="14"/>
        <v>NO</v>
      </c>
      <c r="S150" s="376" t="str">
        <f t="shared" si="11"/>
        <v>Medio</v>
      </c>
    </row>
    <row r="151" spans="1:19" s="117" customFormat="1" ht="32.1" customHeight="1" x14ac:dyDescent="0.2">
      <c r="A151" s="361" t="s">
        <v>80</v>
      </c>
      <c r="B151" s="362" t="s">
        <v>4373</v>
      </c>
      <c r="C151" s="362" t="s">
        <v>4374</v>
      </c>
      <c r="D151" s="364">
        <v>180</v>
      </c>
      <c r="E151" s="48"/>
      <c r="F151" s="48"/>
      <c r="G151" s="48"/>
      <c r="H151" s="48">
        <v>19.350000000000001</v>
      </c>
      <c r="I151" s="48">
        <v>0</v>
      </c>
      <c r="J151" s="48">
        <v>7.74</v>
      </c>
      <c r="K151" s="48">
        <v>46.451612903225808</v>
      </c>
      <c r="L151" s="48">
        <v>27.096774193548391</v>
      </c>
      <c r="M151" s="48">
        <v>0</v>
      </c>
      <c r="N151" s="48">
        <v>27.096774193548391</v>
      </c>
      <c r="O151" s="48">
        <v>98.064516129032256</v>
      </c>
      <c r="P151" s="48">
        <v>0</v>
      </c>
      <c r="Q151" s="374">
        <f t="shared" si="13"/>
        <v>25.088853046594984</v>
      </c>
      <c r="R151" s="375" t="str">
        <f t="shared" si="14"/>
        <v>NO</v>
      </c>
      <c r="S151" s="376" t="str">
        <f t="shared" si="11"/>
        <v>Medio</v>
      </c>
    </row>
    <row r="152" spans="1:19" s="117" customFormat="1" ht="32.1" customHeight="1" x14ac:dyDescent="0.2">
      <c r="A152" s="361" t="s">
        <v>80</v>
      </c>
      <c r="B152" s="362" t="s">
        <v>52</v>
      </c>
      <c r="C152" s="362" t="s">
        <v>4375</v>
      </c>
      <c r="D152" s="364">
        <v>135</v>
      </c>
      <c r="E152" s="48"/>
      <c r="F152" s="48">
        <v>27.1</v>
      </c>
      <c r="G152" s="48"/>
      <c r="H152" s="48">
        <v>27.1</v>
      </c>
      <c r="I152" s="48">
        <v>27.1</v>
      </c>
      <c r="J152" s="48">
        <v>21.1</v>
      </c>
      <c r="K152" s="48" t="s">
        <v>4372</v>
      </c>
      <c r="L152" s="48">
        <v>98.064516129032256</v>
      </c>
      <c r="M152" s="48">
        <v>46.451612903225808</v>
      </c>
      <c r="N152" s="48">
        <v>27.096774193548391</v>
      </c>
      <c r="O152" s="48">
        <v>98.064516129032256</v>
      </c>
      <c r="P152" s="48">
        <v>84.95</v>
      </c>
      <c r="Q152" s="374">
        <f t="shared" si="13"/>
        <v>50.780824372759859</v>
      </c>
      <c r="R152" s="375" t="str">
        <f t="shared" si="14"/>
        <v>NO</v>
      </c>
      <c r="S152" s="376" t="str">
        <f t="shared" si="11"/>
        <v>Alto</v>
      </c>
    </row>
    <row r="153" spans="1:19" s="117" customFormat="1" ht="32.1" customHeight="1" x14ac:dyDescent="0.2">
      <c r="A153" s="361" t="s">
        <v>80</v>
      </c>
      <c r="B153" s="362" t="s">
        <v>303</v>
      </c>
      <c r="C153" s="362" t="s">
        <v>4376</v>
      </c>
      <c r="D153" s="364">
        <v>18</v>
      </c>
      <c r="E153" s="48"/>
      <c r="F153" s="48"/>
      <c r="G153" s="48"/>
      <c r="H153" s="48"/>
      <c r="I153" s="48"/>
      <c r="J153" s="48"/>
      <c r="K153" s="48">
        <v>78.709677419354847</v>
      </c>
      <c r="L153" s="48" t="s">
        <v>4372</v>
      </c>
      <c r="M153" s="48" t="s">
        <v>4372</v>
      </c>
      <c r="N153" s="48" t="s">
        <v>4372</v>
      </c>
      <c r="O153" s="48" t="s">
        <v>4372</v>
      </c>
      <c r="P153" s="48">
        <v>78.709677419354847</v>
      </c>
      <c r="Q153" s="374">
        <f t="shared" si="13"/>
        <v>78.709677419354847</v>
      </c>
      <c r="R153" s="375" t="str">
        <f t="shared" si="14"/>
        <v>NO</v>
      </c>
      <c r="S153" s="376" t="str">
        <f t="shared" si="11"/>
        <v>Alto</v>
      </c>
    </row>
    <row r="154" spans="1:19" s="117" customFormat="1" ht="32.1" customHeight="1" x14ac:dyDescent="0.2">
      <c r="A154" s="361" t="s">
        <v>80</v>
      </c>
      <c r="B154" s="362" t="s">
        <v>4013</v>
      </c>
      <c r="C154" s="362" t="s">
        <v>308</v>
      </c>
      <c r="D154" s="364">
        <v>40</v>
      </c>
      <c r="E154" s="48"/>
      <c r="F154" s="48"/>
      <c r="G154" s="48"/>
      <c r="H154" s="48"/>
      <c r="I154" s="48"/>
      <c r="J154" s="48">
        <v>78.7</v>
      </c>
      <c r="K154" s="48"/>
      <c r="L154" s="48"/>
      <c r="M154" s="48"/>
      <c r="N154" s="48"/>
      <c r="O154" s="48">
        <v>71</v>
      </c>
      <c r="P154" s="48"/>
      <c r="Q154" s="374">
        <f t="shared" si="13"/>
        <v>74.849999999999994</v>
      </c>
      <c r="R154" s="375" t="str">
        <f t="shared" si="14"/>
        <v>NO</v>
      </c>
      <c r="S154" s="376" t="str">
        <f t="shared" si="11"/>
        <v>Alto</v>
      </c>
    </row>
    <row r="155" spans="1:19" s="117" customFormat="1" ht="32.1" customHeight="1" x14ac:dyDescent="0.2">
      <c r="A155" s="361" t="s">
        <v>80</v>
      </c>
      <c r="B155" s="362" t="s">
        <v>1600</v>
      </c>
      <c r="C155" s="362" t="s">
        <v>4377</v>
      </c>
      <c r="D155" s="364">
        <v>285</v>
      </c>
      <c r="E155" s="48"/>
      <c r="F155" s="48"/>
      <c r="G155" s="48"/>
      <c r="H155" s="48">
        <v>0</v>
      </c>
      <c r="I155" s="48">
        <v>0</v>
      </c>
      <c r="J155" s="48">
        <v>0</v>
      </c>
      <c r="K155" s="48">
        <v>0</v>
      </c>
      <c r="L155" s="48">
        <v>7.741935483870968</v>
      </c>
      <c r="M155" s="48">
        <v>27.096774193548391</v>
      </c>
      <c r="N155" s="48">
        <v>0</v>
      </c>
      <c r="O155" s="48">
        <v>0</v>
      </c>
      <c r="P155" s="48">
        <v>0</v>
      </c>
      <c r="Q155" s="374">
        <f t="shared" si="13"/>
        <v>3.8709677419354844</v>
      </c>
      <c r="R155" s="375" t="str">
        <f t="shared" si="14"/>
        <v>SI</v>
      </c>
      <c r="S155" s="376" t="str">
        <f t="shared" si="11"/>
        <v>Sin Riesgo</v>
      </c>
    </row>
    <row r="156" spans="1:19" s="117" customFormat="1" ht="32.1" customHeight="1" x14ac:dyDescent="0.2">
      <c r="A156" s="361" t="s">
        <v>80</v>
      </c>
      <c r="B156" s="362" t="s">
        <v>4378</v>
      </c>
      <c r="C156" s="362" t="s">
        <v>4379</v>
      </c>
      <c r="D156" s="364">
        <v>700</v>
      </c>
      <c r="E156" s="48"/>
      <c r="F156" s="48"/>
      <c r="G156" s="48"/>
      <c r="H156" s="48">
        <v>19.350000000000001</v>
      </c>
      <c r="I156" s="48">
        <v>0</v>
      </c>
      <c r="J156" s="48">
        <v>27.1</v>
      </c>
      <c r="K156" s="48">
        <v>27.096774193548391</v>
      </c>
      <c r="L156" s="48">
        <v>7.741935483870968</v>
      </c>
      <c r="M156" s="48">
        <v>0</v>
      </c>
      <c r="N156" s="48">
        <v>0</v>
      </c>
      <c r="O156" s="48">
        <v>27.096774193548391</v>
      </c>
      <c r="P156" s="48">
        <v>0</v>
      </c>
      <c r="Q156" s="374">
        <f t="shared" si="13"/>
        <v>12.042831541218639</v>
      </c>
      <c r="R156" s="375" t="str">
        <f t="shared" si="14"/>
        <v>NO</v>
      </c>
      <c r="S156" s="376" t="str">
        <f t="shared" si="11"/>
        <v>Bajo</v>
      </c>
    </row>
    <row r="157" spans="1:19" s="117" customFormat="1" ht="46.5" customHeight="1" x14ac:dyDescent="0.2">
      <c r="A157" s="361" t="s">
        <v>80</v>
      </c>
      <c r="B157" s="362" t="s">
        <v>4380</v>
      </c>
      <c r="C157" s="362" t="s">
        <v>4381</v>
      </c>
      <c r="D157" s="364">
        <v>158</v>
      </c>
      <c r="E157" s="48"/>
      <c r="F157" s="48"/>
      <c r="G157" s="48"/>
      <c r="H157" s="48">
        <v>0</v>
      </c>
      <c r="I157" s="48">
        <v>0</v>
      </c>
      <c r="J157" s="48">
        <v>78.709999999999994</v>
      </c>
      <c r="K157" s="48">
        <v>27.096774193548391</v>
      </c>
      <c r="L157" s="48">
        <v>98.064516129032256</v>
      </c>
      <c r="M157" s="48">
        <v>27.096774193548391</v>
      </c>
      <c r="N157" s="48">
        <v>46.451612903225808</v>
      </c>
      <c r="O157" s="48">
        <v>27.096774193548391</v>
      </c>
      <c r="P157" s="48">
        <v>0</v>
      </c>
      <c r="Q157" s="374">
        <f t="shared" si="13"/>
        <v>33.835161290322588</v>
      </c>
      <c r="R157" s="375" t="str">
        <f t="shared" si="14"/>
        <v>NO</v>
      </c>
      <c r="S157" s="376" t="str">
        <f t="shared" si="11"/>
        <v>Medio</v>
      </c>
    </row>
    <row r="158" spans="1:19" s="117" customFormat="1" ht="44.25" customHeight="1" x14ac:dyDescent="0.2">
      <c r="A158" s="361" t="s">
        <v>80</v>
      </c>
      <c r="B158" s="362" t="s">
        <v>234</v>
      </c>
      <c r="C158" s="362" t="s">
        <v>4382</v>
      </c>
      <c r="D158" s="364">
        <v>351</v>
      </c>
      <c r="E158" s="48"/>
      <c r="F158" s="48">
        <v>0</v>
      </c>
      <c r="G158" s="48"/>
      <c r="H158" s="48">
        <v>19.350000000000001</v>
      </c>
      <c r="I158" s="48">
        <v>0</v>
      </c>
      <c r="J158" s="48">
        <v>0</v>
      </c>
      <c r="K158" s="48">
        <v>27.096774193548391</v>
      </c>
      <c r="L158" s="48">
        <v>7.741935483870968</v>
      </c>
      <c r="M158" s="48">
        <v>27.096774193548391</v>
      </c>
      <c r="N158" s="48">
        <v>46.451612903225808</v>
      </c>
      <c r="O158" s="48">
        <v>27.096774193548391</v>
      </c>
      <c r="P158" s="48">
        <v>65.59</v>
      </c>
      <c r="Q158" s="374">
        <f t="shared" si="13"/>
        <v>22.042387096774195</v>
      </c>
      <c r="R158" s="375" t="str">
        <f t="shared" si="14"/>
        <v>NO</v>
      </c>
      <c r="S158" s="376" t="str">
        <f t="shared" si="11"/>
        <v>Medio</v>
      </c>
    </row>
    <row r="159" spans="1:19" s="117" customFormat="1" ht="32.1" customHeight="1" x14ac:dyDescent="0.2">
      <c r="A159" s="361" t="s">
        <v>80</v>
      </c>
      <c r="B159" s="362" t="s">
        <v>4383</v>
      </c>
      <c r="C159" s="362" t="s">
        <v>4384</v>
      </c>
      <c r="D159" s="364">
        <v>125</v>
      </c>
      <c r="E159" s="48"/>
      <c r="F159" s="48"/>
      <c r="G159" s="48"/>
      <c r="H159" s="48"/>
      <c r="I159" s="48">
        <v>7.74</v>
      </c>
      <c r="J159" s="48">
        <v>70.97</v>
      </c>
      <c r="K159" s="48">
        <v>46.451612903225808</v>
      </c>
      <c r="L159" s="48">
        <v>0</v>
      </c>
      <c r="M159" s="48">
        <v>46.451612903225808</v>
      </c>
      <c r="N159" s="48">
        <v>7.741935483870968</v>
      </c>
      <c r="O159" s="48">
        <v>27.096774193548391</v>
      </c>
      <c r="P159" s="48">
        <v>19.350000000000001</v>
      </c>
      <c r="Q159" s="374">
        <f t="shared" si="13"/>
        <v>28.225241935483872</v>
      </c>
      <c r="R159" s="375" t="str">
        <f t="shared" si="14"/>
        <v>NO</v>
      </c>
      <c r="S159" s="376" t="str">
        <f t="shared" si="11"/>
        <v>Medio</v>
      </c>
    </row>
    <row r="160" spans="1:19" s="117" customFormat="1" ht="32.1" customHeight="1" x14ac:dyDescent="0.2">
      <c r="A160" s="361" t="s">
        <v>80</v>
      </c>
      <c r="B160" s="362" t="s">
        <v>3999</v>
      </c>
      <c r="C160" s="362" t="s">
        <v>4385</v>
      </c>
      <c r="D160" s="364">
        <v>124</v>
      </c>
      <c r="E160" s="48"/>
      <c r="F160" s="48"/>
      <c r="G160" s="48"/>
      <c r="H160" s="48"/>
      <c r="I160" s="48"/>
      <c r="J160" s="48"/>
      <c r="K160" s="48">
        <v>98.064516129032256</v>
      </c>
      <c r="L160" s="48" t="s">
        <v>4372</v>
      </c>
      <c r="M160" s="48" t="s">
        <v>4372</v>
      </c>
      <c r="N160" s="48" t="s">
        <v>4372</v>
      </c>
      <c r="O160" s="48" t="s">
        <v>4372</v>
      </c>
      <c r="P160" s="48">
        <v>78.709677419354847</v>
      </c>
      <c r="Q160" s="374">
        <f t="shared" si="13"/>
        <v>88.387096774193552</v>
      </c>
      <c r="R160" s="375" t="str">
        <f t="shared" si="14"/>
        <v>NO</v>
      </c>
      <c r="S160" s="376" t="str">
        <f t="shared" si="11"/>
        <v>Inviable Sanitariamente</v>
      </c>
    </row>
    <row r="161" spans="1:19" s="117" customFormat="1" ht="32.1" customHeight="1" x14ac:dyDescent="0.2">
      <c r="A161" s="361" t="s">
        <v>80</v>
      </c>
      <c r="B161" s="362" t="s">
        <v>8</v>
      </c>
      <c r="C161" s="362" t="s">
        <v>4386</v>
      </c>
      <c r="D161" s="364">
        <v>340</v>
      </c>
      <c r="E161" s="48"/>
      <c r="F161" s="48">
        <v>1.94</v>
      </c>
      <c r="G161" s="48"/>
      <c r="H161" s="48">
        <v>0</v>
      </c>
      <c r="I161" s="48">
        <v>19.350000000000001</v>
      </c>
      <c r="J161" s="48">
        <v>0</v>
      </c>
      <c r="K161" s="48">
        <v>19.35483870967742</v>
      </c>
      <c r="L161" s="48">
        <v>7.741935483870968</v>
      </c>
      <c r="M161" s="48">
        <v>78.709677419354847</v>
      </c>
      <c r="N161" s="48">
        <v>46.451612903225808</v>
      </c>
      <c r="O161" s="48">
        <v>27.096774193548391</v>
      </c>
      <c r="P161" s="48">
        <v>40.32</v>
      </c>
      <c r="Q161" s="374">
        <f t="shared" ref="Q161:Q177" si="15">AVERAGE(E161:P161)</f>
        <v>24.096483870967742</v>
      </c>
      <c r="R161" s="375" t="str">
        <f t="shared" ref="R161:R177" si="16">IF(Q161&lt;5,"SI","NO")</f>
        <v>NO</v>
      </c>
      <c r="S161" s="376" t="str">
        <f t="shared" ref="S161:S225" si="17">IF(Q161&lt;5,"Sin Riesgo",IF(Q161 &lt;=14,"Bajo",IF(Q161&lt;=35,"Medio",IF(Q161&lt;=80,"Alto","Inviable Sanitariamente"))))</f>
        <v>Medio</v>
      </c>
    </row>
    <row r="162" spans="1:19" s="117" customFormat="1" ht="32.1" customHeight="1" x14ac:dyDescent="0.2">
      <c r="A162" s="361" t="s">
        <v>80</v>
      </c>
      <c r="B162" s="362" t="s">
        <v>4014</v>
      </c>
      <c r="C162" s="362" t="s">
        <v>4015</v>
      </c>
      <c r="D162" s="364">
        <v>19</v>
      </c>
      <c r="E162" s="48"/>
      <c r="F162" s="48"/>
      <c r="G162" s="48"/>
      <c r="H162" s="48"/>
      <c r="I162" s="48"/>
      <c r="J162" s="48">
        <v>19.399999999999999</v>
      </c>
      <c r="K162" s="48"/>
      <c r="L162" s="48"/>
      <c r="M162" s="48"/>
      <c r="N162" s="48"/>
      <c r="O162" s="48">
        <v>19.399999999999999</v>
      </c>
      <c r="P162" s="48"/>
      <c r="Q162" s="374">
        <f t="shared" si="15"/>
        <v>19.399999999999999</v>
      </c>
      <c r="R162" s="375" t="str">
        <f t="shared" si="16"/>
        <v>NO</v>
      </c>
      <c r="S162" s="376" t="str">
        <f t="shared" si="17"/>
        <v>Medio</v>
      </c>
    </row>
    <row r="163" spans="1:19" s="117" customFormat="1" ht="32.1" customHeight="1" x14ac:dyDescent="0.2">
      <c r="A163" s="361" t="s">
        <v>80</v>
      </c>
      <c r="B163" s="362" t="s">
        <v>12</v>
      </c>
      <c r="C163" s="362" t="s">
        <v>272</v>
      </c>
      <c r="D163" s="364">
        <v>67</v>
      </c>
      <c r="E163" s="48"/>
      <c r="F163" s="48"/>
      <c r="G163" s="48"/>
      <c r="H163" s="48"/>
      <c r="I163" s="48"/>
      <c r="J163" s="48"/>
      <c r="K163" s="48">
        <v>98.064516129032256</v>
      </c>
      <c r="L163" s="48" t="s">
        <v>4372</v>
      </c>
      <c r="M163" s="48" t="s">
        <v>4372</v>
      </c>
      <c r="N163" s="48" t="s">
        <v>4372</v>
      </c>
      <c r="O163" s="48" t="s">
        <v>4372</v>
      </c>
      <c r="P163" s="48">
        <v>98.064516129032256</v>
      </c>
      <c r="Q163" s="374">
        <f t="shared" si="15"/>
        <v>98.064516129032256</v>
      </c>
      <c r="R163" s="375" t="str">
        <f t="shared" si="16"/>
        <v>NO</v>
      </c>
      <c r="S163" s="376" t="str">
        <f t="shared" si="17"/>
        <v>Inviable Sanitariamente</v>
      </c>
    </row>
    <row r="164" spans="1:19" s="117" customFormat="1" ht="32.1" customHeight="1" x14ac:dyDescent="0.2">
      <c r="A164" s="361" t="s">
        <v>80</v>
      </c>
      <c r="B164" s="362" t="s">
        <v>457</v>
      </c>
      <c r="C164" s="362" t="s">
        <v>4387</v>
      </c>
      <c r="D164" s="364">
        <v>50</v>
      </c>
      <c r="E164" s="48"/>
      <c r="F164" s="48"/>
      <c r="G164" s="48"/>
      <c r="H164" s="48"/>
      <c r="I164" s="48"/>
      <c r="J164" s="48"/>
      <c r="K164" s="48">
        <v>98.064516129032256</v>
      </c>
      <c r="L164" s="48" t="s">
        <v>4372</v>
      </c>
      <c r="M164" s="48" t="s">
        <v>4372</v>
      </c>
      <c r="N164" s="48" t="s">
        <v>4372</v>
      </c>
      <c r="O164" s="48" t="s">
        <v>4372</v>
      </c>
      <c r="P164" s="48">
        <v>78.709677419354847</v>
      </c>
      <c r="Q164" s="374">
        <f t="shared" si="15"/>
        <v>88.387096774193552</v>
      </c>
      <c r="R164" s="375" t="str">
        <f t="shared" si="16"/>
        <v>NO</v>
      </c>
      <c r="S164" s="376" t="str">
        <f t="shared" si="17"/>
        <v>Inviable Sanitariamente</v>
      </c>
    </row>
    <row r="165" spans="1:19" s="117" customFormat="1" ht="32.1" customHeight="1" x14ac:dyDescent="0.2">
      <c r="A165" s="361" t="s">
        <v>80</v>
      </c>
      <c r="B165" s="362" t="s">
        <v>4016</v>
      </c>
      <c r="C165" s="362" t="s">
        <v>307</v>
      </c>
      <c r="D165" s="364">
        <v>102</v>
      </c>
      <c r="E165" s="48"/>
      <c r="F165" s="48"/>
      <c r="G165" s="48"/>
      <c r="H165" s="48"/>
      <c r="I165" s="48"/>
      <c r="J165" s="48">
        <v>71</v>
      </c>
      <c r="K165" s="48"/>
      <c r="L165" s="48"/>
      <c r="M165" s="48"/>
      <c r="N165" s="48"/>
      <c r="O165" s="48">
        <v>19.399999999999999</v>
      </c>
      <c r="P165" s="48"/>
      <c r="Q165" s="374">
        <f t="shared" si="15"/>
        <v>45.2</v>
      </c>
      <c r="R165" s="375" t="str">
        <f t="shared" si="16"/>
        <v>NO</v>
      </c>
      <c r="S165" s="376" t="str">
        <f t="shared" si="17"/>
        <v>Alto</v>
      </c>
    </row>
    <row r="166" spans="1:19" s="117" customFormat="1" ht="32.1" customHeight="1" x14ac:dyDescent="0.2">
      <c r="A166" s="361" t="s">
        <v>80</v>
      </c>
      <c r="B166" s="362" t="s">
        <v>484</v>
      </c>
      <c r="C166" s="362" t="s">
        <v>304</v>
      </c>
      <c r="D166" s="364">
        <v>136</v>
      </c>
      <c r="E166" s="48"/>
      <c r="F166" s="48"/>
      <c r="G166" s="48"/>
      <c r="H166" s="48">
        <v>38.71</v>
      </c>
      <c r="I166" s="48">
        <v>38.71</v>
      </c>
      <c r="J166" s="48">
        <v>19.350000000000001</v>
      </c>
      <c r="K166" s="48">
        <v>98.064516129032256</v>
      </c>
      <c r="L166" s="48">
        <v>0</v>
      </c>
      <c r="M166" s="48">
        <v>46.451612903225808</v>
      </c>
      <c r="N166" s="48">
        <v>98.064516129032256</v>
      </c>
      <c r="O166" s="48">
        <v>27.096774193548391</v>
      </c>
      <c r="P166" s="48">
        <v>16.13</v>
      </c>
      <c r="Q166" s="374">
        <f t="shared" si="15"/>
        <v>42.508602150537641</v>
      </c>
      <c r="R166" s="375" t="str">
        <f t="shared" si="16"/>
        <v>NO</v>
      </c>
      <c r="S166" s="376" t="str">
        <f t="shared" si="17"/>
        <v>Alto</v>
      </c>
    </row>
    <row r="167" spans="1:19" s="117" customFormat="1" ht="32.1" customHeight="1" x14ac:dyDescent="0.2">
      <c r="A167" s="361" t="s">
        <v>80</v>
      </c>
      <c r="B167" s="362" t="s">
        <v>4017</v>
      </c>
      <c r="C167" s="362" t="s">
        <v>305</v>
      </c>
      <c r="D167" s="364">
        <v>150</v>
      </c>
      <c r="E167" s="48"/>
      <c r="F167" s="48"/>
      <c r="G167" s="48"/>
      <c r="H167" s="48"/>
      <c r="I167" s="48"/>
      <c r="J167" s="48">
        <v>71</v>
      </c>
      <c r="K167" s="48"/>
      <c r="L167" s="48"/>
      <c r="M167" s="48"/>
      <c r="N167" s="48"/>
      <c r="O167" s="48">
        <v>71</v>
      </c>
      <c r="P167" s="48"/>
      <c r="Q167" s="374">
        <f t="shared" si="15"/>
        <v>71</v>
      </c>
      <c r="R167" s="375" t="str">
        <f t="shared" si="16"/>
        <v>NO</v>
      </c>
      <c r="S167" s="376" t="str">
        <f t="shared" si="17"/>
        <v>Alto</v>
      </c>
    </row>
    <row r="168" spans="1:19" s="117" customFormat="1" ht="32.1" customHeight="1" x14ac:dyDescent="0.2">
      <c r="A168" s="361" t="s">
        <v>80</v>
      </c>
      <c r="B168" s="362" t="s">
        <v>3013</v>
      </c>
      <c r="C168" s="362" t="s">
        <v>4388</v>
      </c>
      <c r="D168" s="364">
        <v>460</v>
      </c>
      <c r="E168" s="48"/>
      <c r="F168" s="48"/>
      <c r="G168" s="48"/>
      <c r="H168" s="48"/>
      <c r="I168" s="48"/>
      <c r="J168" s="48"/>
      <c r="K168" s="48">
        <v>98.064516129032256</v>
      </c>
      <c r="L168" s="48" t="s">
        <v>4372</v>
      </c>
      <c r="M168" s="48" t="s">
        <v>4372</v>
      </c>
      <c r="N168" s="48" t="s">
        <v>4372</v>
      </c>
      <c r="O168" s="48" t="s">
        <v>4372</v>
      </c>
      <c r="P168" s="48">
        <v>98.064516129032256</v>
      </c>
      <c r="Q168" s="374">
        <f t="shared" si="15"/>
        <v>98.064516129032256</v>
      </c>
      <c r="R168" s="375" t="str">
        <f t="shared" si="16"/>
        <v>NO</v>
      </c>
      <c r="S168" s="376" t="str">
        <f t="shared" si="17"/>
        <v>Inviable Sanitariamente</v>
      </c>
    </row>
    <row r="169" spans="1:19" s="117" customFormat="1" ht="41.25" customHeight="1" x14ac:dyDescent="0.2">
      <c r="A169" s="361" t="s">
        <v>80</v>
      </c>
      <c r="B169" s="362" t="s">
        <v>459</v>
      </c>
      <c r="C169" s="362" t="s">
        <v>4389</v>
      </c>
      <c r="D169" s="364">
        <v>495</v>
      </c>
      <c r="E169" s="48"/>
      <c r="F169" s="48">
        <v>0</v>
      </c>
      <c r="G169" s="48"/>
      <c r="H169" s="48">
        <v>0</v>
      </c>
      <c r="I169" s="48">
        <v>0</v>
      </c>
      <c r="J169" s="48">
        <v>0</v>
      </c>
      <c r="K169" s="48">
        <v>27.096774193548391</v>
      </c>
      <c r="L169" s="48">
        <v>27.096774193548391</v>
      </c>
      <c r="M169" s="48">
        <v>27.096774193548391</v>
      </c>
      <c r="N169" s="48">
        <v>65.806451612903231</v>
      </c>
      <c r="O169" s="48">
        <v>19.35483870967742</v>
      </c>
      <c r="P169" s="48">
        <v>6.45</v>
      </c>
      <c r="Q169" s="374">
        <f t="shared" si="15"/>
        <v>17.29016129032258</v>
      </c>
      <c r="R169" s="375" t="str">
        <f t="shared" si="16"/>
        <v>NO</v>
      </c>
      <c r="S169" s="376" t="str">
        <f t="shared" si="17"/>
        <v>Medio</v>
      </c>
    </row>
    <row r="170" spans="1:19" s="117" customFormat="1" ht="32.1" customHeight="1" x14ac:dyDescent="0.2">
      <c r="A170" s="361" t="s">
        <v>80</v>
      </c>
      <c r="B170" s="362" t="s">
        <v>4018</v>
      </c>
      <c r="C170" s="362" t="s">
        <v>306</v>
      </c>
      <c r="D170" s="364">
        <v>145</v>
      </c>
      <c r="E170" s="48"/>
      <c r="F170" s="48"/>
      <c r="G170" s="48"/>
      <c r="H170" s="48"/>
      <c r="I170" s="48"/>
      <c r="J170" s="48">
        <v>71</v>
      </c>
      <c r="K170" s="48"/>
      <c r="L170" s="48"/>
      <c r="M170" s="48"/>
      <c r="N170" s="48"/>
      <c r="O170" s="48">
        <v>71</v>
      </c>
      <c r="P170" s="48"/>
      <c r="Q170" s="374">
        <f t="shared" si="15"/>
        <v>71</v>
      </c>
      <c r="R170" s="375" t="str">
        <f t="shared" si="16"/>
        <v>NO</v>
      </c>
      <c r="S170" s="376" t="str">
        <f t="shared" si="17"/>
        <v>Alto</v>
      </c>
    </row>
    <row r="171" spans="1:19" s="117" customFormat="1" ht="44.25" customHeight="1" x14ac:dyDescent="0.2">
      <c r="A171" s="361" t="s">
        <v>80</v>
      </c>
      <c r="B171" s="362" t="s">
        <v>4390</v>
      </c>
      <c r="C171" s="362" t="s">
        <v>4391</v>
      </c>
      <c r="D171" s="364">
        <v>35</v>
      </c>
      <c r="E171" s="48"/>
      <c r="F171" s="48"/>
      <c r="G171" s="48"/>
      <c r="H171" s="48">
        <v>19.350000000000001</v>
      </c>
      <c r="I171" s="48">
        <v>7.74</v>
      </c>
      <c r="J171" s="48">
        <v>0</v>
      </c>
      <c r="K171" s="48">
        <v>0</v>
      </c>
      <c r="L171" s="48">
        <v>7.741935483870968</v>
      </c>
      <c r="M171" s="48">
        <v>0</v>
      </c>
      <c r="N171" s="48">
        <v>0</v>
      </c>
      <c r="O171" s="48">
        <v>27.096774193548391</v>
      </c>
      <c r="P171" s="48">
        <v>6.45</v>
      </c>
      <c r="Q171" s="374">
        <f t="shared" si="15"/>
        <v>7.5976344086021514</v>
      </c>
      <c r="R171" s="375" t="str">
        <f t="shared" si="16"/>
        <v>NO</v>
      </c>
      <c r="S171" s="376" t="str">
        <f t="shared" si="17"/>
        <v>Bajo</v>
      </c>
    </row>
    <row r="172" spans="1:19" s="117" customFormat="1" ht="48" customHeight="1" x14ac:dyDescent="0.2">
      <c r="A172" s="361" t="s">
        <v>80</v>
      </c>
      <c r="B172" s="362" t="s">
        <v>4392</v>
      </c>
      <c r="C172" s="362" t="s">
        <v>4393</v>
      </c>
      <c r="D172" s="364">
        <v>376</v>
      </c>
      <c r="E172" s="48"/>
      <c r="F172" s="48">
        <v>0</v>
      </c>
      <c r="G172" s="48"/>
      <c r="H172" s="48">
        <v>19.350000000000001</v>
      </c>
      <c r="I172" s="48">
        <v>0</v>
      </c>
      <c r="J172" s="48">
        <v>0</v>
      </c>
      <c r="K172" s="48">
        <v>7.741935483870968</v>
      </c>
      <c r="L172" s="48">
        <v>0</v>
      </c>
      <c r="M172" s="48">
        <v>9.67741935483871</v>
      </c>
      <c r="N172" s="48">
        <v>7.741935483870968</v>
      </c>
      <c r="O172" s="48">
        <v>46.451612903225808</v>
      </c>
      <c r="P172" s="48">
        <v>67.2</v>
      </c>
      <c r="Q172" s="374">
        <f t="shared" si="15"/>
        <v>15.816290322580647</v>
      </c>
      <c r="R172" s="375" t="str">
        <f t="shared" si="16"/>
        <v>NO</v>
      </c>
      <c r="S172" s="376" t="str">
        <f t="shared" si="17"/>
        <v>Medio</v>
      </c>
    </row>
    <row r="173" spans="1:19" s="117" customFormat="1" ht="32.1" customHeight="1" x14ac:dyDescent="0.2">
      <c r="A173" s="361" t="s">
        <v>80</v>
      </c>
      <c r="B173" s="362" t="s">
        <v>2627</v>
      </c>
      <c r="C173" s="362" t="s">
        <v>4394</v>
      </c>
      <c r="D173" s="364">
        <v>485</v>
      </c>
      <c r="E173" s="48"/>
      <c r="F173" s="48">
        <v>0</v>
      </c>
      <c r="G173" s="48"/>
      <c r="H173" s="48">
        <v>0</v>
      </c>
      <c r="I173" s="48">
        <v>7.74</v>
      </c>
      <c r="J173" s="48">
        <v>0</v>
      </c>
      <c r="K173" s="48">
        <v>46.451612903225808</v>
      </c>
      <c r="L173" s="48">
        <v>46.451612903225808</v>
      </c>
      <c r="M173" s="48">
        <v>46.451612903225808</v>
      </c>
      <c r="N173" s="48">
        <v>78.709677419354847</v>
      </c>
      <c r="O173" s="48">
        <v>27.096774193548391</v>
      </c>
      <c r="P173" s="48">
        <v>22.58</v>
      </c>
      <c r="Q173" s="374">
        <f t="shared" si="15"/>
        <v>27.548129032258068</v>
      </c>
      <c r="R173" s="375" t="str">
        <f t="shared" si="16"/>
        <v>NO</v>
      </c>
      <c r="S173" s="376" t="str">
        <f t="shared" si="17"/>
        <v>Medio</v>
      </c>
    </row>
    <row r="174" spans="1:19" s="117" customFormat="1" ht="32.1" customHeight="1" x14ac:dyDescent="0.2">
      <c r="A174" s="361" t="s">
        <v>80</v>
      </c>
      <c r="B174" s="362" t="s">
        <v>4395</v>
      </c>
      <c r="C174" s="362" t="s">
        <v>4396</v>
      </c>
      <c r="D174" s="364">
        <v>36</v>
      </c>
      <c r="E174" s="48"/>
      <c r="F174" s="48"/>
      <c r="G174" s="48"/>
      <c r="H174" s="48">
        <v>0</v>
      </c>
      <c r="I174" s="48">
        <v>0</v>
      </c>
      <c r="J174" s="48">
        <v>19.350000000000001</v>
      </c>
      <c r="K174" s="48">
        <v>59.354838709677416</v>
      </c>
      <c r="L174" s="48">
        <v>9.67741935483871</v>
      </c>
      <c r="M174" s="48">
        <v>9.67741935483871</v>
      </c>
      <c r="N174" s="48">
        <v>29.032258064516132</v>
      </c>
      <c r="O174" s="48">
        <v>29.032258064516132</v>
      </c>
      <c r="P174" s="48">
        <v>9.68</v>
      </c>
      <c r="Q174" s="374">
        <f t="shared" si="15"/>
        <v>18.42268817204301</v>
      </c>
      <c r="R174" s="375" t="str">
        <f t="shared" si="16"/>
        <v>NO</v>
      </c>
      <c r="S174" s="376" t="str">
        <f t="shared" si="17"/>
        <v>Medio</v>
      </c>
    </row>
    <row r="175" spans="1:19" s="117" customFormat="1" ht="32.1" customHeight="1" x14ac:dyDescent="0.2">
      <c r="A175" s="361" t="s">
        <v>80</v>
      </c>
      <c r="B175" s="362" t="s">
        <v>4397</v>
      </c>
      <c r="C175" s="362" t="s">
        <v>4398</v>
      </c>
      <c r="D175" s="364">
        <v>27</v>
      </c>
      <c r="E175" s="48"/>
      <c r="F175" s="48"/>
      <c r="G175" s="48"/>
      <c r="H175" s="48"/>
      <c r="I175" s="48"/>
      <c r="J175" s="48"/>
      <c r="K175" s="48">
        <v>70.967741935483872</v>
      </c>
      <c r="L175" s="48" t="s">
        <v>4372</v>
      </c>
      <c r="M175" s="48" t="s">
        <v>4372</v>
      </c>
      <c r="N175" s="48" t="s">
        <v>4372</v>
      </c>
      <c r="O175" s="48" t="s">
        <v>4372</v>
      </c>
      <c r="P175" s="48">
        <v>78.709677419354847</v>
      </c>
      <c r="Q175" s="374">
        <f t="shared" si="15"/>
        <v>74.838709677419359</v>
      </c>
      <c r="R175" s="375" t="str">
        <f t="shared" si="16"/>
        <v>NO</v>
      </c>
      <c r="S175" s="376" t="str">
        <f t="shared" si="17"/>
        <v>Alto</v>
      </c>
    </row>
    <row r="176" spans="1:19" s="117" customFormat="1" ht="44.25" customHeight="1" x14ac:dyDescent="0.2">
      <c r="A176" s="361" t="s">
        <v>80</v>
      </c>
      <c r="B176" s="362" t="s">
        <v>460</v>
      </c>
      <c r="C176" s="362" t="s">
        <v>4399</v>
      </c>
      <c r="D176" s="364">
        <v>115</v>
      </c>
      <c r="E176" s="48"/>
      <c r="F176" s="48">
        <v>0</v>
      </c>
      <c r="G176" s="48"/>
      <c r="H176" s="48">
        <v>7.74</v>
      </c>
      <c r="I176" s="48">
        <v>46.45</v>
      </c>
      <c r="J176" s="48">
        <v>27.1</v>
      </c>
      <c r="K176" s="48">
        <v>27.096774193548391</v>
      </c>
      <c r="L176" s="48">
        <v>27.096774193548391</v>
      </c>
      <c r="M176" s="48">
        <v>46.451612903225808</v>
      </c>
      <c r="N176" s="48">
        <v>46.451612903225808</v>
      </c>
      <c r="O176" s="48">
        <v>46.451612903225808</v>
      </c>
      <c r="P176" s="48">
        <v>6.45</v>
      </c>
      <c r="Q176" s="374">
        <f t="shared" si="15"/>
        <v>28.128838709677417</v>
      </c>
      <c r="R176" s="375" t="str">
        <f t="shared" si="16"/>
        <v>NO</v>
      </c>
      <c r="S176" s="376" t="str">
        <f t="shared" si="17"/>
        <v>Medio</v>
      </c>
    </row>
    <row r="177" spans="1:19" s="117" customFormat="1" ht="32.1" customHeight="1" x14ac:dyDescent="0.2">
      <c r="A177" s="361" t="s">
        <v>80</v>
      </c>
      <c r="B177" s="379" t="s">
        <v>4400</v>
      </c>
      <c r="C177" s="379" t="s">
        <v>4401</v>
      </c>
      <c r="D177" s="364">
        <v>960</v>
      </c>
      <c r="E177" s="48"/>
      <c r="F177" s="48">
        <v>46.45</v>
      </c>
      <c r="G177" s="48"/>
      <c r="H177" s="48"/>
      <c r="I177" s="48">
        <v>9.68</v>
      </c>
      <c r="J177" s="48">
        <v>7.74</v>
      </c>
      <c r="K177" s="48" t="s">
        <v>4372</v>
      </c>
      <c r="L177" s="48" t="s">
        <v>4372</v>
      </c>
      <c r="M177" s="48">
        <v>46.451612903225808</v>
      </c>
      <c r="N177" s="48">
        <v>98.064516129032256</v>
      </c>
      <c r="O177" s="48">
        <v>98.064516129032256</v>
      </c>
      <c r="P177" s="48">
        <v>25.81</v>
      </c>
      <c r="Q177" s="374">
        <f t="shared" si="15"/>
        <v>47.465806451612899</v>
      </c>
      <c r="R177" s="375" t="str">
        <f t="shared" si="16"/>
        <v>NO</v>
      </c>
      <c r="S177" s="376" t="str">
        <f t="shared" si="17"/>
        <v>Alto</v>
      </c>
    </row>
    <row r="178" spans="1:19" s="117" customFormat="1" ht="32.1" customHeight="1" x14ac:dyDescent="0.2">
      <c r="A178" s="385" t="s">
        <v>107</v>
      </c>
      <c r="B178" s="390" t="s">
        <v>4050</v>
      </c>
      <c r="C178" s="378" t="s">
        <v>4402</v>
      </c>
      <c r="D178" s="364">
        <v>90</v>
      </c>
      <c r="E178" s="48"/>
      <c r="F178" s="48"/>
      <c r="G178" s="48"/>
      <c r="H178" s="48"/>
      <c r="I178" s="48"/>
      <c r="J178" s="48"/>
      <c r="K178" s="48"/>
      <c r="L178" s="48">
        <v>19</v>
      </c>
      <c r="M178" s="48"/>
      <c r="N178" s="48"/>
      <c r="O178" s="48"/>
      <c r="P178" s="48">
        <v>76</v>
      </c>
      <c r="Q178" s="382">
        <v>0</v>
      </c>
      <c r="R178" s="54" t="s">
        <v>1965</v>
      </c>
      <c r="S178" s="376" t="str">
        <f t="shared" si="17"/>
        <v>Sin Riesgo</v>
      </c>
    </row>
    <row r="179" spans="1:19" s="117" customFormat="1" ht="32.1" customHeight="1" x14ac:dyDescent="0.2">
      <c r="A179" s="385" t="s">
        <v>107</v>
      </c>
      <c r="B179" s="390" t="s">
        <v>4409</v>
      </c>
      <c r="C179" s="378" t="s">
        <v>4403</v>
      </c>
      <c r="D179" s="364">
        <v>266</v>
      </c>
      <c r="E179" s="48"/>
      <c r="F179" s="48"/>
      <c r="G179" s="48"/>
      <c r="H179" s="48"/>
      <c r="I179" s="48"/>
      <c r="J179" s="48"/>
      <c r="K179" s="48"/>
      <c r="L179" s="48">
        <v>0</v>
      </c>
      <c r="M179" s="48"/>
      <c r="N179" s="48"/>
      <c r="O179" s="48"/>
      <c r="P179" s="48">
        <v>26</v>
      </c>
      <c r="Q179" s="382">
        <v>13</v>
      </c>
      <c r="R179" s="54" t="s">
        <v>1042</v>
      </c>
      <c r="S179" s="376" t="str">
        <f t="shared" si="17"/>
        <v>Bajo</v>
      </c>
    </row>
    <row r="180" spans="1:19" s="117" customFormat="1" ht="32.1" customHeight="1" x14ac:dyDescent="0.2">
      <c r="A180" s="385" t="s">
        <v>107</v>
      </c>
      <c r="B180" s="390" t="s">
        <v>4051</v>
      </c>
      <c r="C180" s="378" t="s">
        <v>4404</v>
      </c>
      <c r="D180" s="364">
        <v>87</v>
      </c>
      <c r="E180" s="48"/>
      <c r="F180" s="48"/>
      <c r="G180" s="48"/>
      <c r="H180" s="48"/>
      <c r="I180" s="48"/>
      <c r="J180" s="48"/>
      <c r="K180" s="48"/>
      <c r="L180" s="48">
        <v>0</v>
      </c>
      <c r="M180" s="48"/>
      <c r="N180" s="48"/>
      <c r="O180" s="48"/>
      <c r="P180" s="48">
        <v>19</v>
      </c>
      <c r="Q180" s="382">
        <v>14</v>
      </c>
      <c r="R180" s="54" t="s">
        <v>1042</v>
      </c>
      <c r="S180" s="376" t="str">
        <f t="shared" si="17"/>
        <v>Bajo</v>
      </c>
    </row>
    <row r="181" spans="1:19" s="117" customFormat="1" ht="32.1" customHeight="1" x14ac:dyDescent="0.2">
      <c r="A181" s="385" t="s">
        <v>107</v>
      </c>
      <c r="B181" s="390" t="s">
        <v>3346</v>
      </c>
      <c r="C181" s="378" t="s">
        <v>4405</v>
      </c>
      <c r="D181" s="364">
        <v>92</v>
      </c>
      <c r="E181" s="48"/>
      <c r="F181" s="48"/>
      <c r="G181" s="48"/>
      <c r="H181" s="48"/>
      <c r="I181" s="48"/>
      <c r="J181" s="48"/>
      <c r="K181" s="48"/>
      <c r="L181" s="48">
        <v>0</v>
      </c>
      <c r="M181" s="48"/>
      <c r="N181" s="48"/>
      <c r="O181" s="48"/>
      <c r="P181" s="48">
        <v>19</v>
      </c>
      <c r="Q181" s="382">
        <v>13</v>
      </c>
      <c r="R181" s="54" t="s">
        <v>1042</v>
      </c>
      <c r="S181" s="376" t="str">
        <f t="shared" si="17"/>
        <v>Bajo</v>
      </c>
    </row>
    <row r="182" spans="1:19" s="117" customFormat="1" ht="32.1" customHeight="1" x14ac:dyDescent="0.2">
      <c r="A182" s="385" t="s">
        <v>107</v>
      </c>
      <c r="B182" s="390" t="s">
        <v>4411</v>
      </c>
      <c r="C182" s="378" t="s">
        <v>4406</v>
      </c>
      <c r="D182" s="364">
        <v>70</v>
      </c>
      <c r="E182" s="48"/>
      <c r="F182" s="48"/>
      <c r="G182" s="48"/>
      <c r="H182" s="48"/>
      <c r="I182" s="48"/>
      <c r="J182" s="48"/>
      <c r="K182" s="48"/>
      <c r="L182" s="48">
        <v>0</v>
      </c>
      <c r="M182" s="48"/>
      <c r="N182" s="48"/>
      <c r="O182" s="48"/>
      <c r="P182" s="48">
        <v>0</v>
      </c>
      <c r="Q182" s="382">
        <v>9.5</v>
      </c>
      <c r="R182" s="54" t="s">
        <v>1042</v>
      </c>
      <c r="S182" s="376" t="str">
        <f t="shared" si="17"/>
        <v>Bajo</v>
      </c>
    </row>
    <row r="183" spans="1:19" s="117" customFormat="1" ht="32.1" customHeight="1" x14ac:dyDescent="0.2">
      <c r="A183" s="385" t="s">
        <v>107</v>
      </c>
      <c r="B183" s="390" t="s">
        <v>4052</v>
      </c>
      <c r="C183" s="378" t="s">
        <v>4407</v>
      </c>
      <c r="D183" s="372">
        <v>70</v>
      </c>
      <c r="E183" s="48"/>
      <c r="F183" s="48"/>
      <c r="G183" s="48"/>
      <c r="H183" s="48"/>
      <c r="I183" s="48"/>
      <c r="J183" s="48"/>
      <c r="K183" s="48"/>
      <c r="L183" s="48">
        <v>2</v>
      </c>
      <c r="M183" s="48"/>
      <c r="N183" s="48"/>
      <c r="O183" s="48"/>
      <c r="P183" s="48">
        <v>47</v>
      </c>
      <c r="Q183" s="391">
        <v>13</v>
      </c>
      <c r="R183" s="54" t="s">
        <v>1042</v>
      </c>
      <c r="S183" s="376" t="str">
        <f t="shared" si="17"/>
        <v>Bajo</v>
      </c>
    </row>
    <row r="184" spans="1:19" s="117" customFormat="1" ht="32.1" customHeight="1" x14ac:dyDescent="0.2">
      <c r="A184" s="385" t="s">
        <v>107</v>
      </c>
      <c r="B184" s="390" t="s">
        <v>4410</v>
      </c>
      <c r="C184" s="378" t="s">
        <v>4408</v>
      </c>
      <c r="D184" s="372">
        <v>70</v>
      </c>
      <c r="E184" s="48"/>
      <c r="F184" s="48"/>
      <c r="G184" s="48"/>
      <c r="H184" s="48"/>
      <c r="I184" s="48"/>
      <c r="J184" s="48"/>
      <c r="K184" s="48"/>
      <c r="L184" s="48">
        <v>50</v>
      </c>
      <c r="M184" s="48"/>
      <c r="N184" s="48"/>
      <c r="O184" s="48"/>
      <c r="P184" s="48">
        <v>50</v>
      </c>
      <c r="Q184" s="391">
        <v>13</v>
      </c>
      <c r="R184" s="54" t="s">
        <v>1042</v>
      </c>
      <c r="S184" s="376" t="str">
        <f t="shared" si="17"/>
        <v>Bajo</v>
      </c>
    </row>
    <row r="185" spans="1:19" s="117" customFormat="1" ht="32.1" customHeight="1" x14ac:dyDescent="0.2">
      <c r="A185" s="385" t="s">
        <v>107</v>
      </c>
      <c r="B185" s="390" t="s">
        <v>4053</v>
      </c>
      <c r="C185" s="378" t="s">
        <v>4054</v>
      </c>
      <c r="D185" s="372">
        <v>65</v>
      </c>
      <c r="E185" s="48"/>
      <c r="F185" s="48"/>
      <c r="G185" s="48"/>
      <c r="H185" s="48"/>
      <c r="I185" s="48">
        <v>19</v>
      </c>
      <c r="J185" s="48"/>
      <c r="K185" s="48"/>
      <c r="L185" s="48"/>
      <c r="M185" s="48"/>
      <c r="N185" s="48"/>
      <c r="O185" s="48"/>
      <c r="P185" s="48"/>
      <c r="Q185" s="391">
        <v>0</v>
      </c>
      <c r="R185" s="54" t="s">
        <v>1965</v>
      </c>
      <c r="S185" s="376" t="str">
        <f t="shared" si="17"/>
        <v>Sin Riesgo</v>
      </c>
    </row>
    <row r="186" spans="1:19" s="117" customFormat="1" ht="32.1" customHeight="1" x14ac:dyDescent="0.2">
      <c r="A186" s="385" t="s">
        <v>110</v>
      </c>
      <c r="B186" s="362" t="s">
        <v>4039</v>
      </c>
      <c r="C186" s="362" t="s">
        <v>4040</v>
      </c>
      <c r="D186" s="364">
        <v>771</v>
      </c>
      <c r="E186" s="48"/>
      <c r="F186" s="48"/>
      <c r="G186" s="48"/>
      <c r="H186" s="48"/>
      <c r="I186" s="48"/>
      <c r="J186" s="48">
        <v>50.56</v>
      </c>
      <c r="K186" s="48">
        <v>16.850000000000001</v>
      </c>
      <c r="L186" s="48">
        <v>0</v>
      </c>
      <c r="M186" s="48">
        <v>0</v>
      </c>
      <c r="N186" s="48">
        <v>16.850000000000001</v>
      </c>
      <c r="O186" s="47">
        <v>0</v>
      </c>
      <c r="P186" s="47">
        <v>16.850000000000001</v>
      </c>
      <c r="Q186" s="374">
        <f t="shared" ref="Q186:Q233" si="18">AVERAGE(E186:P186)</f>
        <v>14.444285714285712</v>
      </c>
      <c r="R186" s="375" t="str">
        <f t="shared" ref="R186:R233" si="19">IF(Q186&lt;5,"SI","NO")</f>
        <v>NO</v>
      </c>
      <c r="S186" s="376" t="str">
        <f t="shared" si="17"/>
        <v>Medio</v>
      </c>
    </row>
    <row r="187" spans="1:19" s="117" customFormat="1" ht="32.1" customHeight="1" x14ac:dyDescent="0.2">
      <c r="A187" s="385" t="s">
        <v>110</v>
      </c>
      <c r="B187" s="362" t="s">
        <v>4041</v>
      </c>
      <c r="C187" s="362" t="s">
        <v>4042</v>
      </c>
      <c r="D187" s="364">
        <v>2800</v>
      </c>
      <c r="E187" s="48"/>
      <c r="F187" s="48"/>
      <c r="G187" s="48"/>
      <c r="H187" s="48"/>
      <c r="I187" s="48"/>
      <c r="J187" s="48">
        <v>16.850000000000001</v>
      </c>
      <c r="K187" s="48">
        <v>16.850000000000001</v>
      </c>
      <c r="L187" s="48">
        <v>0</v>
      </c>
      <c r="M187" s="48">
        <v>16.850000000000001</v>
      </c>
      <c r="N187" s="48">
        <v>23.59</v>
      </c>
      <c r="O187" s="47">
        <v>16.850000000000001</v>
      </c>
      <c r="P187" s="47">
        <v>16.850000000000001</v>
      </c>
      <c r="Q187" s="374">
        <f t="shared" si="18"/>
        <v>15.405714285714286</v>
      </c>
      <c r="R187" s="375" t="str">
        <f t="shared" si="19"/>
        <v>NO</v>
      </c>
      <c r="S187" s="376" t="str">
        <f t="shared" si="17"/>
        <v>Medio</v>
      </c>
    </row>
    <row r="188" spans="1:19" s="117" customFormat="1" ht="32.1" customHeight="1" x14ac:dyDescent="0.2">
      <c r="A188" s="385" t="s">
        <v>110</v>
      </c>
      <c r="B188" s="362" t="s">
        <v>4043</v>
      </c>
      <c r="C188" s="362" t="s">
        <v>4044</v>
      </c>
      <c r="D188" s="364">
        <v>111</v>
      </c>
      <c r="E188" s="48"/>
      <c r="F188" s="48"/>
      <c r="G188" s="48"/>
      <c r="H188" s="48"/>
      <c r="I188" s="48"/>
      <c r="J188" s="48">
        <v>0</v>
      </c>
      <c r="K188" s="48">
        <v>16.850000000000001</v>
      </c>
      <c r="L188" s="48">
        <v>17.97</v>
      </c>
      <c r="M188" s="48">
        <v>0</v>
      </c>
      <c r="N188" s="48">
        <v>0</v>
      </c>
      <c r="O188" s="47">
        <v>0</v>
      </c>
      <c r="P188" s="47">
        <v>0</v>
      </c>
      <c r="Q188" s="374">
        <f t="shared" si="18"/>
        <v>4.9742857142857142</v>
      </c>
      <c r="R188" s="375" t="str">
        <f t="shared" si="19"/>
        <v>SI</v>
      </c>
      <c r="S188" s="376" t="str">
        <f t="shared" si="17"/>
        <v>Sin Riesgo</v>
      </c>
    </row>
    <row r="189" spans="1:19" s="117" customFormat="1" ht="32.1" customHeight="1" x14ac:dyDescent="0.2">
      <c r="A189" s="385" t="s">
        <v>110</v>
      </c>
      <c r="B189" s="362" t="s">
        <v>4045</v>
      </c>
      <c r="C189" s="362" t="s">
        <v>331</v>
      </c>
      <c r="D189" s="364">
        <v>1604</v>
      </c>
      <c r="E189" s="48"/>
      <c r="F189" s="48"/>
      <c r="G189" s="48"/>
      <c r="H189" s="48"/>
      <c r="I189" s="48"/>
      <c r="J189" s="48">
        <v>16.850000000000001</v>
      </c>
      <c r="K189" s="48">
        <v>16.850000000000001</v>
      </c>
      <c r="L189" s="48">
        <v>0</v>
      </c>
      <c r="M189" s="48">
        <v>44.94</v>
      </c>
      <c r="N189" s="48">
        <v>33.700000000000003</v>
      </c>
      <c r="O189" s="47">
        <v>33.700000000000003</v>
      </c>
      <c r="P189" s="47">
        <v>16.850000000000001</v>
      </c>
      <c r="Q189" s="374">
        <f t="shared" si="18"/>
        <v>23.270000000000003</v>
      </c>
      <c r="R189" s="375" t="str">
        <f t="shared" si="19"/>
        <v>NO</v>
      </c>
      <c r="S189" s="376" t="str">
        <f t="shared" si="17"/>
        <v>Medio</v>
      </c>
    </row>
    <row r="190" spans="1:19" s="117" customFormat="1" ht="32.1" customHeight="1" x14ac:dyDescent="0.2">
      <c r="A190" s="385" t="s">
        <v>110</v>
      </c>
      <c r="B190" s="362" t="s">
        <v>4046</v>
      </c>
      <c r="C190" s="362" t="s">
        <v>330</v>
      </c>
      <c r="D190" s="364">
        <v>229</v>
      </c>
      <c r="E190" s="48"/>
      <c r="F190" s="48"/>
      <c r="G190" s="48"/>
      <c r="H190" s="48"/>
      <c r="I190" s="48"/>
      <c r="J190" s="48">
        <v>16.850000000000001</v>
      </c>
      <c r="K190" s="48">
        <v>0</v>
      </c>
      <c r="L190" s="48">
        <v>16.850000000000001</v>
      </c>
      <c r="M190" s="48">
        <v>16.850000000000001</v>
      </c>
      <c r="N190" s="48">
        <v>16.850000000000001</v>
      </c>
      <c r="O190" s="47">
        <v>16.850000000000001</v>
      </c>
      <c r="P190" s="47">
        <v>16.850000000000001</v>
      </c>
      <c r="Q190" s="374">
        <f t="shared" si="18"/>
        <v>14.442857142857141</v>
      </c>
      <c r="R190" s="375" t="str">
        <f t="shared" si="19"/>
        <v>NO</v>
      </c>
      <c r="S190" s="376" t="str">
        <f t="shared" si="17"/>
        <v>Medio</v>
      </c>
    </row>
    <row r="191" spans="1:19" s="117" customFormat="1" ht="32.1" customHeight="1" x14ac:dyDescent="0.2">
      <c r="A191" s="385" t="s">
        <v>110</v>
      </c>
      <c r="B191" s="362" t="s">
        <v>4047</v>
      </c>
      <c r="C191" s="362" t="s">
        <v>4048</v>
      </c>
      <c r="D191" s="364">
        <v>40</v>
      </c>
      <c r="E191" s="48"/>
      <c r="F191" s="48"/>
      <c r="G191" s="48"/>
      <c r="H191" s="48"/>
      <c r="I191" s="48"/>
      <c r="J191" s="48">
        <v>61.79</v>
      </c>
      <c r="K191" s="48">
        <v>61.79</v>
      </c>
      <c r="L191" s="48">
        <v>78.650000000000006</v>
      </c>
      <c r="M191" s="48">
        <v>78.650000000000006</v>
      </c>
      <c r="N191" s="48">
        <v>78.650000000000006</v>
      </c>
      <c r="O191" s="48"/>
      <c r="P191" s="48">
        <v>61.8</v>
      </c>
      <c r="Q191" s="374">
        <f t="shared" si="18"/>
        <v>70.221666666666664</v>
      </c>
      <c r="R191" s="375" t="str">
        <f t="shared" si="19"/>
        <v>NO</v>
      </c>
      <c r="S191" s="376" t="str">
        <f t="shared" si="17"/>
        <v>Alto</v>
      </c>
    </row>
    <row r="192" spans="1:19" s="117" customFormat="1" ht="32.1" customHeight="1" x14ac:dyDescent="0.2">
      <c r="A192" s="385" t="s">
        <v>110</v>
      </c>
      <c r="B192" s="362" t="s">
        <v>337</v>
      </c>
      <c r="C192" s="362" t="s">
        <v>4049</v>
      </c>
      <c r="D192" s="364">
        <v>100</v>
      </c>
      <c r="E192" s="48"/>
      <c r="F192" s="48"/>
      <c r="G192" s="48"/>
      <c r="H192" s="48"/>
      <c r="I192" s="48"/>
      <c r="J192" s="48">
        <v>0</v>
      </c>
      <c r="K192" s="48">
        <v>0</v>
      </c>
      <c r="L192" s="48">
        <v>0</v>
      </c>
      <c r="M192" s="48">
        <v>33.700000000000003</v>
      </c>
      <c r="N192" s="48">
        <v>0</v>
      </c>
      <c r="O192" s="47">
        <v>0</v>
      </c>
      <c r="P192" s="47">
        <v>67.790000000000006</v>
      </c>
      <c r="Q192" s="374">
        <f t="shared" si="18"/>
        <v>14.498571428571429</v>
      </c>
      <c r="R192" s="375" t="str">
        <f t="shared" si="19"/>
        <v>NO</v>
      </c>
      <c r="S192" s="376" t="str">
        <f t="shared" si="17"/>
        <v>Medio</v>
      </c>
    </row>
    <row r="193" spans="1:20" s="117" customFormat="1" ht="32.1" customHeight="1" x14ac:dyDescent="0.2">
      <c r="A193" s="385" t="s">
        <v>110</v>
      </c>
      <c r="B193" s="362" t="s">
        <v>335</v>
      </c>
      <c r="C193" s="362" t="s">
        <v>336</v>
      </c>
      <c r="D193" s="364">
        <v>207</v>
      </c>
      <c r="E193" s="48"/>
      <c r="F193" s="48"/>
      <c r="G193" s="48"/>
      <c r="H193" s="48"/>
      <c r="I193" s="48"/>
      <c r="J193" s="48">
        <v>16.850000000000001</v>
      </c>
      <c r="K193" s="48">
        <v>0</v>
      </c>
      <c r="L193" s="48">
        <v>0</v>
      </c>
      <c r="M193" s="48">
        <v>0</v>
      </c>
      <c r="N193" s="48">
        <v>0</v>
      </c>
      <c r="O193" s="47">
        <v>0</v>
      </c>
      <c r="P193" s="47">
        <v>0</v>
      </c>
      <c r="Q193" s="374">
        <f t="shared" si="18"/>
        <v>2.4071428571428575</v>
      </c>
      <c r="R193" s="375" t="str">
        <f t="shared" si="19"/>
        <v>SI</v>
      </c>
      <c r="S193" s="376" t="str">
        <f t="shared" si="17"/>
        <v>Sin Riesgo</v>
      </c>
    </row>
    <row r="194" spans="1:20" s="117" customFormat="1" ht="32.1" customHeight="1" x14ac:dyDescent="0.2">
      <c r="A194" s="385" t="s">
        <v>110</v>
      </c>
      <c r="B194" s="362" t="s">
        <v>481</v>
      </c>
      <c r="C194" s="362" t="s">
        <v>333</v>
      </c>
      <c r="D194" s="364">
        <v>141</v>
      </c>
      <c r="E194" s="48"/>
      <c r="F194" s="48"/>
      <c r="G194" s="48"/>
      <c r="H194" s="48"/>
      <c r="I194" s="48"/>
      <c r="J194" s="48">
        <v>0</v>
      </c>
      <c r="K194" s="48">
        <v>0</v>
      </c>
      <c r="L194" s="48">
        <v>0</v>
      </c>
      <c r="M194" s="48">
        <v>16.850000000000001</v>
      </c>
      <c r="N194" s="48">
        <v>78.650000000000006</v>
      </c>
      <c r="O194" s="47">
        <v>0</v>
      </c>
      <c r="P194" s="47">
        <v>0</v>
      </c>
      <c r="Q194" s="374">
        <f t="shared" si="18"/>
        <v>13.642857142857142</v>
      </c>
      <c r="R194" s="375" t="str">
        <f t="shared" si="19"/>
        <v>NO</v>
      </c>
      <c r="S194" s="376" t="str">
        <f t="shared" si="17"/>
        <v>Bajo</v>
      </c>
    </row>
    <row r="195" spans="1:20" s="117" customFormat="1" ht="32.1" customHeight="1" x14ac:dyDescent="0.2">
      <c r="A195" s="385" t="s">
        <v>110</v>
      </c>
      <c r="B195" s="362" t="s">
        <v>482</v>
      </c>
      <c r="C195" s="362" t="s">
        <v>334</v>
      </c>
      <c r="D195" s="364">
        <v>112</v>
      </c>
      <c r="E195" s="48"/>
      <c r="F195" s="48"/>
      <c r="G195" s="48"/>
      <c r="H195" s="48"/>
      <c r="I195" s="48"/>
      <c r="J195" s="48">
        <v>0</v>
      </c>
      <c r="K195" s="48">
        <v>0</v>
      </c>
      <c r="L195" s="48">
        <v>0</v>
      </c>
      <c r="M195" s="48">
        <v>0</v>
      </c>
      <c r="N195" s="48">
        <v>0</v>
      </c>
      <c r="O195" s="47">
        <v>0</v>
      </c>
      <c r="P195" s="47">
        <v>16.850000000000001</v>
      </c>
      <c r="Q195" s="374">
        <f t="shared" si="18"/>
        <v>2.4071428571428575</v>
      </c>
      <c r="R195" s="375" t="str">
        <f t="shared" si="19"/>
        <v>SI</v>
      </c>
      <c r="S195" s="376" t="str">
        <f t="shared" si="17"/>
        <v>Sin Riesgo</v>
      </c>
    </row>
    <row r="196" spans="1:20" s="117" customFormat="1" ht="32.1" customHeight="1" x14ac:dyDescent="0.2">
      <c r="A196" s="385" t="s">
        <v>110</v>
      </c>
      <c r="B196" s="362" t="s">
        <v>96</v>
      </c>
      <c r="C196" s="402" t="s">
        <v>332</v>
      </c>
      <c r="D196" s="364">
        <v>18</v>
      </c>
      <c r="E196" s="48"/>
      <c r="F196" s="48"/>
      <c r="G196" s="48"/>
      <c r="H196" s="48"/>
      <c r="I196" s="48"/>
      <c r="J196" s="48">
        <v>61.79</v>
      </c>
      <c r="K196" s="48">
        <v>16.850000000000001</v>
      </c>
      <c r="L196" s="48">
        <v>61.79</v>
      </c>
      <c r="M196" s="48">
        <v>78.650000000000006</v>
      </c>
      <c r="N196" s="48">
        <v>85.39</v>
      </c>
      <c r="O196" s="47">
        <v>16.850000000000001</v>
      </c>
      <c r="P196" s="47">
        <v>78.650000000000006</v>
      </c>
      <c r="Q196" s="374">
        <f t="shared" si="18"/>
        <v>57.138571428571431</v>
      </c>
      <c r="R196" s="375" t="str">
        <f t="shared" si="19"/>
        <v>NO</v>
      </c>
      <c r="S196" s="376" t="str">
        <f t="shared" si="17"/>
        <v>Alto</v>
      </c>
    </row>
    <row r="197" spans="1:20" s="117" customFormat="1" ht="32.1" customHeight="1" x14ac:dyDescent="0.2">
      <c r="A197" s="361" t="s">
        <v>104</v>
      </c>
      <c r="B197" s="399" t="s">
        <v>4055</v>
      </c>
      <c r="C197" s="404" t="s">
        <v>4589</v>
      </c>
      <c r="D197" s="401">
        <v>991</v>
      </c>
      <c r="E197" s="48">
        <v>0</v>
      </c>
      <c r="F197" s="48"/>
      <c r="G197" s="48"/>
      <c r="H197" s="48"/>
      <c r="I197" s="48">
        <v>0</v>
      </c>
      <c r="J197" s="48">
        <v>4.3102999999999998</v>
      </c>
      <c r="K197" s="48">
        <v>0</v>
      </c>
      <c r="L197" s="48">
        <v>0</v>
      </c>
      <c r="M197" s="48">
        <v>0</v>
      </c>
      <c r="N197" s="48">
        <v>0</v>
      </c>
      <c r="O197" s="48">
        <v>10.7675</v>
      </c>
      <c r="P197" s="48">
        <v>3.2258</v>
      </c>
      <c r="Q197" s="394">
        <f t="shared" si="18"/>
        <v>2.0337333333333332</v>
      </c>
      <c r="R197" s="395" t="str">
        <f t="shared" si="19"/>
        <v>SI</v>
      </c>
      <c r="S197" s="376" t="str">
        <f t="shared" si="17"/>
        <v>Sin Riesgo</v>
      </c>
      <c r="T197" s="152"/>
    </row>
    <row r="198" spans="1:20" s="117" customFormat="1" ht="32.1" customHeight="1" x14ac:dyDescent="0.2">
      <c r="A198" s="361" t="s">
        <v>104</v>
      </c>
      <c r="B198" s="399" t="s">
        <v>3953</v>
      </c>
      <c r="C198" s="404" t="s">
        <v>4590</v>
      </c>
      <c r="D198" s="401">
        <v>1527</v>
      </c>
      <c r="E198" s="48">
        <v>0</v>
      </c>
      <c r="F198" s="48">
        <v>0</v>
      </c>
      <c r="G198" s="48">
        <v>0</v>
      </c>
      <c r="H198" s="48">
        <v>0</v>
      </c>
      <c r="I198" s="48">
        <v>13.4041</v>
      </c>
      <c r="J198" s="48">
        <v>11.7241</v>
      </c>
      <c r="K198" s="48">
        <v>23.317900000000002</v>
      </c>
      <c r="L198" s="48">
        <v>1.2422</v>
      </c>
      <c r="M198" s="48">
        <v>4.2270000000000003</v>
      </c>
      <c r="N198" s="48">
        <v>5.5728999999999997</v>
      </c>
      <c r="O198" s="48">
        <v>28.475200000000001</v>
      </c>
      <c r="P198" s="48">
        <v>4.8276000000000003</v>
      </c>
      <c r="Q198" s="394">
        <f t="shared" si="18"/>
        <v>7.7325833333333343</v>
      </c>
      <c r="R198" s="395" t="str">
        <f t="shared" si="19"/>
        <v>NO</v>
      </c>
      <c r="S198" s="376" t="str">
        <f t="shared" si="17"/>
        <v>Bajo</v>
      </c>
      <c r="T198" s="152"/>
    </row>
    <row r="199" spans="1:20" s="117" customFormat="1" ht="32.1" customHeight="1" x14ac:dyDescent="0.2">
      <c r="A199" s="361" t="s">
        <v>104</v>
      </c>
      <c r="B199" s="399" t="s">
        <v>4056</v>
      </c>
      <c r="C199" s="404" t="s">
        <v>4591</v>
      </c>
      <c r="D199" s="401">
        <v>224</v>
      </c>
      <c r="E199" s="48">
        <v>0</v>
      </c>
      <c r="F199" s="48">
        <v>24</v>
      </c>
      <c r="G199" s="48">
        <v>0</v>
      </c>
      <c r="H199" s="48">
        <v>0</v>
      </c>
      <c r="I199" s="48">
        <v>0</v>
      </c>
      <c r="J199" s="48">
        <v>0</v>
      </c>
      <c r="K199" s="48">
        <v>0</v>
      </c>
      <c r="L199" s="48">
        <v>0</v>
      </c>
      <c r="M199" s="48">
        <v>0</v>
      </c>
      <c r="N199" s="48">
        <v>0</v>
      </c>
      <c r="O199" s="48">
        <v>0</v>
      </c>
      <c r="P199" s="48">
        <v>0</v>
      </c>
      <c r="Q199" s="394">
        <f t="shared" si="18"/>
        <v>2</v>
      </c>
      <c r="R199" s="395" t="str">
        <f t="shared" si="19"/>
        <v>SI</v>
      </c>
      <c r="S199" s="376" t="str">
        <f t="shared" si="17"/>
        <v>Sin Riesgo</v>
      </c>
      <c r="T199" s="152"/>
    </row>
    <row r="200" spans="1:20" s="117" customFormat="1" ht="32.1" customHeight="1" x14ac:dyDescent="0.2">
      <c r="A200" s="361" t="s">
        <v>104</v>
      </c>
      <c r="B200" s="399" t="s">
        <v>4057</v>
      </c>
      <c r="C200" s="404" t="s">
        <v>4592</v>
      </c>
      <c r="D200" s="401">
        <v>405</v>
      </c>
      <c r="E200" s="48">
        <v>0</v>
      </c>
      <c r="F200" s="48"/>
      <c r="G200" s="48">
        <v>0</v>
      </c>
      <c r="H200" s="48">
        <v>0</v>
      </c>
      <c r="I200" s="48">
        <v>0</v>
      </c>
      <c r="J200" s="48">
        <v>8.6206999999999994</v>
      </c>
      <c r="K200" s="48">
        <v>0</v>
      </c>
      <c r="L200" s="48">
        <v>0</v>
      </c>
      <c r="M200" s="48">
        <v>2.2988</v>
      </c>
      <c r="N200" s="48">
        <v>0.4839</v>
      </c>
      <c r="O200" s="48">
        <v>0.7742</v>
      </c>
      <c r="P200" s="48">
        <v>0</v>
      </c>
      <c r="Q200" s="394">
        <f t="shared" si="18"/>
        <v>1.1070545454545455</v>
      </c>
      <c r="R200" s="395" t="str">
        <f t="shared" si="19"/>
        <v>SI</v>
      </c>
      <c r="S200" s="376" t="str">
        <f t="shared" si="17"/>
        <v>Sin Riesgo</v>
      </c>
      <c r="T200" s="152"/>
    </row>
    <row r="201" spans="1:20" s="117" customFormat="1" ht="32.1" customHeight="1" x14ac:dyDescent="0.2">
      <c r="A201" s="361" t="s">
        <v>104</v>
      </c>
      <c r="B201" s="399" t="s">
        <v>4058</v>
      </c>
      <c r="C201" s="404" t="s">
        <v>4593</v>
      </c>
      <c r="D201" s="401">
        <v>496</v>
      </c>
      <c r="E201" s="48">
        <v>0</v>
      </c>
      <c r="F201" s="48">
        <v>0</v>
      </c>
      <c r="G201" s="48">
        <v>0</v>
      </c>
      <c r="H201" s="48">
        <v>0</v>
      </c>
      <c r="I201" s="48">
        <v>0</v>
      </c>
      <c r="J201" s="48">
        <v>4.3102999999999998</v>
      </c>
      <c r="K201" s="48">
        <v>0</v>
      </c>
      <c r="L201" s="48">
        <v>0</v>
      </c>
      <c r="M201" s="48">
        <v>16.199100000000001</v>
      </c>
      <c r="N201" s="48">
        <v>6.8964999999999996</v>
      </c>
      <c r="O201" s="48">
        <v>8.9728999999999992</v>
      </c>
      <c r="P201" s="48">
        <v>10.344799999999999</v>
      </c>
      <c r="Q201" s="394">
        <f t="shared" si="18"/>
        <v>3.8936333333333333</v>
      </c>
      <c r="R201" s="395" t="str">
        <f t="shared" si="19"/>
        <v>SI</v>
      </c>
      <c r="S201" s="376" t="str">
        <f t="shared" si="17"/>
        <v>Sin Riesgo</v>
      </c>
      <c r="T201" s="152"/>
    </row>
    <row r="202" spans="1:20" s="117" customFormat="1" ht="32.1" customHeight="1" x14ac:dyDescent="0.2">
      <c r="A202" s="361" t="s">
        <v>104</v>
      </c>
      <c r="B202" s="399" t="s">
        <v>4059</v>
      </c>
      <c r="C202" s="404" t="s">
        <v>4594</v>
      </c>
      <c r="D202" s="401">
        <v>635</v>
      </c>
      <c r="E202" s="48">
        <v>0</v>
      </c>
      <c r="F202" s="48">
        <v>0</v>
      </c>
      <c r="G202" s="48">
        <v>0</v>
      </c>
      <c r="H202" s="48">
        <v>0</v>
      </c>
      <c r="I202" s="48">
        <v>0</v>
      </c>
      <c r="J202" s="48">
        <v>0</v>
      </c>
      <c r="K202" s="48">
        <v>0</v>
      </c>
      <c r="L202" s="48">
        <v>0</v>
      </c>
      <c r="M202" s="48">
        <v>0</v>
      </c>
      <c r="N202" s="48">
        <v>0</v>
      </c>
      <c r="O202" s="48">
        <v>0</v>
      </c>
      <c r="P202" s="48">
        <v>0</v>
      </c>
      <c r="Q202" s="394">
        <f t="shared" si="18"/>
        <v>0</v>
      </c>
      <c r="R202" s="395" t="str">
        <f t="shared" si="19"/>
        <v>SI</v>
      </c>
      <c r="S202" s="376" t="str">
        <f t="shared" si="17"/>
        <v>Sin Riesgo</v>
      </c>
      <c r="T202" s="152"/>
    </row>
    <row r="203" spans="1:20" s="117" customFormat="1" ht="32.1" customHeight="1" x14ac:dyDescent="0.2">
      <c r="A203" s="361" t="s">
        <v>104</v>
      </c>
      <c r="B203" s="399" t="s">
        <v>4067</v>
      </c>
      <c r="C203" s="404" t="s">
        <v>4595</v>
      </c>
      <c r="D203" s="401">
        <v>580</v>
      </c>
      <c r="E203" s="48">
        <v>8.8606999999999996</v>
      </c>
      <c r="F203" s="48">
        <v>0</v>
      </c>
      <c r="G203" s="48">
        <v>0</v>
      </c>
      <c r="H203" s="48">
        <v>0</v>
      </c>
      <c r="I203" s="48">
        <v>56.583500000000001</v>
      </c>
      <c r="J203" s="48">
        <v>23.811599999999999</v>
      </c>
      <c r="K203" s="48">
        <v>17.921099999999999</v>
      </c>
      <c r="L203" s="48">
        <v>2.7688000000000001</v>
      </c>
      <c r="M203" s="48">
        <v>11.913600000000001</v>
      </c>
      <c r="N203" s="48">
        <v>5</v>
      </c>
      <c r="O203" s="48">
        <v>29.313099999999999</v>
      </c>
      <c r="P203" s="48"/>
      <c r="Q203" s="394">
        <f t="shared" si="18"/>
        <v>14.197490909090908</v>
      </c>
      <c r="R203" s="395" t="str">
        <f t="shared" si="19"/>
        <v>NO</v>
      </c>
      <c r="S203" s="376" t="str">
        <f t="shared" si="17"/>
        <v>Medio</v>
      </c>
      <c r="T203" s="152"/>
    </row>
    <row r="204" spans="1:20" s="117" customFormat="1" ht="32.1" customHeight="1" x14ac:dyDescent="0.2">
      <c r="A204" s="361" t="s">
        <v>104</v>
      </c>
      <c r="B204" s="399" t="s">
        <v>420</v>
      </c>
      <c r="C204" s="404" t="s">
        <v>3955</v>
      </c>
      <c r="D204" s="401">
        <v>400</v>
      </c>
      <c r="E204" s="396">
        <v>0</v>
      </c>
      <c r="F204" s="396">
        <v>4.5</v>
      </c>
      <c r="G204" s="396">
        <v>0</v>
      </c>
      <c r="H204" s="396">
        <v>0</v>
      </c>
      <c r="I204" s="396">
        <v>0</v>
      </c>
      <c r="J204" s="396">
        <v>16</v>
      </c>
      <c r="K204" s="396">
        <v>0</v>
      </c>
      <c r="L204" s="396">
        <v>0</v>
      </c>
      <c r="M204" s="396">
        <v>0</v>
      </c>
      <c r="N204" s="396">
        <v>0</v>
      </c>
      <c r="O204" s="396">
        <v>0</v>
      </c>
      <c r="P204" s="396">
        <v>0</v>
      </c>
      <c r="Q204" s="394">
        <f t="shared" si="18"/>
        <v>1.7083333333333333</v>
      </c>
      <c r="R204" s="395" t="str">
        <f t="shared" si="19"/>
        <v>SI</v>
      </c>
      <c r="S204" s="376" t="str">
        <f t="shared" si="17"/>
        <v>Sin Riesgo</v>
      </c>
      <c r="T204" s="152"/>
    </row>
    <row r="205" spans="1:20" s="117" customFormat="1" ht="32.1" customHeight="1" x14ac:dyDescent="0.2">
      <c r="A205" s="361" t="s">
        <v>104</v>
      </c>
      <c r="B205" s="399" t="s">
        <v>3954</v>
      </c>
      <c r="C205" s="404" t="s">
        <v>4596</v>
      </c>
      <c r="D205" s="401">
        <f>1622+102+145+206</f>
        <v>2075</v>
      </c>
      <c r="E205" s="48">
        <v>0</v>
      </c>
      <c r="F205" s="48"/>
      <c r="G205" s="48">
        <v>0</v>
      </c>
      <c r="H205" s="48">
        <v>0</v>
      </c>
      <c r="I205" s="48">
        <v>0</v>
      </c>
      <c r="J205" s="48">
        <v>0.67410000000000003</v>
      </c>
      <c r="K205" s="48">
        <v>0.47620000000000001</v>
      </c>
      <c r="L205" s="48">
        <v>0</v>
      </c>
      <c r="M205" s="48">
        <v>0</v>
      </c>
      <c r="N205" s="48">
        <v>0</v>
      </c>
      <c r="O205" s="48">
        <v>0</v>
      </c>
      <c r="P205" s="48">
        <v>2.8736000000000002</v>
      </c>
      <c r="Q205" s="394">
        <f t="shared" si="18"/>
        <v>0.36580909090909092</v>
      </c>
      <c r="R205" s="395" t="str">
        <f t="shared" si="19"/>
        <v>SI</v>
      </c>
      <c r="S205" s="376" t="str">
        <f t="shared" si="17"/>
        <v>Sin Riesgo</v>
      </c>
      <c r="T205" s="152"/>
    </row>
    <row r="206" spans="1:20" s="117" customFormat="1" ht="32.1" customHeight="1" x14ac:dyDescent="0.2">
      <c r="A206" s="361" t="s">
        <v>104</v>
      </c>
      <c r="B206" s="399" t="s">
        <v>4412</v>
      </c>
      <c r="C206" s="404" t="s">
        <v>4597</v>
      </c>
      <c r="D206" s="401">
        <v>567</v>
      </c>
      <c r="E206" s="48">
        <v>0</v>
      </c>
      <c r="F206" s="48"/>
      <c r="G206" s="48"/>
      <c r="H206" s="48"/>
      <c r="I206" s="48">
        <v>0</v>
      </c>
      <c r="J206" s="48">
        <v>0</v>
      </c>
      <c r="K206" s="48">
        <v>0</v>
      </c>
      <c r="L206" s="48">
        <v>0</v>
      </c>
      <c r="M206" s="48">
        <v>0</v>
      </c>
      <c r="N206" s="48">
        <v>0</v>
      </c>
      <c r="O206" s="48">
        <v>4.6584000000000003</v>
      </c>
      <c r="P206" s="48">
        <v>0</v>
      </c>
      <c r="Q206" s="394">
        <f>AVERAGE(E206:P206)</f>
        <v>0.51760000000000006</v>
      </c>
      <c r="R206" s="395" t="str">
        <f t="shared" si="19"/>
        <v>SI</v>
      </c>
      <c r="S206" s="376" t="str">
        <f t="shared" si="17"/>
        <v>Sin Riesgo</v>
      </c>
      <c r="T206" s="152"/>
    </row>
    <row r="207" spans="1:20" s="117" customFormat="1" ht="32.1" customHeight="1" x14ac:dyDescent="0.2">
      <c r="A207" s="361" t="s">
        <v>104</v>
      </c>
      <c r="B207" s="399" t="s">
        <v>3954</v>
      </c>
      <c r="C207" s="404" t="s">
        <v>4598</v>
      </c>
      <c r="D207" s="401"/>
      <c r="E207" s="48"/>
      <c r="F207" s="48"/>
      <c r="G207" s="48"/>
      <c r="H207" s="48"/>
      <c r="I207" s="48"/>
      <c r="J207" s="48"/>
      <c r="K207" s="48"/>
      <c r="L207" s="48"/>
      <c r="M207" s="48"/>
      <c r="N207" s="48">
        <v>0</v>
      </c>
      <c r="O207" s="48">
        <v>0</v>
      </c>
      <c r="P207" s="48">
        <v>0</v>
      </c>
      <c r="Q207" s="394">
        <f>AVERAGE(E207:P207)</f>
        <v>0</v>
      </c>
      <c r="R207" s="395" t="str">
        <f>IF(Q207&lt;5,"SI","NO")</f>
        <v>SI</v>
      </c>
      <c r="S207" s="376" t="str">
        <f t="shared" si="17"/>
        <v>Sin Riesgo</v>
      </c>
      <c r="T207" s="152"/>
    </row>
    <row r="208" spans="1:20" s="117" customFormat="1" ht="32.1" customHeight="1" x14ac:dyDescent="0.2">
      <c r="A208" s="361" t="s">
        <v>104</v>
      </c>
      <c r="B208" s="399" t="s">
        <v>3954</v>
      </c>
      <c r="C208" s="404" t="s">
        <v>4599</v>
      </c>
      <c r="D208" s="401"/>
      <c r="E208" s="48"/>
      <c r="F208" s="48"/>
      <c r="G208" s="48"/>
      <c r="H208" s="48"/>
      <c r="I208" s="48"/>
      <c r="J208" s="48"/>
      <c r="K208" s="48"/>
      <c r="L208" s="48"/>
      <c r="M208" s="48"/>
      <c r="N208" s="48">
        <v>0</v>
      </c>
      <c r="O208" s="48"/>
      <c r="P208" s="48"/>
      <c r="Q208" s="394">
        <f t="shared" si="18"/>
        <v>0</v>
      </c>
      <c r="R208" s="395" t="str">
        <f t="shared" si="19"/>
        <v>SI</v>
      </c>
      <c r="S208" s="376" t="str">
        <f t="shared" si="17"/>
        <v>Sin Riesgo</v>
      </c>
      <c r="T208" s="152"/>
    </row>
    <row r="209" spans="1:20" s="117" customFormat="1" ht="32.1" customHeight="1" x14ac:dyDescent="0.2">
      <c r="A209" s="361" t="s">
        <v>104</v>
      </c>
      <c r="B209" s="399" t="s">
        <v>4061</v>
      </c>
      <c r="C209" s="404" t="s">
        <v>4600</v>
      </c>
      <c r="D209" s="401">
        <v>585</v>
      </c>
      <c r="E209" s="48">
        <v>0</v>
      </c>
      <c r="F209" s="48">
        <v>0</v>
      </c>
      <c r="G209" s="48">
        <v>0</v>
      </c>
      <c r="H209" s="48">
        <v>0</v>
      </c>
      <c r="I209" s="48">
        <v>0</v>
      </c>
      <c r="J209" s="48">
        <v>2.8736000000000002</v>
      </c>
      <c r="K209" s="48">
        <v>18.064499999999999</v>
      </c>
      <c r="L209" s="48">
        <v>0</v>
      </c>
      <c r="M209" s="48">
        <v>0</v>
      </c>
      <c r="N209" s="48">
        <v>0</v>
      </c>
      <c r="O209" s="48">
        <v>0</v>
      </c>
      <c r="P209" s="48">
        <v>10.193199999999999</v>
      </c>
      <c r="Q209" s="394">
        <f t="shared" si="18"/>
        <v>2.5942749999999997</v>
      </c>
      <c r="R209" s="395" t="str">
        <f t="shared" si="19"/>
        <v>SI</v>
      </c>
      <c r="S209" s="376" t="str">
        <f t="shared" si="17"/>
        <v>Sin Riesgo</v>
      </c>
      <c r="T209" s="152"/>
    </row>
    <row r="210" spans="1:20" s="117" customFormat="1" ht="32.1" customHeight="1" x14ac:dyDescent="0.2">
      <c r="A210" s="361" t="s">
        <v>104</v>
      </c>
      <c r="B210" s="399" t="s">
        <v>4060</v>
      </c>
      <c r="C210" s="404" t="s">
        <v>4601</v>
      </c>
      <c r="D210" s="401">
        <v>681</v>
      </c>
      <c r="E210" s="48">
        <v>4.0697999999999999</v>
      </c>
      <c r="F210" s="48">
        <v>0</v>
      </c>
      <c r="G210" s="48">
        <v>0</v>
      </c>
      <c r="H210" s="48">
        <v>0</v>
      </c>
      <c r="I210" s="48">
        <v>0</v>
      </c>
      <c r="J210" s="48">
        <v>0</v>
      </c>
      <c r="K210" s="48">
        <v>19.175599999999999</v>
      </c>
      <c r="L210" s="48">
        <v>11.655200000000001</v>
      </c>
      <c r="M210" s="48">
        <v>0</v>
      </c>
      <c r="N210" s="48">
        <v>0.66669999999999996</v>
      </c>
      <c r="O210" s="48">
        <v>9.3340999999999994</v>
      </c>
      <c r="P210" s="48">
        <v>1.2422</v>
      </c>
      <c r="Q210" s="394">
        <f t="shared" si="18"/>
        <v>3.8452999999999995</v>
      </c>
      <c r="R210" s="395" t="str">
        <f t="shared" si="19"/>
        <v>SI</v>
      </c>
      <c r="S210" s="376" t="str">
        <f t="shared" si="17"/>
        <v>Sin Riesgo</v>
      </c>
      <c r="T210" s="152"/>
    </row>
    <row r="211" spans="1:20" s="117" customFormat="1" ht="32.1" customHeight="1" x14ac:dyDescent="0.2">
      <c r="A211" s="361" t="s">
        <v>104</v>
      </c>
      <c r="B211" s="399" t="s">
        <v>4063</v>
      </c>
      <c r="C211" s="404" t="s">
        <v>4602</v>
      </c>
      <c r="D211" s="401">
        <v>757</v>
      </c>
      <c r="E211" s="48">
        <v>0</v>
      </c>
      <c r="F211" s="48">
        <v>0</v>
      </c>
      <c r="G211" s="48">
        <v>0</v>
      </c>
      <c r="H211" s="48">
        <v>0</v>
      </c>
      <c r="I211" s="48">
        <v>0</v>
      </c>
      <c r="J211" s="48">
        <v>0</v>
      </c>
      <c r="K211" s="48">
        <v>0</v>
      </c>
      <c r="L211" s="48">
        <v>0</v>
      </c>
      <c r="M211" s="48">
        <v>0</v>
      </c>
      <c r="N211" s="48">
        <v>4.3102999999999998</v>
      </c>
      <c r="O211" s="48">
        <v>3.2258</v>
      </c>
      <c r="P211" s="48">
        <v>8.4770000000000003</v>
      </c>
      <c r="Q211" s="394">
        <f t="shared" si="18"/>
        <v>1.3344250000000002</v>
      </c>
      <c r="R211" s="395" t="str">
        <f t="shared" si="19"/>
        <v>SI</v>
      </c>
      <c r="S211" s="376" t="str">
        <f t="shared" si="17"/>
        <v>Sin Riesgo</v>
      </c>
      <c r="T211" s="152"/>
    </row>
    <row r="212" spans="1:20" s="117" customFormat="1" ht="32.1" customHeight="1" x14ac:dyDescent="0.2">
      <c r="A212" s="361" t="s">
        <v>104</v>
      </c>
      <c r="B212" s="399" t="s">
        <v>4416</v>
      </c>
      <c r="C212" s="404" t="s">
        <v>4603</v>
      </c>
      <c r="D212" s="401">
        <v>2072</v>
      </c>
      <c r="E212" s="48">
        <v>2.907</v>
      </c>
      <c r="F212" s="48">
        <v>0</v>
      </c>
      <c r="G212" s="48">
        <v>0</v>
      </c>
      <c r="H212" s="48">
        <v>20.833300000000001</v>
      </c>
      <c r="I212" s="48">
        <v>0</v>
      </c>
      <c r="J212" s="48">
        <v>0</v>
      </c>
      <c r="K212" s="48">
        <v>0</v>
      </c>
      <c r="L212" s="48">
        <v>0</v>
      </c>
      <c r="M212" s="48">
        <v>0</v>
      </c>
      <c r="N212" s="48">
        <v>0</v>
      </c>
      <c r="O212" s="48">
        <v>6.0994000000000002</v>
      </c>
      <c r="P212" s="48">
        <v>3.2258</v>
      </c>
      <c r="Q212" s="394">
        <f t="shared" si="18"/>
        <v>2.7554583333333333</v>
      </c>
      <c r="R212" s="395" t="str">
        <f t="shared" si="19"/>
        <v>SI</v>
      </c>
      <c r="S212" s="376" t="str">
        <f t="shared" si="17"/>
        <v>Sin Riesgo</v>
      </c>
      <c r="T212" s="152"/>
    </row>
    <row r="213" spans="1:20" s="117" customFormat="1" ht="32.1" customHeight="1" x14ac:dyDescent="0.2">
      <c r="A213" s="361" t="s">
        <v>104</v>
      </c>
      <c r="B213" s="399" t="s">
        <v>421</v>
      </c>
      <c r="C213" s="404" t="s">
        <v>4604</v>
      </c>
      <c r="D213" s="401">
        <v>302</v>
      </c>
      <c r="E213" s="48">
        <v>6.9767000000000001</v>
      </c>
      <c r="F213" s="48">
        <v>0</v>
      </c>
      <c r="G213" s="48">
        <v>0</v>
      </c>
      <c r="H213" s="48">
        <v>0</v>
      </c>
      <c r="I213" s="48">
        <v>0</v>
      </c>
      <c r="J213" s="48">
        <v>4.3102999999999998</v>
      </c>
      <c r="K213" s="48">
        <v>0</v>
      </c>
      <c r="L213" s="48">
        <v>0</v>
      </c>
      <c r="M213" s="48">
        <v>0</v>
      </c>
      <c r="N213" s="48">
        <v>0</v>
      </c>
      <c r="O213" s="48">
        <v>8.2758000000000003</v>
      </c>
      <c r="P213" s="48">
        <v>4.3102999999999998</v>
      </c>
      <c r="Q213" s="394">
        <f t="shared" si="18"/>
        <v>1.989425</v>
      </c>
      <c r="R213" s="395" t="str">
        <f t="shared" si="19"/>
        <v>SI</v>
      </c>
      <c r="S213" s="376" t="str">
        <f t="shared" si="17"/>
        <v>Sin Riesgo</v>
      </c>
      <c r="T213" s="152"/>
    </row>
    <row r="214" spans="1:20" s="117" customFormat="1" ht="32.1" customHeight="1" x14ac:dyDescent="0.2">
      <c r="A214" s="361" t="s">
        <v>104</v>
      </c>
      <c r="B214" s="399" t="s">
        <v>4062</v>
      </c>
      <c r="C214" s="404" t="s">
        <v>4605</v>
      </c>
      <c r="D214" s="401">
        <v>202</v>
      </c>
      <c r="E214" s="48">
        <v>4.4303999999999997</v>
      </c>
      <c r="F214" s="48">
        <v>0</v>
      </c>
      <c r="G214" s="48">
        <v>0</v>
      </c>
      <c r="H214" s="48">
        <v>0</v>
      </c>
      <c r="I214" s="48">
        <v>0</v>
      </c>
      <c r="J214" s="48">
        <v>0</v>
      </c>
      <c r="K214" s="48">
        <v>1.0869</v>
      </c>
      <c r="L214" s="48">
        <v>0</v>
      </c>
      <c r="M214" s="48">
        <v>0</v>
      </c>
      <c r="N214" s="48">
        <v>0</v>
      </c>
      <c r="O214" s="48">
        <v>8.9441000000000006</v>
      </c>
      <c r="P214" s="48">
        <v>0</v>
      </c>
      <c r="Q214" s="394">
        <f t="shared" si="18"/>
        <v>1.2051166666666668</v>
      </c>
      <c r="R214" s="395" t="str">
        <f t="shared" si="19"/>
        <v>SI</v>
      </c>
      <c r="S214" s="376" t="str">
        <f t="shared" si="17"/>
        <v>Sin Riesgo</v>
      </c>
      <c r="T214" s="152"/>
    </row>
    <row r="215" spans="1:20" s="117" customFormat="1" ht="32.1" customHeight="1" x14ac:dyDescent="0.2">
      <c r="A215" s="361" t="s">
        <v>104</v>
      </c>
      <c r="B215" s="399" t="s">
        <v>4415</v>
      </c>
      <c r="C215" s="404" t="s">
        <v>4606</v>
      </c>
      <c r="D215" s="401">
        <v>165</v>
      </c>
      <c r="E215" s="48">
        <v>0</v>
      </c>
      <c r="F215" s="48">
        <v>0</v>
      </c>
      <c r="G215" s="48">
        <v>0</v>
      </c>
      <c r="H215" s="48">
        <v>0</v>
      </c>
      <c r="I215" s="48">
        <v>0</v>
      </c>
      <c r="J215" s="48">
        <v>0</v>
      </c>
      <c r="K215" s="48">
        <v>0</v>
      </c>
      <c r="L215" s="48">
        <v>0</v>
      </c>
      <c r="M215" s="48">
        <v>0</v>
      </c>
      <c r="N215" s="48">
        <v>0</v>
      </c>
      <c r="O215" s="48">
        <v>8.9728999999999992</v>
      </c>
      <c r="P215" s="48">
        <v>3.871</v>
      </c>
      <c r="Q215" s="394">
        <f t="shared" si="18"/>
        <v>1.070325</v>
      </c>
      <c r="R215" s="395" t="str">
        <f t="shared" si="19"/>
        <v>SI</v>
      </c>
      <c r="S215" s="376" t="str">
        <f t="shared" si="17"/>
        <v>Sin Riesgo</v>
      </c>
      <c r="T215" s="152"/>
    </row>
    <row r="216" spans="1:20" s="117" customFormat="1" ht="32.1" customHeight="1" x14ac:dyDescent="0.2">
      <c r="A216" s="361" t="s">
        <v>104</v>
      </c>
      <c r="B216" s="399" t="s">
        <v>4065</v>
      </c>
      <c r="C216" s="404" t="s">
        <v>4607</v>
      </c>
      <c r="D216" s="401">
        <v>1012</v>
      </c>
      <c r="E216" s="48">
        <v>0</v>
      </c>
      <c r="F216" s="48">
        <v>0</v>
      </c>
      <c r="G216" s="48">
        <v>0</v>
      </c>
      <c r="H216" s="48">
        <v>0</v>
      </c>
      <c r="I216" s="48">
        <v>0</v>
      </c>
      <c r="J216" s="48">
        <v>0</v>
      </c>
      <c r="K216" s="48">
        <v>0</v>
      </c>
      <c r="L216" s="48">
        <v>0</v>
      </c>
      <c r="M216" s="48">
        <v>0</v>
      </c>
      <c r="N216" s="48">
        <v>0</v>
      </c>
      <c r="O216" s="48">
        <v>0</v>
      </c>
      <c r="P216" s="48">
        <v>0</v>
      </c>
      <c r="Q216" s="394">
        <f t="shared" si="18"/>
        <v>0</v>
      </c>
      <c r="R216" s="395" t="str">
        <f t="shared" si="19"/>
        <v>SI</v>
      </c>
      <c r="S216" s="376" t="str">
        <f t="shared" si="17"/>
        <v>Sin Riesgo</v>
      </c>
      <c r="T216" s="152"/>
    </row>
    <row r="217" spans="1:20" s="117" customFormat="1" ht="32.1" customHeight="1" x14ac:dyDescent="0.2">
      <c r="A217" s="361" t="s">
        <v>104</v>
      </c>
      <c r="B217" s="399" t="s">
        <v>4413</v>
      </c>
      <c r="C217" s="404" t="s">
        <v>4608</v>
      </c>
      <c r="D217" s="401">
        <v>599</v>
      </c>
      <c r="E217" s="48">
        <v>0</v>
      </c>
      <c r="F217" s="48">
        <v>0</v>
      </c>
      <c r="G217" s="48">
        <v>0</v>
      </c>
      <c r="H217" s="48">
        <v>0</v>
      </c>
      <c r="I217" s="48">
        <v>6.4516</v>
      </c>
      <c r="J217" s="48">
        <v>12.983499999999999</v>
      </c>
      <c r="K217" s="48">
        <v>5.4348000000000001</v>
      </c>
      <c r="L217" s="48">
        <v>2.7585999999999999</v>
      </c>
      <c r="M217" s="48">
        <v>0</v>
      </c>
      <c r="N217" s="48">
        <v>0</v>
      </c>
      <c r="O217" s="48">
        <v>21.738</v>
      </c>
      <c r="P217" s="48">
        <v>2.8736000000000002</v>
      </c>
      <c r="Q217" s="394">
        <f t="shared" si="18"/>
        <v>4.3533416666666671</v>
      </c>
      <c r="R217" s="395" t="str">
        <f t="shared" si="19"/>
        <v>SI</v>
      </c>
      <c r="S217" s="376" t="str">
        <f t="shared" si="17"/>
        <v>Sin Riesgo</v>
      </c>
      <c r="T217" s="152"/>
    </row>
    <row r="218" spans="1:20" s="117" customFormat="1" ht="32.1" customHeight="1" x14ac:dyDescent="0.2">
      <c r="A218" s="361" t="s">
        <v>104</v>
      </c>
      <c r="B218" s="399" t="s">
        <v>4414</v>
      </c>
      <c r="C218" s="404" t="s">
        <v>4609</v>
      </c>
      <c r="D218" s="401">
        <v>4051</v>
      </c>
      <c r="E218" s="48">
        <v>1.9379999999999999</v>
      </c>
      <c r="F218" s="48">
        <v>0</v>
      </c>
      <c r="G218" s="48">
        <v>0</v>
      </c>
      <c r="H218" s="48">
        <v>0</v>
      </c>
      <c r="I218" s="48">
        <v>0</v>
      </c>
      <c r="J218" s="48">
        <v>8.6206999999999994</v>
      </c>
      <c r="K218" s="48">
        <v>0</v>
      </c>
      <c r="L218" s="48">
        <v>0</v>
      </c>
      <c r="M218" s="48">
        <v>0</v>
      </c>
      <c r="N218" s="48">
        <v>0</v>
      </c>
      <c r="O218" s="48">
        <v>1.7087000000000001</v>
      </c>
      <c r="P218" s="48">
        <v>0</v>
      </c>
      <c r="Q218" s="394">
        <f t="shared" si="18"/>
        <v>1.0222833333333334</v>
      </c>
      <c r="R218" s="395" t="str">
        <f t="shared" si="19"/>
        <v>SI</v>
      </c>
      <c r="S218" s="376" t="str">
        <f t="shared" si="17"/>
        <v>Sin Riesgo</v>
      </c>
      <c r="T218" s="152"/>
    </row>
    <row r="219" spans="1:20" s="117" customFormat="1" ht="32.1" customHeight="1" x14ac:dyDescent="0.2">
      <c r="A219" s="361" t="s">
        <v>104</v>
      </c>
      <c r="B219" s="399" t="s">
        <v>4066</v>
      </c>
      <c r="C219" s="404" t="s">
        <v>4610</v>
      </c>
      <c r="D219" s="401">
        <v>559</v>
      </c>
      <c r="E219" s="48">
        <v>3.7974999999999999</v>
      </c>
      <c r="F219" s="48">
        <v>0</v>
      </c>
      <c r="G219" s="48">
        <v>0</v>
      </c>
      <c r="H219" s="48">
        <v>0</v>
      </c>
      <c r="I219" s="48">
        <v>0</v>
      </c>
      <c r="J219" s="48">
        <v>8.9687000000000001</v>
      </c>
      <c r="K219" s="48">
        <v>0</v>
      </c>
      <c r="L219" s="48">
        <v>0</v>
      </c>
      <c r="M219" s="48">
        <v>12.5806</v>
      </c>
      <c r="N219" s="48">
        <v>0</v>
      </c>
      <c r="O219" s="48">
        <v>1.7241</v>
      </c>
      <c r="P219" s="48">
        <v>0</v>
      </c>
      <c r="Q219" s="394">
        <f t="shared" si="18"/>
        <v>2.2559083333333336</v>
      </c>
      <c r="R219" s="395" t="str">
        <f t="shared" si="19"/>
        <v>SI</v>
      </c>
      <c r="S219" s="376" t="str">
        <f t="shared" si="17"/>
        <v>Sin Riesgo</v>
      </c>
      <c r="T219" s="152"/>
    </row>
    <row r="220" spans="1:20" s="117" customFormat="1" ht="32.1" customHeight="1" x14ac:dyDescent="0.2">
      <c r="A220" s="361" t="s">
        <v>104</v>
      </c>
      <c r="B220" s="399" t="s">
        <v>3956</v>
      </c>
      <c r="C220" s="404" t="s">
        <v>4611</v>
      </c>
      <c r="D220" s="401">
        <v>14924</v>
      </c>
      <c r="E220" s="48">
        <v>6.88</v>
      </c>
      <c r="F220" s="48">
        <v>0</v>
      </c>
      <c r="G220" s="48">
        <v>0.36</v>
      </c>
      <c r="H220" s="48">
        <v>0</v>
      </c>
      <c r="I220" s="48">
        <v>0</v>
      </c>
      <c r="J220" s="48">
        <v>0</v>
      </c>
      <c r="K220" s="48"/>
      <c r="L220" s="48">
        <v>0</v>
      </c>
      <c r="M220" s="48">
        <v>0</v>
      </c>
      <c r="N220" s="48">
        <v>0</v>
      </c>
      <c r="O220" s="48">
        <v>0</v>
      </c>
      <c r="P220" s="48">
        <v>2.4900000000000002</v>
      </c>
      <c r="Q220" s="394">
        <f t="shared" si="18"/>
        <v>0.88454545454545463</v>
      </c>
      <c r="R220" s="395" t="str">
        <f t="shared" si="19"/>
        <v>SI</v>
      </c>
      <c r="S220" s="376" t="str">
        <f t="shared" si="17"/>
        <v>Sin Riesgo</v>
      </c>
      <c r="T220" s="152"/>
    </row>
    <row r="221" spans="1:20" s="117" customFormat="1" ht="32.1" customHeight="1" x14ac:dyDescent="0.2">
      <c r="A221" s="361" t="s">
        <v>104</v>
      </c>
      <c r="B221" s="399" t="s">
        <v>4064</v>
      </c>
      <c r="C221" s="404" t="s">
        <v>4612</v>
      </c>
      <c r="D221" s="401">
        <v>10416</v>
      </c>
      <c r="E221" s="48">
        <v>0</v>
      </c>
      <c r="F221" s="48">
        <v>0</v>
      </c>
      <c r="G221" s="48">
        <v>0</v>
      </c>
      <c r="H221" s="48">
        <v>0</v>
      </c>
      <c r="I221" s="48">
        <v>0</v>
      </c>
      <c r="J221" s="48">
        <v>0</v>
      </c>
      <c r="K221" s="48"/>
      <c r="L221" s="48">
        <v>0</v>
      </c>
      <c r="M221" s="48">
        <v>0</v>
      </c>
      <c r="N221" s="48">
        <v>0</v>
      </c>
      <c r="O221" s="48">
        <v>0</v>
      </c>
      <c r="P221" s="48">
        <v>0</v>
      </c>
      <c r="Q221" s="394">
        <f t="shared" si="18"/>
        <v>0</v>
      </c>
      <c r="R221" s="395" t="str">
        <f t="shared" si="19"/>
        <v>SI</v>
      </c>
      <c r="S221" s="376" t="str">
        <f t="shared" si="17"/>
        <v>Sin Riesgo</v>
      </c>
      <c r="T221" s="152"/>
    </row>
    <row r="222" spans="1:20" s="117" customFormat="1" ht="32.1" customHeight="1" x14ac:dyDescent="0.2">
      <c r="A222" s="361" t="s">
        <v>104</v>
      </c>
      <c r="B222" s="399" t="s">
        <v>420</v>
      </c>
      <c r="C222" s="404" t="s">
        <v>4613</v>
      </c>
      <c r="D222" s="401">
        <v>1606</v>
      </c>
      <c r="E222" s="48">
        <v>0.15</v>
      </c>
      <c r="F222" s="48">
        <v>0</v>
      </c>
      <c r="G222" s="48">
        <v>0</v>
      </c>
      <c r="H222" s="48">
        <v>0</v>
      </c>
      <c r="I222" s="48">
        <v>0</v>
      </c>
      <c r="J222" s="48">
        <v>0</v>
      </c>
      <c r="K222" s="48"/>
      <c r="L222" s="48">
        <v>0</v>
      </c>
      <c r="M222" s="48">
        <v>4.26</v>
      </c>
      <c r="N222" s="48">
        <v>1.94</v>
      </c>
      <c r="O222" s="48">
        <v>0</v>
      </c>
      <c r="P222" s="48">
        <v>0</v>
      </c>
      <c r="Q222" s="394">
        <f t="shared" si="18"/>
        <v>0.57727272727272727</v>
      </c>
      <c r="R222" s="395" t="str">
        <f t="shared" si="19"/>
        <v>SI</v>
      </c>
      <c r="S222" s="376" t="str">
        <f t="shared" si="17"/>
        <v>Sin Riesgo</v>
      </c>
      <c r="T222" s="152"/>
    </row>
    <row r="223" spans="1:20" s="117" customFormat="1" ht="32.1" customHeight="1" x14ac:dyDescent="0.2">
      <c r="A223" s="361" t="s">
        <v>104</v>
      </c>
      <c r="B223" s="399" t="s">
        <v>4068</v>
      </c>
      <c r="C223" s="404" t="s">
        <v>4614</v>
      </c>
      <c r="D223" s="401">
        <v>183</v>
      </c>
      <c r="E223" s="48">
        <v>0</v>
      </c>
      <c r="F223" s="48">
        <v>0</v>
      </c>
      <c r="G223" s="48">
        <v>0</v>
      </c>
      <c r="H223" s="48">
        <v>0</v>
      </c>
      <c r="I223" s="48">
        <v>6.02</v>
      </c>
      <c r="J223" s="48">
        <v>0</v>
      </c>
      <c r="K223" s="48"/>
      <c r="L223" s="48"/>
      <c r="M223" s="48">
        <v>0.87</v>
      </c>
      <c r="N223" s="48">
        <v>0</v>
      </c>
      <c r="O223" s="48">
        <v>0</v>
      </c>
      <c r="P223" s="48">
        <v>15.5</v>
      </c>
      <c r="Q223" s="394">
        <f t="shared" si="18"/>
        <v>2.2389999999999999</v>
      </c>
      <c r="R223" s="395" t="str">
        <f t="shared" si="19"/>
        <v>SI</v>
      </c>
      <c r="S223" s="376" t="str">
        <f t="shared" si="17"/>
        <v>Sin Riesgo</v>
      </c>
      <c r="T223" s="152"/>
    </row>
    <row r="224" spans="1:20" s="117" customFormat="1" ht="32.1" customHeight="1" x14ac:dyDescent="0.2">
      <c r="A224" s="361" t="s">
        <v>104</v>
      </c>
      <c r="B224" s="400" t="s">
        <v>3957</v>
      </c>
      <c r="C224" s="404" t="s">
        <v>4615</v>
      </c>
      <c r="D224" s="401">
        <v>684</v>
      </c>
      <c r="E224" s="48">
        <v>0</v>
      </c>
      <c r="F224" s="48">
        <v>0</v>
      </c>
      <c r="G224" s="48">
        <v>0</v>
      </c>
      <c r="H224" s="48">
        <v>0</v>
      </c>
      <c r="I224" s="48">
        <v>0</v>
      </c>
      <c r="J224" s="48">
        <v>0</v>
      </c>
      <c r="K224" s="48">
        <v>0</v>
      </c>
      <c r="L224" s="48">
        <v>0</v>
      </c>
      <c r="M224" s="48">
        <v>9.3168000000000006</v>
      </c>
      <c r="N224" s="48">
        <v>0</v>
      </c>
      <c r="O224" s="48">
        <v>0</v>
      </c>
      <c r="P224" s="48">
        <v>4.8387000000000002</v>
      </c>
      <c r="Q224" s="394">
        <f t="shared" si="18"/>
        <v>1.1796249999999999</v>
      </c>
      <c r="R224" s="395" t="str">
        <f t="shared" si="19"/>
        <v>SI</v>
      </c>
      <c r="S224" s="376" t="str">
        <f t="shared" si="17"/>
        <v>Sin Riesgo</v>
      </c>
      <c r="T224" s="152"/>
    </row>
    <row r="225" spans="1:20" s="117" customFormat="1" ht="32.1" customHeight="1" x14ac:dyDescent="0.2">
      <c r="A225" s="361" t="s">
        <v>104</v>
      </c>
      <c r="B225" s="400" t="s">
        <v>3958</v>
      </c>
      <c r="C225" s="404" t="s">
        <v>4616</v>
      </c>
      <c r="D225" s="401">
        <v>279</v>
      </c>
      <c r="E225" s="48">
        <v>0</v>
      </c>
      <c r="F225" s="48">
        <v>0</v>
      </c>
      <c r="G225" s="48">
        <v>0</v>
      </c>
      <c r="H225" s="48">
        <v>0</v>
      </c>
      <c r="I225" s="48">
        <v>0</v>
      </c>
      <c r="J225" s="48">
        <v>0</v>
      </c>
      <c r="K225" s="48">
        <v>8.2417999999999996</v>
      </c>
      <c r="L225" s="48">
        <v>0</v>
      </c>
      <c r="M225" s="48">
        <v>0</v>
      </c>
      <c r="N225" s="48">
        <v>0</v>
      </c>
      <c r="O225" s="48">
        <v>0</v>
      </c>
      <c r="P225" s="48">
        <v>0</v>
      </c>
      <c r="Q225" s="394">
        <f t="shared" si="18"/>
        <v>0.68681666666666663</v>
      </c>
      <c r="R225" s="395" t="str">
        <f t="shared" si="19"/>
        <v>SI</v>
      </c>
      <c r="S225" s="376" t="str">
        <f t="shared" si="17"/>
        <v>Sin Riesgo</v>
      </c>
      <c r="T225" s="152"/>
    </row>
    <row r="226" spans="1:20" s="117" customFormat="1" ht="32.1" customHeight="1" x14ac:dyDescent="0.2">
      <c r="A226" s="385" t="s">
        <v>109</v>
      </c>
      <c r="B226" s="397" t="s">
        <v>88</v>
      </c>
      <c r="C226" s="403" t="s">
        <v>324</v>
      </c>
      <c r="D226" s="398">
        <v>767</v>
      </c>
      <c r="E226" s="48"/>
      <c r="F226" s="48"/>
      <c r="G226" s="48"/>
      <c r="H226" s="48"/>
      <c r="I226" s="48">
        <v>0</v>
      </c>
      <c r="J226" s="48">
        <v>40</v>
      </c>
      <c r="K226" s="48">
        <v>0</v>
      </c>
      <c r="L226" s="48">
        <v>0</v>
      </c>
      <c r="M226" s="48">
        <v>0</v>
      </c>
      <c r="N226" s="48">
        <v>0</v>
      </c>
      <c r="O226" s="48">
        <v>0</v>
      </c>
      <c r="P226" s="48">
        <v>0</v>
      </c>
      <c r="Q226" s="374">
        <f t="shared" si="18"/>
        <v>5</v>
      </c>
      <c r="R226" s="375" t="str">
        <f t="shared" si="19"/>
        <v>NO</v>
      </c>
      <c r="S226" s="376" t="str">
        <f t="shared" ref="S226:S233" si="20">IF(Q226&lt;5,"Sin Riesgo",IF(Q226 &lt;=14,"Bajo",IF(Q226&lt;=35,"Medio",IF(Q226&lt;=80,"Alto","Inviable Sanitariamente"))))</f>
        <v>Bajo</v>
      </c>
    </row>
    <row r="227" spans="1:20" s="117" customFormat="1" ht="32.1" customHeight="1" x14ac:dyDescent="0.2">
      <c r="A227" s="385" t="s">
        <v>109</v>
      </c>
      <c r="B227" s="397" t="s">
        <v>2191</v>
      </c>
      <c r="C227" s="397" t="s">
        <v>328</v>
      </c>
      <c r="D227" s="398"/>
      <c r="E227" s="48"/>
      <c r="F227" s="48"/>
      <c r="G227" s="48"/>
      <c r="H227" s="48"/>
      <c r="I227" s="48"/>
      <c r="J227" s="48"/>
      <c r="K227" s="48"/>
      <c r="L227" s="48"/>
      <c r="M227" s="48"/>
      <c r="N227" s="48"/>
      <c r="O227" s="48"/>
      <c r="P227" s="48"/>
      <c r="Q227" s="374" t="e">
        <f>AVERAGE(E227:P227)</f>
        <v>#DIV/0!</v>
      </c>
      <c r="R227" s="375" t="e">
        <f>IF(Q227&lt;5,"SI","NO")</f>
        <v>#DIV/0!</v>
      </c>
      <c r="S227" s="376" t="e">
        <f t="shared" si="20"/>
        <v>#DIV/0!</v>
      </c>
    </row>
    <row r="228" spans="1:20" s="117" customFormat="1" ht="32.1" customHeight="1" x14ac:dyDescent="0.2">
      <c r="A228" s="385" t="s">
        <v>109</v>
      </c>
      <c r="B228" s="397" t="s">
        <v>89</v>
      </c>
      <c r="C228" s="397" t="s">
        <v>325</v>
      </c>
      <c r="D228" s="398">
        <v>317</v>
      </c>
      <c r="E228" s="48"/>
      <c r="F228" s="48"/>
      <c r="G228" s="48"/>
      <c r="H228" s="48"/>
      <c r="I228" s="48">
        <v>0</v>
      </c>
      <c r="J228" s="48">
        <v>0</v>
      </c>
      <c r="K228" s="48">
        <v>0</v>
      </c>
      <c r="L228" s="48">
        <v>0</v>
      </c>
      <c r="M228" s="48">
        <v>0</v>
      </c>
      <c r="N228" s="48">
        <v>0</v>
      </c>
      <c r="O228" s="48">
        <v>0</v>
      </c>
      <c r="P228" s="48">
        <v>0</v>
      </c>
      <c r="Q228" s="374">
        <f t="shared" si="18"/>
        <v>0</v>
      </c>
      <c r="R228" s="375" t="str">
        <f t="shared" si="19"/>
        <v>SI</v>
      </c>
      <c r="S228" s="376" t="str">
        <f t="shared" si="20"/>
        <v>Sin Riesgo</v>
      </c>
    </row>
    <row r="229" spans="1:20" s="117" customFormat="1" ht="32.1" customHeight="1" x14ac:dyDescent="0.2">
      <c r="A229" s="385" t="s">
        <v>109</v>
      </c>
      <c r="B229" s="397" t="s">
        <v>461</v>
      </c>
      <c r="C229" s="397" t="s">
        <v>326</v>
      </c>
      <c r="D229" s="398">
        <v>412</v>
      </c>
      <c r="E229" s="48"/>
      <c r="F229" s="48"/>
      <c r="G229" s="48"/>
      <c r="H229" s="48"/>
      <c r="I229" s="48">
        <v>0</v>
      </c>
      <c r="J229" s="48">
        <v>0</v>
      </c>
      <c r="K229" s="48">
        <v>0</v>
      </c>
      <c r="L229" s="48">
        <v>0</v>
      </c>
      <c r="M229" s="48">
        <v>0</v>
      </c>
      <c r="N229" s="48">
        <v>0</v>
      </c>
      <c r="O229" s="48">
        <v>0</v>
      </c>
      <c r="P229" s="48">
        <v>0</v>
      </c>
      <c r="Q229" s="374">
        <f t="shared" si="18"/>
        <v>0</v>
      </c>
      <c r="R229" s="375" t="str">
        <f t="shared" si="19"/>
        <v>SI</v>
      </c>
      <c r="S229" s="376" t="str">
        <f t="shared" si="20"/>
        <v>Sin Riesgo</v>
      </c>
    </row>
    <row r="230" spans="1:20" s="117" customFormat="1" ht="32.1" customHeight="1" x14ac:dyDescent="0.2">
      <c r="A230" s="385" t="s">
        <v>109</v>
      </c>
      <c r="B230" s="397" t="s">
        <v>90</v>
      </c>
      <c r="C230" s="397" t="s">
        <v>327</v>
      </c>
      <c r="D230" s="398">
        <v>733</v>
      </c>
      <c r="E230" s="48"/>
      <c r="F230" s="48"/>
      <c r="G230" s="48"/>
      <c r="H230" s="48"/>
      <c r="I230" s="48">
        <v>0</v>
      </c>
      <c r="J230" s="48">
        <v>0</v>
      </c>
      <c r="K230" s="48">
        <v>15</v>
      </c>
      <c r="L230" s="48">
        <v>0</v>
      </c>
      <c r="M230" s="48">
        <v>15</v>
      </c>
      <c r="N230" s="48">
        <v>0</v>
      </c>
      <c r="O230" s="48">
        <v>15</v>
      </c>
      <c r="P230" s="48">
        <v>0</v>
      </c>
      <c r="Q230" s="374">
        <f t="shared" si="18"/>
        <v>5.625</v>
      </c>
      <c r="R230" s="375" t="str">
        <f t="shared" si="19"/>
        <v>NO</v>
      </c>
      <c r="S230" s="376" t="str">
        <f t="shared" si="20"/>
        <v>Bajo</v>
      </c>
    </row>
    <row r="231" spans="1:20" s="117" customFormat="1" ht="32.1" customHeight="1" x14ac:dyDescent="0.2">
      <c r="A231" s="385" t="s">
        <v>109</v>
      </c>
      <c r="B231" s="397" t="s">
        <v>91</v>
      </c>
      <c r="C231" s="397" t="s">
        <v>4417</v>
      </c>
      <c r="D231" s="398">
        <v>94</v>
      </c>
      <c r="E231" s="48"/>
      <c r="F231" s="48"/>
      <c r="G231" s="48"/>
      <c r="H231" s="48"/>
      <c r="I231" s="48">
        <v>3</v>
      </c>
      <c r="J231" s="48">
        <v>0</v>
      </c>
      <c r="K231" s="48">
        <v>15</v>
      </c>
      <c r="L231" s="48">
        <v>0</v>
      </c>
      <c r="M231" s="48">
        <v>0</v>
      </c>
      <c r="N231" s="48">
        <v>0</v>
      </c>
      <c r="O231" s="48">
        <v>15</v>
      </c>
      <c r="P231" s="48">
        <v>0</v>
      </c>
      <c r="Q231" s="374">
        <f t="shared" si="18"/>
        <v>4.125</v>
      </c>
      <c r="R231" s="375" t="str">
        <f t="shared" si="19"/>
        <v>SI</v>
      </c>
      <c r="S231" s="376" t="str">
        <f t="shared" si="20"/>
        <v>Sin Riesgo</v>
      </c>
    </row>
    <row r="232" spans="1:20" s="117" customFormat="1" ht="32.1" customHeight="1" x14ac:dyDescent="0.2">
      <c r="A232" s="385" t="s">
        <v>109</v>
      </c>
      <c r="B232" s="397" t="s">
        <v>92</v>
      </c>
      <c r="C232" s="397" t="s">
        <v>329</v>
      </c>
      <c r="D232" s="398">
        <v>411</v>
      </c>
      <c r="E232" s="48"/>
      <c r="F232" s="48"/>
      <c r="G232" s="48"/>
      <c r="H232" s="48"/>
      <c r="I232" s="48">
        <v>0</v>
      </c>
      <c r="J232" s="48">
        <v>0</v>
      </c>
      <c r="K232" s="48">
        <v>0</v>
      </c>
      <c r="L232" s="48">
        <v>0</v>
      </c>
      <c r="M232" s="48">
        <v>0</v>
      </c>
      <c r="N232" s="48">
        <v>0</v>
      </c>
      <c r="O232" s="48">
        <v>0</v>
      </c>
      <c r="P232" s="48">
        <v>0</v>
      </c>
      <c r="Q232" s="374">
        <f t="shared" si="18"/>
        <v>0</v>
      </c>
      <c r="R232" s="375" t="str">
        <f t="shared" si="19"/>
        <v>SI</v>
      </c>
      <c r="S232" s="376" t="str">
        <f t="shared" si="20"/>
        <v>Sin Riesgo</v>
      </c>
    </row>
    <row r="233" spans="1:20" s="117" customFormat="1" ht="41.25" customHeight="1" x14ac:dyDescent="0.2">
      <c r="A233" s="385" t="s">
        <v>109</v>
      </c>
      <c r="B233" s="397" t="s">
        <v>93</v>
      </c>
      <c r="C233" s="397" t="s">
        <v>4418</v>
      </c>
      <c r="D233" s="398">
        <v>510</v>
      </c>
      <c r="E233" s="48"/>
      <c r="F233" s="48"/>
      <c r="G233" s="48"/>
      <c r="H233" s="48"/>
      <c r="I233" s="48">
        <v>0</v>
      </c>
      <c r="J233" s="48">
        <v>0</v>
      </c>
      <c r="K233" s="48">
        <v>0</v>
      </c>
      <c r="L233" s="48">
        <v>0</v>
      </c>
      <c r="M233" s="48">
        <v>0</v>
      </c>
      <c r="N233" s="48">
        <v>1.5</v>
      </c>
      <c r="O233" s="48">
        <v>0</v>
      </c>
      <c r="P233" s="48">
        <v>0</v>
      </c>
      <c r="Q233" s="374">
        <f t="shared" si="18"/>
        <v>0.1875</v>
      </c>
      <c r="R233" s="375" t="str">
        <f t="shared" si="19"/>
        <v>SI</v>
      </c>
      <c r="S233" s="376" t="str">
        <f t="shared" si="20"/>
        <v>Sin Riesgo</v>
      </c>
    </row>
    <row r="234" spans="1:20" ht="37.5" customHeight="1" x14ac:dyDescent="0.2"/>
    <row r="235" spans="1:20" ht="37.5" customHeight="1" x14ac:dyDescent="0.2"/>
    <row r="236" spans="1:20" ht="32.1" customHeight="1" x14ac:dyDescent="0.2"/>
    <row r="237" spans="1:20" ht="32.1" customHeight="1" x14ac:dyDescent="0.2">
      <c r="A237" s="268" t="s">
        <v>4121</v>
      </c>
      <c r="B237" s="267" t="s">
        <v>4184</v>
      </c>
      <c r="C237" s="322" t="s">
        <v>4419</v>
      </c>
      <c r="D237" s="323"/>
      <c r="E237" s="323"/>
      <c r="F237" s="323"/>
      <c r="G237" s="323"/>
      <c r="H237" s="323"/>
      <c r="I237" s="323"/>
      <c r="J237" s="323"/>
      <c r="K237" s="323"/>
      <c r="L237" s="323"/>
      <c r="M237" s="323"/>
      <c r="N237" s="323"/>
      <c r="O237" s="323"/>
      <c r="P237" s="323"/>
      <c r="Q237" s="323"/>
      <c r="R237" s="323"/>
      <c r="S237" s="323"/>
    </row>
    <row r="238" spans="1:20" ht="32.1" customHeight="1" x14ac:dyDescent="0.2">
      <c r="A238" s="262" t="s">
        <v>4071</v>
      </c>
      <c r="B238" s="270">
        <f>COUNTIF(E11:P233,"&lt;=5")</f>
        <v>511</v>
      </c>
      <c r="C238" s="324" t="s">
        <v>4566</v>
      </c>
      <c r="D238" s="325"/>
      <c r="E238" s="325"/>
      <c r="F238" s="325"/>
      <c r="G238" s="325"/>
      <c r="H238" s="325"/>
      <c r="I238" s="325"/>
      <c r="J238" s="325"/>
      <c r="K238" s="325"/>
      <c r="L238" s="325"/>
      <c r="M238" s="325"/>
      <c r="N238" s="325"/>
      <c r="O238" s="325"/>
      <c r="P238" s="325"/>
      <c r="Q238" s="325"/>
      <c r="R238" s="325"/>
      <c r="S238" s="325"/>
    </row>
    <row r="239" spans="1:20" ht="32.1" customHeight="1" x14ac:dyDescent="0.2">
      <c r="A239" s="263" t="s">
        <v>4072</v>
      </c>
      <c r="B239" s="270">
        <f>COUNTIFS(E11:P233,"&gt;5",E11:P233,"&lt;=14")</f>
        <v>80</v>
      </c>
      <c r="C239" s="324"/>
      <c r="D239" s="325"/>
      <c r="E239" s="325"/>
      <c r="F239" s="325"/>
      <c r="G239" s="325"/>
      <c r="H239" s="325"/>
      <c r="I239" s="325"/>
      <c r="J239" s="325"/>
      <c r="K239" s="325"/>
      <c r="L239" s="325"/>
      <c r="M239" s="325"/>
      <c r="N239" s="325"/>
      <c r="O239" s="325"/>
      <c r="P239" s="325"/>
      <c r="Q239" s="325"/>
      <c r="R239" s="325"/>
      <c r="S239" s="325"/>
    </row>
    <row r="240" spans="1:20" ht="32.1" customHeight="1" x14ac:dyDescent="0.2">
      <c r="A240" s="264" t="s">
        <v>4073</v>
      </c>
      <c r="B240" s="270">
        <f>COUNTIFS(E11:P233,"&gt;14",E11:P233,"&lt;=35")</f>
        <v>170</v>
      </c>
      <c r="E240" s="221"/>
      <c r="F240" s="221"/>
      <c r="G240" s="221"/>
      <c r="H240" s="222"/>
      <c r="I240" s="222"/>
      <c r="J240" s="222"/>
      <c r="K240" s="222"/>
      <c r="L240" s="222"/>
      <c r="M240" s="222"/>
      <c r="N240" s="222"/>
      <c r="O240" s="222"/>
      <c r="P240" s="219"/>
      <c r="Q240" s="219"/>
      <c r="R240" s="220"/>
      <c r="S240" s="219"/>
    </row>
    <row r="241" spans="1:19" ht="32.1" customHeight="1" x14ac:dyDescent="0.2">
      <c r="A241" s="265" t="s">
        <v>4074</v>
      </c>
      <c r="B241" s="270">
        <f>COUNTIFS(E11:P233,"&gt;35",E11:P233,"&lt;=80")</f>
        <v>138</v>
      </c>
      <c r="E241" s="221"/>
      <c r="F241" s="221"/>
      <c r="G241" s="221"/>
      <c r="H241" s="222"/>
      <c r="I241" s="222"/>
      <c r="J241" s="222"/>
      <c r="K241" s="222"/>
      <c r="L241" s="222"/>
      <c r="M241" s="222"/>
      <c r="N241" s="222"/>
      <c r="O241" s="222"/>
      <c r="P241" s="222"/>
      <c r="Q241" s="219"/>
      <c r="R241" s="220"/>
      <c r="S241" s="219"/>
    </row>
    <row r="242" spans="1:19" ht="32.1" customHeight="1" x14ac:dyDescent="0.2">
      <c r="A242" s="266" t="s">
        <v>4075</v>
      </c>
      <c r="B242" s="270">
        <f>COUNTIFS(E11:P233,"&gt;80",E11:P233,"&lt;=100")</f>
        <v>67</v>
      </c>
      <c r="E242" s="221"/>
      <c r="F242" s="221"/>
      <c r="G242" s="221"/>
      <c r="H242" s="222"/>
      <c r="I242" s="222"/>
      <c r="J242" s="222"/>
      <c r="K242" s="222"/>
      <c r="L242" s="222"/>
      <c r="M242" s="222"/>
      <c r="N242" s="222"/>
      <c r="O242" s="222"/>
      <c r="P242" s="222"/>
      <c r="Q242" s="219"/>
      <c r="R242" s="220"/>
      <c r="S242" s="219"/>
    </row>
    <row r="243" spans="1:19" ht="32.1" customHeight="1" x14ac:dyDescent="0.2">
      <c r="A243" s="269" t="s">
        <v>4076</v>
      </c>
      <c r="B243" s="271">
        <f>COUNT(E11:P233)</f>
        <v>966</v>
      </c>
      <c r="E243" s="221"/>
      <c r="F243" s="221"/>
      <c r="G243" s="221"/>
      <c r="H243" s="222"/>
      <c r="I243" s="222"/>
      <c r="J243" s="222"/>
      <c r="K243" s="222"/>
      <c r="L243" s="222"/>
      <c r="M243" s="222"/>
      <c r="N243" s="222"/>
      <c r="O243" s="222"/>
      <c r="P243" s="222"/>
      <c r="Q243" s="219"/>
      <c r="R243" s="220"/>
      <c r="S243" s="219"/>
    </row>
    <row r="244" spans="1:19" ht="32.1" customHeight="1" x14ac:dyDescent="0.2">
      <c r="A244" s="283" t="s">
        <v>4122</v>
      </c>
      <c r="B244" s="284">
        <f>B243-B238</f>
        <v>455</v>
      </c>
      <c r="C244" s="216"/>
      <c r="D244" s="217"/>
      <c r="E244" s="218"/>
      <c r="F244" s="218"/>
      <c r="G244" s="218"/>
      <c r="H244" s="219"/>
      <c r="I244" s="219"/>
      <c r="J244" s="219"/>
      <c r="K244" s="219"/>
      <c r="L244" s="219"/>
      <c r="M244" s="219"/>
      <c r="N244" s="219"/>
      <c r="O244" s="219"/>
      <c r="P244" s="222"/>
      <c r="Q244" s="219"/>
      <c r="R244" s="220"/>
      <c r="S244" s="219"/>
    </row>
    <row r="245" spans="1:19" ht="32.1" customHeight="1" x14ac:dyDescent="0.2">
      <c r="A245" s="223"/>
      <c r="B245" s="297"/>
      <c r="C245" s="297"/>
      <c r="D245" s="297"/>
      <c r="E245" s="297"/>
      <c r="F245" s="297"/>
      <c r="G245" s="297"/>
      <c r="H245" s="224"/>
      <c r="I245" s="224"/>
      <c r="J245" s="224"/>
      <c r="K245" s="224"/>
      <c r="L245" s="224"/>
      <c r="M245" s="225"/>
      <c r="N245" s="225"/>
      <c r="O245" s="225"/>
      <c r="P245" s="225"/>
      <c r="Q245" s="219"/>
      <c r="R245" s="220"/>
      <c r="S245" s="219"/>
    </row>
    <row r="246" spans="1:19" ht="32.1" customHeight="1" x14ac:dyDescent="0.2">
      <c r="A246" s="223"/>
      <c r="B246" s="297"/>
      <c r="C246" s="297"/>
      <c r="D246" s="297"/>
      <c r="E246" s="297"/>
      <c r="F246" s="297"/>
      <c r="G246" s="297"/>
      <c r="H246" s="224"/>
      <c r="I246" s="224"/>
      <c r="J246" s="224"/>
      <c r="K246" s="224"/>
      <c r="L246" s="224"/>
      <c r="M246" s="225"/>
      <c r="N246" s="225"/>
      <c r="O246" s="225"/>
      <c r="P246" s="225"/>
      <c r="Q246" s="219"/>
      <c r="R246" s="220"/>
      <c r="S246" s="219"/>
    </row>
    <row r="247" spans="1:19" ht="32.1" customHeight="1" x14ac:dyDescent="0.2">
      <c r="A247" s="223"/>
      <c r="B247" s="297"/>
      <c r="C247" s="297"/>
      <c r="D247" s="297"/>
      <c r="E247" s="297"/>
      <c r="F247" s="297"/>
      <c r="G247" s="297"/>
      <c r="H247" s="224"/>
      <c r="I247" s="224"/>
      <c r="J247" s="224"/>
      <c r="K247" s="224"/>
      <c r="L247" s="224"/>
      <c r="M247" s="225"/>
      <c r="N247" s="225"/>
      <c r="O247" s="225"/>
      <c r="P247" s="225"/>
      <c r="Q247" s="219"/>
      <c r="R247" s="220"/>
      <c r="S247" s="219"/>
    </row>
    <row r="248" spans="1:19" ht="36.75" customHeight="1" x14ac:dyDescent="0.2">
      <c r="A248" s="202"/>
      <c r="B248" s="297"/>
      <c r="C248" s="297"/>
      <c r="D248" s="297"/>
      <c r="E248" s="297"/>
      <c r="F248" s="297"/>
      <c r="G248" s="297"/>
      <c r="H248" s="81"/>
      <c r="I248" s="81"/>
      <c r="J248" s="81"/>
      <c r="K248" s="81"/>
      <c r="L248" s="81"/>
      <c r="M248" s="81"/>
      <c r="N248" s="81"/>
      <c r="O248" s="81"/>
      <c r="P248" s="81"/>
      <c r="Q248" s="82"/>
      <c r="R248" s="83"/>
      <c r="S248" s="84"/>
    </row>
    <row r="249" spans="1:19" ht="36.75" customHeight="1" x14ac:dyDescent="0.2">
      <c r="A249" s="202"/>
      <c r="B249" s="297"/>
      <c r="C249" s="297"/>
      <c r="D249" s="297"/>
      <c r="E249" s="297"/>
      <c r="F249" s="297"/>
      <c r="G249" s="297"/>
      <c r="H249" s="81"/>
      <c r="I249" s="81"/>
      <c r="J249" s="81"/>
      <c r="K249" s="81"/>
      <c r="L249" s="81"/>
      <c r="M249" s="81"/>
      <c r="N249" s="81"/>
      <c r="O249" s="81"/>
      <c r="P249" s="81"/>
      <c r="Q249" s="82"/>
      <c r="R249" s="83"/>
      <c r="S249" s="84"/>
    </row>
    <row r="250" spans="1:19" ht="36.75" customHeight="1" x14ac:dyDescent="0.2">
      <c r="A250" s="202"/>
      <c r="B250" s="81"/>
      <c r="C250" s="81"/>
      <c r="D250" s="93"/>
      <c r="E250" s="81"/>
      <c r="F250" s="81"/>
      <c r="G250" s="81"/>
      <c r="H250" s="81"/>
      <c r="I250" s="81"/>
      <c r="J250" s="81"/>
      <c r="K250" s="81"/>
      <c r="L250" s="81"/>
      <c r="M250" s="81"/>
      <c r="N250" s="81"/>
      <c r="O250" s="81"/>
      <c r="P250" s="81"/>
      <c r="Q250" s="82"/>
      <c r="R250" s="83"/>
      <c r="S250" s="84"/>
    </row>
    <row r="251" spans="1:19" ht="36.75" customHeight="1" x14ac:dyDescent="0.2">
      <c r="A251" s="202"/>
      <c r="B251" s="81"/>
      <c r="C251" s="81"/>
      <c r="D251" s="93"/>
      <c r="E251" s="81"/>
      <c r="F251" s="81"/>
      <c r="G251" s="81"/>
      <c r="H251" s="81"/>
      <c r="I251" s="81"/>
      <c r="J251" s="81"/>
      <c r="K251" s="81"/>
      <c r="L251" s="81"/>
      <c r="M251" s="81"/>
      <c r="N251" s="81"/>
      <c r="O251" s="81"/>
      <c r="P251" s="81"/>
      <c r="Q251" s="82"/>
      <c r="R251" s="83"/>
      <c r="S251" s="84"/>
    </row>
    <row r="252" spans="1:19" ht="36.75" customHeight="1" x14ac:dyDescent="0.2">
      <c r="A252" s="202"/>
      <c r="B252" s="81"/>
      <c r="C252" s="81"/>
      <c r="D252" s="93"/>
      <c r="E252" s="81"/>
      <c r="F252" s="81"/>
      <c r="G252" s="81"/>
      <c r="H252" s="81"/>
      <c r="I252" s="81"/>
      <c r="J252" s="81"/>
      <c r="K252" s="81"/>
      <c r="L252" s="81"/>
      <c r="M252" s="81"/>
      <c r="N252" s="81"/>
      <c r="O252" s="81"/>
      <c r="P252" s="81"/>
      <c r="Q252" s="82"/>
      <c r="R252" s="83"/>
      <c r="S252" s="84"/>
    </row>
    <row r="253" spans="1:19" ht="36.75" customHeight="1" x14ac:dyDescent="0.2">
      <c r="A253" s="202"/>
      <c r="B253" s="81"/>
      <c r="C253" s="81"/>
      <c r="D253" s="93"/>
      <c r="E253" s="81"/>
      <c r="F253" s="81"/>
      <c r="G253" s="81"/>
      <c r="H253" s="81"/>
      <c r="I253" s="81"/>
      <c r="J253" s="81"/>
      <c r="K253" s="81"/>
      <c r="L253" s="81"/>
      <c r="M253" s="81"/>
      <c r="N253" s="81"/>
      <c r="O253" s="81"/>
      <c r="P253" s="81"/>
      <c r="Q253" s="82"/>
      <c r="R253" s="83"/>
      <c r="S253" s="84"/>
    </row>
  </sheetData>
  <autoFilter ref="A10:W233">
    <sortState ref="A12:W232">
      <sortCondition ref="A10:A232"/>
    </sortState>
  </autoFilter>
  <customSheetViews>
    <customSheetView guid="{45C8AF51-29EC-46A5-AB7F-1F0634E55D82}" scale="60" showAutoFilter="1" hiddenColumns="1">
      <pane xSplit="3" ySplit="10" topLeftCell="D95" activePane="bottomRight" state="frozenSplit"/>
      <selection pane="bottomRight" activeCell="A220" sqref="A220"/>
      <pageMargins left="0.28999999999999998" right="0.2" top="0.6692913385826772" bottom="0.9055118110236221" header="0.43" footer="0.59055118110236227"/>
      <printOptions horizontalCentered="1"/>
      <pageSetup paperSize="14" scale="75" orientation="landscape" r:id="rId1"/>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10:W208">
        <sortState ref="A12:W210">
          <sortCondition ref="A10:A210"/>
        </sortState>
      </autoFilter>
    </customSheetView>
    <customSheetView guid="{FCC3B493-4306-43B2-9C73-76324485DD47}" scale="60" showAutoFilter="1" hiddenColumns="1">
      <pane xSplit="3" ySplit="10" topLeftCell="D29" activePane="bottomRight" state="frozenSplit"/>
      <selection pane="bottomRight" activeCell="C215" sqref="C215"/>
      <pageMargins left="0.28999999999999998" right="0.2" top="0.6692913385826772" bottom="0.9055118110236221" header="0.43" footer="0.59055118110236227"/>
      <printOptions horizontalCentered="1"/>
      <pageSetup paperSize="14" scale="75" orientation="landscape" r:id="rId2"/>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10:W210">
        <sortState ref="A12:W210">
          <sortCondition ref="A10:A210"/>
        </sortState>
      </autoFilter>
    </customSheetView>
    <customSheetView guid="{AEDE1BDB-8710-4CDA-8488-31F49D423ACE}" scale="70" showAutoFilter="1">
      <pane xSplit="3" ySplit="10" topLeftCell="S11" activePane="bottomRight" state="frozenSplit"/>
      <selection pane="bottomRight" activeCell="S11" sqref="S11"/>
      <pageMargins left="0.28999999999999998" right="0.2" top="0.6692913385826772" bottom="0.9055118110236221" header="0.43" footer="0.59055118110236227"/>
      <printOptions horizontalCentered="1"/>
      <pageSetup paperSize="14" scale="75" orientation="landscape" r:id="rId3"/>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10:W233"/>
    </customSheetView>
    <customSheetView guid="{75DD7674-E7DE-4BB1-A36D-76AA33452CB3}" scale="60" showAutoFilter="1" hiddenColumns="1">
      <pane xSplit="3" ySplit="10" topLeftCell="D11" activePane="bottomRight" state="frozenSplit"/>
      <selection pane="bottomRight" activeCell="B3" sqref="B3"/>
      <pageMargins left="0.28999999999999998" right="0.2" top="0.6692913385826772" bottom="0.9055118110236221" header="0.43" footer="0.59055118110236227"/>
      <printOptions horizontalCentered="1"/>
      <pageSetup paperSize="14" scale="75" orientation="landscape" r:id="rId4"/>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10:W208">
        <sortState ref="A12:W210">
          <sortCondition ref="A10:A210"/>
        </sortState>
      </autoFilter>
    </customSheetView>
  </customSheetViews>
  <mergeCells count="23">
    <mergeCell ref="B5:D5"/>
    <mergeCell ref="B3:D3"/>
    <mergeCell ref="A8:B8"/>
    <mergeCell ref="C237:S237"/>
    <mergeCell ref="C238:S238"/>
    <mergeCell ref="C239:S239"/>
    <mergeCell ref="B1:D1"/>
    <mergeCell ref="B2:D2"/>
    <mergeCell ref="C9:C10"/>
    <mergeCell ref="A7:B7"/>
    <mergeCell ref="A9:A10"/>
    <mergeCell ref="B9:B10"/>
    <mergeCell ref="D9:D10"/>
    <mergeCell ref="S9:S10"/>
    <mergeCell ref="Q5:R6"/>
    <mergeCell ref="S5:S6"/>
    <mergeCell ref="H5:J6"/>
    <mergeCell ref="E9:P9"/>
    <mergeCell ref="R9:R10"/>
    <mergeCell ref="N5:P6"/>
    <mergeCell ref="E5:G6"/>
    <mergeCell ref="Q9:Q10"/>
    <mergeCell ref="K5:M6"/>
  </mergeCells>
  <conditionalFormatting sqref="R248:R253 R201 R104 R121:R137 R178:R182 R139:R144 R184:R194 R208:R216 R240:R244 R11:R97">
    <cfRule type="cellIs" dxfId="8978" priority="3130" stopIfTrue="1" operator="equal">
      <formula>"NO"</formula>
    </cfRule>
  </conditionalFormatting>
  <conditionalFormatting sqref="S248:S253 S240:S244 S139:S233 S11:S137">
    <cfRule type="cellIs" dxfId="8977" priority="3097" stopIfTrue="1" operator="equal">
      <formula>"INVIABLE SANITARIAMENTE"</formula>
    </cfRule>
  </conditionalFormatting>
  <conditionalFormatting sqref="S248:S253 S240:S244">
    <cfRule type="containsText" dxfId="8976" priority="3092" stopIfTrue="1" operator="containsText" text="INVIABLE SANITARIAMENTE">
      <formula>NOT(ISERROR(SEARCH("INVIABLE SANITARIAMENTE",S240)))</formula>
    </cfRule>
    <cfRule type="containsText" dxfId="8975" priority="3093" stopIfTrue="1" operator="containsText" text="ALTO">
      <formula>NOT(ISERROR(SEARCH("ALTO",S240)))</formula>
    </cfRule>
    <cfRule type="containsText" dxfId="8974" priority="3094" stopIfTrue="1" operator="containsText" text="MEDIO">
      <formula>NOT(ISERROR(SEARCH("MEDIO",S240)))</formula>
    </cfRule>
    <cfRule type="containsText" dxfId="8973" priority="3095" stopIfTrue="1" operator="containsText" text="BAJO">
      <formula>NOT(ISERROR(SEARCH("BAJO",S240)))</formula>
    </cfRule>
    <cfRule type="containsText" dxfId="8972" priority="3096" stopIfTrue="1" operator="containsText" text="SIN RIESGO">
      <formula>NOT(ISERROR(SEARCH("SIN RIESGO",S240)))</formula>
    </cfRule>
  </conditionalFormatting>
  <conditionalFormatting sqref="S248:S253 S240:S244 S139:S233 S11:S137">
    <cfRule type="containsText" dxfId="8971" priority="3091" stopIfTrue="1" operator="containsText" text="SIN RIESGO">
      <formula>NOT(ISERROR(SEARCH("SIN RIESGO",S11)))</formula>
    </cfRule>
  </conditionalFormatting>
  <conditionalFormatting sqref="E103:Q103 E38:Q38 E57:Q64 Q54:Q56 Q104:Q108 Q248:Q253 Q157:Q159 Q166 Q39:Q40 Q111:Q115 Q136 Q198:Q202 Q204 Q223 Q228:Q230 Q130:Q132 Q134 Q65:Q97 Q99:Q102 E42:Q53 L41:Q41 Q140:Q143 Q121:Q127 Q178:Q182 E139:P182 E184:P206 Q184:Q194 E208:P226 Q208:Q209 E228:P233 Q244 E11:P137 Q11:Q37">
    <cfRule type="containsBlanks" dxfId="8970" priority="3084" stopIfTrue="1">
      <formula>LEN(TRIM(E11))=0</formula>
    </cfRule>
    <cfRule type="cellIs" dxfId="8969" priority="3085" stopIfTrue="1" operator="between">
      <formula>80.1</formula>
      <formula>100</formula>
    </cfRule>
    <cfRule type="cellIs" dxfId="8968" priority="3086" stopIfTrue="1" operator="between">
      <formula>35.1</formula>
      <formula>80</formula>
    </cfRule>
    <cfRule type="cellIs" dxfId="8967" priority="3087" stopIfTrue="1" operator="between">
      <formula>14.1</formula>
      <formula>35</formula>
    </cfRule>
    <cfRule type="cellIs" dxfId="8966" priority="3088" stopIfTrue="1" operator="between">
      <formula>5.1</formula>
      <formula>14</formula>
    </cfRule>
    <cfRule type="cellIs" dxfId="8965" priority="3089" stopIfTrue="1" operator="between">
      <formula>0</formula>
      <formula>5</formula>
    </cfRule>
    <cfRule type="containsBlanks" dxfId="8964" priority="3090" stopIfTrue="1">
      <formula>LEN(TRIM(E11))=0</formula>
    </cfRule>
  </conditionalFormatting>
  <conditionalFormatting sqref="E68:J68 L68:P68 E18:P21 E25:P25 E36:P36">
    <cfRule type="containsBlanks" dxfId="8963" priority="3070" stopIfTrue="1">
      <formula>LEN(TRIM(E18))=0</formula>
    </cfRule>
    <cfRule type="cellIs" dxfId="8962" priority="3071" stopIfTrue="1" operator="between">
      <formula>79.1</formula>
      <formula>100</formula>
    </cfRule>
    <cfRule type="cellIs" dxfId="8961" priority="3072" stopIfTrue="1" operator="between">
      <formula>34.1</formula>
      <formula>79</formula>
    </cfRule>
    <cfRule type="cellIs" dxfId="8960" priority="3073" stopIfTrue="1" operator="between">
      <formula>13.1</formula>
      <formula>34</formula>
    </cfRule>
    <cfRule type="cellIs" dxfId="8959" priority="3074" stopIfTrue="1" operator="between">
      <formula>5.1</formula>
      <formula>13</formula>
    </cfRule>
    <cfRule type="cellIs" dxfId="8958" priority="3075" stopIfTrue="1" operator="between">
      <formula>0</formula>
      <formula>5</formula>
    </cfRule>
    <cfRule type="containsBlanks" dxfId="8957" priority="3076" stopIfTrue="1">
      <formula>LEN(TRIM(E18))=0</formula>
    </cfRule>
  </conditionalFormatting>
  <conditionalFormatting sqref="F27:Q27">
    <cfRule type="containsBlanks" dxfId="8956" priority="3063" stopIfTrue="1">
      <formula>LEN(TRIM(F27))=0</formula>
    </cfRule>
    <cfRule type="cellIs" dxfId="8955" priority="3064" stopIfTrue="1" operator="between">
      <formula>80.1</formula>
      <formula>100</formula>
    </cfRule>
    <cfRule type="cellIs" dxfId="8954" priority="3065" stopIfTrue="1" operator="between">
      <formula>35.1</formula>
      <formula>80</formula>
    </cfRule>
    <cfRule type="cellIs" dxfId="8953" priority="3066" stopIfTrue="1" operator="between">
      <formula>14.1</formula>
      <formula>35</formula>
    </cfRule>
    <cfRule type="cellIs" dxfId="8952" priority="3067" stopIfTrue="1" operator="between">
      <formula>5.1</formula>
      <formula>14</formula>
    </cfRule>
    <cfRule type="cellIs" dxfId="8951" priority="3068" stopIfTrue="1" operator="between">
      <formula>0</formula>
      <formula>5</formula>
    </cfRule>
    <cfRule type="containsBlanks" dxfId="8950" priority="3069" stopIfTrue="1">
      <formula>LEN(TRIM(F27))=0</formula>
    </cfRule>
  </conditionalFormatting>
  <conditionalFormatting sqref="E27">
    <cfRule type="containsBlanks" dxfId="8949" priority="3056" stopIfTrue="1">
      <formula>LEN(TRIM(E27))=0</formula>
    </cfRule>
    <cfRule type="cellIs" dxfId="8948" priority="3057" stopIfTrue="1" operator="between">
      <formula>80.1</formula>
      <formula>100</formula>
    </cfRule>
    <cfRule type="cellIs" dxfId="8947" priority="3058" stopIfTrue="1" operator="between">
      <formula>35.1</formula>
      <formula>80</formula>
    </cfRule>
    <cfRule type="cellIs" dxfId="8946" priority="3059" stopIfTrue="1" operator="between">
      <formula>14.1</formula>
      <formula>35</formula>
    </cfRule>
    <cfRule type="cellIs" dxfId="8945" priority="3060" stopIfTrue="1" operator="between">
      <formula>5.1</formula>
      <formula>14</formula>
    </cfRule>
    <cfRule type="cellIs" dxfId="8944" priority="3061" stopIfTrue="1" operator="between">
      <formula>0</formula>
      <formula>5</formula>
    </cfRule>
    <cfRule type="containsBlanks" dxfId="8943" priority="3062" stopIfTrue="1">
      <formula>LEN(TRIM(E27))=0</formula>
    </cfRule>
  </conditionalFormatting>
  <conditionalFormatting sqref="F31:Q33">
    <cfRule type="containsBlanks" dxfId="8942" priority="3035" stopIfTrue="1">
      <formula>LEN(TRIM(F31))=0</formula>
    </cfRule>
    <cfRule type="cellIs" dxfId="8941" priority="3036" stopIfTrue="1" operator="between">
      <formula>80.1</formula>
      <formula>100</formula>
    </cfRule>
    <cfRule type="cellIs" dxfId="8940" priority="3037" stopIfTrue="1" operator="between">
      <formula>35.1</formula>
      <formula>80</formula>
    </cfRule>
    <cfRule type="cellIs" dxfId="8939" priority="3038" stopIfTrue="1" operator="between">
      <formula>14.1</formula>
      <formula>35</formula>
    </cfRule>
    <cfRule type="cellIs" dxfId="8938" priority="3039" stopIfTrue="1" operator="between">
      <formula>5.1</formula>
      <formula>14</formula>
    </cfRule>
    <cfRule type="cellIs" dxfId="8937" priority="3040" stopIfTrue="1" operator="between">
      <formula>0</formula>
      <formula>5</formula>
    </cfRule>
    <cfRule type="containsBlanks" dxfId="8936" priority="3041" stopIfTrue="1">
      <formula>LEN(TRIM(F31))=0</formula>
    </cfRule>
  </conditionalFormatting>
  <conditionalFormatting sqref="E31:E33">
    <cfRule type="containsBlanks" dxfId="8935" priority="3028" stopIfTrue="1">
      <formula>LEN(TRIM(E31))=0</formula>
    </cfRule>
    <cfRule type="cellIs" dxfId="8934" priority="3029" stopIfTrue="1" operator="between">
      <formula>80.1</formula>
      <formula>100</formula>
    </cfRule>
    <cfRule type="cellIs" dxfId="8933" priority="3030" stopIfTrue="1" operator="between">
      <formula>35.1</formula>
      <formula>80</formula>
    </cfRule>
    <cfRule type="cellIs" dxfId="8932" priority="3031" stopIfTrue="1" operator="between">
      <formula>14.1</formula>
      <formula>35</formula>
    </cfRule>
    <cfRule type="cellIs" dxfId="8931" priority="3032" stopIfTrue="1" operator="between">
      <formula>5.1</formula>
      <formula>14</formula>
    </cfRule>
    <cfRule type="cellIs" dxfId="8930" priority="3033" stopIfTrue="1" operator="between">
      <formula>0</formula>
      <formula>5</formula>
    </cfRule>
    <cfRule type="containsBlanks" dxfId="8929" priority="3034" stopIfTrue="1">
      <formula>LEN(TRIM(E31))=0</formula>
    </cfRule>
  </conditionalFormatting>
  <conditionalFormatting sqref="F28:Q28">
    <cfRule type="containsBlanks" dxfId="8928" priority="3021" stopIfTrue="1">
      <formula>LEN(TRIM(F28))=0</formula>
    </cfRule>
    <cfRule type="cellIs" dxfId="8927" priority="3022" stopIfTrue="1" operator="between">
      <formula>80.1</formula>
      <formula>100</formula>
    </cfRule>
    <cfRule type="cellIs" dxfId="8926" priority="3023" stopIfTrue="1" operator="between">
      <formula>35.1</formula>
      <formula>80</formula>
    </cfRule>
    <cfRule type="cellIs" dxfId="8925" priority="3024" stopIfTrue="1" operator="between">
      <formula>14.1</formula>
      <formula>35</formula>
    </cfRule>
    <cfRule type="cellIs" dxfId="8924" priority="3025" stopIfTrue="1" operator="between">
      <formula>5.1</formula>
      <formula>14</formula>
    </cfRule>
    <cfRule type="cellIs" dxfId="8923" priority="3026" stopIfTrue="1" operator="between">
      <formula>0</formula>
      <formula>5</formula>
    </cfRule>
    <cfRule type="containsBlanks" dxfId="8922" priority="3027" stopIfTrue="1">
      <formula>LEN(TRIM(F28))=0</formula>
    </cfRule>
  </conditionalFormatting>
  <conditionalFormatting sqref="E28">
    <cfRule type="containsBlanks" dxfId="8921" priority="3014" stopIfTrue="1">
      <formula>LEN(TRIM(E28))=0</formula>
    </cfRule>
    <cfRule type="cellIs" dxfId="8920" priority="3015" stopIfTrue="1" operator="between">
      <formula>80.1</formula>
      <formula>100</formula>
    </cfRule>
    <cfRule type="cellIs" dxfId="8919" priority="3016" stopIfTrue="1" operator="between">
      <formula>35.1</formula>
      <formula>80</formula>
    </cfRule>
    <cfRule type="cellIs" dxfId="8918" priority="3017" stopIfTrue="1" operator="between">
      <formula>14.1</formula>
      <formula>35</formula>
    </cfRule>
    <cfRule type="cellIs" dxfId="8917" priority="3018" stopIfTrue="1" operator="between">
      <formula>5.1</formula>
      <formula>14</formula>
    </cfRule>
    <cfRule type="cellIs" dxfId="8916" priority="3019" stopIfTrue="1" operator="between">
      <formula>0</formula>
      <formula>5</formula>
    </cfRule>
    <cfRule type="containsBlanks" dxfId="8915" priority="3020" stopIfTrue="1">
      <formula>LEN(TRIM(E28))=0</formula>
    </cfRule>
  </conditionalFormatting>
  <conditionalFormatting sqref="F29:Q29">
    <cfRule type="containsBlanks" dxfId="8914" priority="2993" stopIfTrue="1">
      <formula>LEN(TRIM(F29))=0</formula>
    </cfRule>
    <cfRule type="cellIs" dxfId="8913" priority="2994" stopIfTrue="1" operator="between">
      <formula>80.1</formula>
      <formula>100</formula>
    </cfRule>
    <cfRule type="cellIs" dxfId="8912" priority="2995" stopIfTrue="1" operator="between">
      <formula>35.1</formula>
      <formula>80</formula>
    </cfRule>
    <cfRule type="cellIs" dxfId="8911" priority="2996" stopIfTrue="1" operator="between">
      <formula>14.1</formula>
      <formula>35</formula>
    </cfRule>
    <cfRule type="cellIs" dxfId="8910" priority="2997" stopIfTrue="1" operator="between">
      <formula>5.1</formula>
      <formula>14</formula>
    </cfRule>
    <cfRule type="cellIs" dxfId="8909" priority="2998" stopIfTrue="1" operator="between">
      <formula>0</formula>
      <formula>5</formula>
    </cfRule>
    <cfRule type="containsBlanks" dxfId="8908" priority="2999" stopIfTrue="1">
      <formula>LEN(TRIM(F29))=0</formula>
    </cfRule>
  </conditionalFormatting>
  <conditionalFormatting sqref="E29">
    <cfRule type="containsBlanks" dxfId="8907" priority="2986" stopIfTrue="1">
      <formula>LEN(TRIM(E29))=0</formula>
    </cfRule>
    <cfRule type="cellIs" dxfId="8906" priority="2987" stopIfTrue="1" operator="between">
      <formula>80.1</formula>
      <formula>100</formula>
    </cfRule>
    <cfRule type="cellIs" dxfId="8905" priority="2988" stopIfTrue="1" operator="between">
      <formula>35.1</formula>
      <formula>80</formula>
    </cfRule>
    <cfRule type="cellIs" dxfId="8904" priority="2989" stopIfTrue="1" operator="between">
      <formula>14.1</formula>
      <formula>35</formula>
    </cfRule>
    <cfRule type="cellIs" dxfId="8903" priority="2990" stopIfTrue="1" operator="between">
      <formula>5.1</formula>
      <formula>14</formula>
    </cfRule>
    <cfRule type="cellIs" dxfId="8902" priority="2991" stopIfTrue="1" operator="between">
      <formula>0</formula>
      <formula>5</formula>
    </cfRule>
    <cfRule type="containsBlanks" dxfId="8901" priority="2992" stopIfTrue="1">
      <formula>LEN(TRIM(E29))=0</formula>
    </cfRule>
  </conditionalFormatting>
  <conditionalFormatting sqref="F35:Q35">
    <cfRule type="containsBlanks" dxfId="8900" priority="2979" stopIfTrue="1">
      <formula>LEN(TRIM(F35))=0</formula>
    </cfRule>
    <cfRule type="cellIs" dxfId="8899" priority="2980" stopIfTrue="1" operator="between">
      <formula>80.1</formula>
      <formula>100</formula>
    </cfRule>
    <cfRule type="cellIs" dxfId="8898" priority="2981" stopIfTrue="1" operator="between">
      <formula>35.1</formula>
      <formula>80</formula>
    </cfRule>
    <cfRule type="cellIs" dxfId="8897" priority="2982" stopIfTrue="1" operator="between">
      <formula>14.1</formula>
      <formula>35</formula>
    </cfRule>
    <cfRule type="cellIs" dxfId="8896" priority="2983" stopIfTrue="1" operator="between">
      <formula>5.1</formula>
      <formula>14</formula>
    </cfRule>
    <cfRule type="cellIs" dxfId="8895" priority="2984" stopIfTrue="1" operator="between">
      <formula>0</formula>
      <formula>5</formula>
    </cfRule>
    <cfRule type="containsBlanks" dxfId="8894" priority="2985" stopIfTrue="1">
      <formula>LEN(TRIM(F35))=0</formula>
    </cfRule>
  </conditionalFormatting>
  <conditionalFormatting sqref="E35">
    <cfRule type="containsBlanks" dxfId="8893" priority="2972" stopIfTrue="1">
      <formula>LEN(TRIM(E35))=0</formula>
    </cfRule>
    <cfRule type="cellIs" dxfId="8892" priority="2973" stopIfTrue="1" operator="between">
      <formula>80.1</formula>
      <formula>100</formula>
    </cfRule>
    <cfRule type="cellIs" dxfId="8891" priority="2974" stopIfTrue="1" operator="between">
      <formula>35.1</formula>
      <formula>80</formula>
    </cfRule>
    <cfRule type="cellIs" dxfId="8890" priority="2975" stopIfTrue="1" operator="between">
      <formula>14.1</formula>
      <formula>35</formula>
    </cfRule>
    <cfRule type="cellIs" dxfId="8889" priority="2976" stopIfTrue="1" operator="between">
      <formula>5.1</formula>
      <formula>14</formula>
    </cfRule>
    <cfRule type="cellIs" dxfId="8888" priority="2977" stopIfTrue="1" operator="between">
      <formula>0</formula>
      <formula>5</formula>
    </cfRule>
    <cfRule type="containsBlanks" dxfId="8887" priority="2978" stopIfTrue="1">
      <formula>LEN(TRIM(E35))=0</formula>
    </cfRule>
  </conditionalFormatting>
  <conditionalFormatting sqref="J41">
    <cfRule type="containsBlanks" dxfId="8886" priority="2923" stopIfTrue="1">
      <formula>LEN(TRIM(J41))=0</formula>
    </cfRule>
    <cfRule type="cellIs" dxfId="8885" priority="2924" stopIfTrue="1" operator="between">
      <formula>79.1</formula>
      <formula>100</formula>
    </cfRule>
    <cfRule type="cellIs" dxfId="8884" priority="2925" stopIfTrue="1" operator="between">
      <formula>34.1</formula>
      <formula>79</formula>
    </cfRule>
    <cfRule type="cellIs" dxfId="8883" priority="2926" stopIfTrue="1" operator="between">
      <formula>13.1</formula>
      <formula>34</formula>
    </cfRule>
    <cfRule type="cellIs" dxfId="8882" priority="2927" stopIfTrue="1" operator="between">
      <formula>5.1</formula>
      <formula>13</formula>
    </cfRule>
    <cfRule type="cellIs" dxfId="8881" priority="2928" stopIfTrue="1" operator="between">
      <formula>0</formula>
      <formula>5</formula>
    </cfRule>
    <cfRule type="containsBlanks" dxfId="8880" priority="2929" stopIfTrue="1">
      <formula>LEN(TRIM(J41))=0</formula>
    </cfRule>
  </conditionalFormatting>
  <conditionalFormatting sqref="E11:P17">
    <cfRule type="containsBlanks" dxfId="8879" priority="2909" stopIfTrue="1">
      <formula>LEN(TRIM(E11))=0</formula>
    </cfRule>
    <cfRule type="cellIs" dxfId="8878" priority="2910" stopIfTrue="1" operator="between">
      <formula>79.1</formula>
      <formula>100</formula>
    </cfRule>
    <cfRule type="cellIs" dxfId="8877" priority="2911" stopIfTrue="1" operator="between">
      <formula>34.1</formula>
      <formula>79</formula>
    </cfRule>
    <cfRule type="cellIs" dxfId="8876" priority="2912" stopIfTrue="1" operator="between">
      <formula>13.1</formula>
      <formula>34</formula>
    </cfRule>
    <cfRule type="cellIs" dxfId="8875" priority="2913" stopIfTrue="1" operator="between">
      <formula>5.1</formula>
      <formula>13</formula>
    </cfRule>
    <cfRule type="cellIs" dxfId="8874" priority="2914" stopIfTrue="1" operator="between">
      <formula>0</formula>
      <formula>5</formula>
    </cfRule>
    <cfRule type="containsBlanks" dxfId="8873" priority="2915" stopIfTrue="1">
      <formula>LEN(TRIM(E11))=0</formula>
    </cfRule>
  </conditionalFormatting>
  <conditionalFormatting sqref="E26:P26">
    <cfRule type="containsBlanks" dxfId="8872" priority="2895" stopIfTrue="1">
      <formula>LEN(TRIM(E26))=0</formula>
    </cfRule>
    <cfRule type="cellIs" dxfId="8871" priority="2896" stopIfTrue="1" operator="between">
      <formula>79.1</formula>
      <formula>100</formula>
    </cfRule>
    <cfRule type="cellIs" dxfId="8870" priority="2897" stopIfTrue="1" operator="between">
      <formula>34.1</formula>
      <formula>79</formula>
    </cfRule>
    <cfRule type="cellIs" dxfId="8869" priority="2898" stopIfTrue="1" operator="between">
      <formula>13.1</formula>
      <formula>34</formula>
    </cfRule>
    <cfRule type="cellIs" dxfId="8868" priority="2899" stopIfTrue="1" operator="between">
      <formula>5.1</formula>
      <formula>13</formula>
    </cfRule>
    <cfRule type="cellIs" dxfId="8867" priority="2900" stopIfTrue="1" operator="between">
      <formula>0</formula>
      <formula>5</formula>
    </cfRule>
    <cfRule type="containsBlanks" dxfId="8866" priority="2901" stopIfTrue="1">
      <formula>LEN(TRIM(E26))=0</formula>
    </cfRule>
  </conditionalFormatting>
  <conditionalFormatting sqref="K41">
    <cfRule type="containsBlanks" dxfId="8865" priority="2881" stopIfTrue="1">
      <formula>LEN(TRIM(K41))=0</formula>
    </cfRule>
    <cfRule type="cellIs" dxfId="8864" priority="2882" stopIfTrue="1" operator="between">
      <formula>79.1</formula>
      <formula>100</formula>
    </cfRule>
    <cfRule type="cellIs" dxfId="8863" priority="2883" stopIfTrue="1" operator="between">
      <formula>34.1</formula>
      <formula>79</formula>
    </cfRule>
    <cfRule type="cellIs" dxfId="8862" priority="2884" stopIfTrue="1" operator="between">
      <formula>13.1</formula>
      <formula>34</formula>
    </cfRule>
    <cfRule type="cellIs" dxfId="8861" priority="2885" stopIfTrue="1" operator="between">
      <formula>5.1</formula>
      <formula>13</formula>
    </cfRule>
    <cfRule type="cellIs" dxfId="8860" priority="2886" stopIfTrue="1" operator="between">
      <formula>0</formula>
      <formula>5</formula>
    </cfRule>
    <cfRule type="containsBlanks" dxfId="8859" priority="2887" stopIfTrue="1">
      <formula>LEN(TRIM(K41))=0</formula>
    </cfRule>
  </conditionalFormatting>
  <conditionalFormatting sqref="E87:J89 E94:J95 E98:J98">
    <cfRule type="containsBlanks" dxfId="8858" priority="2874" stopIfTrue="1">
      <formula>LEN(TRIM(E87))=0</formula>
    </cfRule>
    <cfRule type="cellIs" dxfId="8857" priority="2875" stopIfTrue="1" operator="between">
      <formula>79.1</formula>
      <formula>100</formula>
    </cfRule>
    <cfRule type="cellIs" dxfId="8856" priority="2876" stopIfTrue="1" operator="between">
      <formula>34.1</formula>
      <formula>79</formula>
    </cfRule>
    <cfRule type="cellIs" dxfId="8855" priority="2877" stopIfTrue="1" operator="between">
      <formula>13.1</formula>
      <formula>34</formula>
    </cfRule>
    <cfRule type="cellIs" dxfId="8854" priority="2878" stopIfTrue="1" operator="between">
      <formula>5.1</formula>
      <formula>13</formula>
    </cfRule>
    <cfRule type="cellIs" dxfId="8853" priority="2879" stopIfTrue="1" operator="between">
      <formula>0</formula>
      <formula>5</formula>
    </cfRule>
    <cfRule type="containsBlanks" dxfId="8852" priority="2880" stopIfTrue="1">
      <formula>LEN(TRIM(E87))=0</formula>
    </cfRule>
  </conditionalFormatting>
  <conditionalFormatting sqref="E121:J121">
    <cfRule type="containsBlanks" dxfId="8851" priority="2867" stopIfTrue="1">
      <formula>LEN(TRIM(E121))=0</formula>
    </cfRule>
    <cfRule type="cellIs" dxfId="8850" priority="2868" stopIfTrue="1" operator="between">
      <formula>79.1</formula>
      <formula>100</formula>
    </cfRule>
    <cfRule type="cellIs" dxfId="8849" priority="2869" stopIfTrue="1" operator="between">
      <formula>34.1</formula>
      <formula>79</formula>
    </cfRule>
    <cfRule type="cellIs" dxfId="8848" priority="2870" stopIfTrue="1" operator="between">
      <formula>13.1</formula>
      <formula>34</formula>
    </cfRule>
    <cfRule type="cellIs" dxfId="8847" priority="2871" stopIfTrue="1" operator="between">
      <formula>5.1</formula>
      <formula>13</formula>
    </cfRule>
    <cfRule type="cellIs" dxfId="8846" priority="2872" stopIfTrue="1" operator="between">
      <formula>0</formula>
      <formula>5</formula>
    </cfRule>
    <cfRule type="containsBlanks" dxfId="8845" priority="2873" stopIfTrue="1">
      <formula>LEN(TRIM(E121))=0</formula>
    </cfRule>
  </conditionalFormatting>
  <conditionalFormatting sqref="O121">
    <cfRule type="containsBlanks" dxfId="8844" priority="2860" stopIfTrue="1">
      <formula>LEN(TRIM(O121))=0</formula>
    </cfRule>
    <cfRule type="cellIs" dxfId="8843" priority="2861" stopIfTrue="1" operator="between">
      <formula>79.1</formula>
      <formula>100</formula>
    </cfRule>
    <cfRule type="cellIs" dxfId="8842" priority="2862" stopIfTrue="1" operator="between">
      <formula>34.1</formula>
      <formula>79</formula>
    </cfRule>
    <cfRule type="cellIs" dxfId="8841" priority="2863" stopIfTrue="1" operator="between">
      <formula>13.1</formula>
      <formula>34</formula>
    </cfRule>
    <cfRule type="cellIs" dxfId="8840" priority="2864" stopIfTrue="1" operator="between">
      <formula>5.1</formula>
      <formula>13</formula>
    </cfRule>
    <cfRule type="cellIs" dxfId="8839" priority="2865" stopIfTrue="1" operator="between">
      <formula>0</formula>
      <formula>5</formula>
    </cfRule>
    <cfRule type="containsBlanks" dxfId="8838" priority="2866" stopIfTrue="1">
      <formula>LEN(TRIM(O121))=0</formula>
    </cfRule>
  </conditionalFormatting>
  <conditionalFormatting sqref="L101">
    <cfRule type="containsBlanks" dxfId="8837" priority="2832" stopIfTrue="1">
      <formula>LEN(TRIM(L101))=0</formula>
    </cfRule>
    <cfRule type="cellIs" dxfId="8836" priority="2833" stopIfTrue="1" operator="between">
      <formula>80.1</formula>
      <formula>100</formula>
    </cfRule>
    <cfRule type="cellIs" dxfId="8835" priority="2834" stopIfTrue="1" operator="between">
      <formula>35.1</formula>
      <formula>80</formula>
    </cfRule>
    <cfRule type="cellIs" dxfId="8834" priority="2835" stopIfTrue="1" operator="between">
      <formula>14.1</formula>
      <formula>35</formula>
    </cfRule>
    <cfRule type="cellIs" dxfId="8833" priority="2836" stopIfTrue="1" operator="between">
      <formula>5.1</formula>
      <formula>14</formula>
    </cfRule>
    <cfRule type="cellIs" dxfId="8832" priority="2837" stopIfTrue="1" operator="between">
      <formula>0</formula>
      <formula>5</formula>
    </cfRule>
    <cfRule type="containsBlanks" dxfId="8831" priority="2838" stopIfTrue="1">
      <formula>LEN(TRIM(L101))=0</formula>
    </cfRule>
  </conditionalFormatting>
  <conditionalFormatting sqref="I99">
    <cfRule type="containsBlanks" dxfId="8830" priority="2825" stopIfTrue="1">
      <formula>LEN(TRIM(I99))=0</formula>
    </cfRule>
    <cfRule type="cellIs" dxfId="8829" priority="2826" stopIfTrue="1" operator="between">
      <formula>80.1</formula>
      <formula>100</formula>
    </cfRule>
    <cfRule type="cellIs" dxfId="8828" priority="2827" stopIfTrue="1" operator="between">
      <formula>35.1</formula>
      <formula>80</formula>
    </cfRule>
    <cfRule type="cellIs" dxfId="8827" priority="2828" stopIfTrue="1" operator="between">
      <formula>14.1</formula>
      <formula>35</formula>
    </cfRule>
    <cfRule type="cellIs" dxfId="8826" priority="2829" stopIfTrue="1" operator="between">
      <formula>5.1</formula>
      <formula>14</formula>
    </cfRule>
    <cfRule type="cellIs" dxfId="8825" priority="2830" stopIfTrue="1" operator="between">
      <formula>0</formula>
      <formula>5</formula>
    </cfRule>
    <cfRule type="containsBlanks" dxfId="8824" priority="2831" stopIfTrue="1">
      <formula>LEN(TRIM(I99))=0</formula>
    </cfRule>
  </conditionalFormatting>
  <conditionalFormatting sqref="H101">
    <cfRule type="containsBlanks" dxfId="8823" priority="2811" stopIfTrue="1">
      <formula>LEN(TRIM(H101))=0</formula>
    </cfRule>
    <cfRule type="cellIs" dxfId="8822" priority="2812" stopIfTrue="1" operator="between">
      <formula>80.1</formula>
      <formula>100</formula>
    </cfRule>
    <cfRule type="cellIs" dxfId="8821" priority="2813" stopIfTrue="1" operator="between">
      <formula>35.1</formula>
      <formula>80</formula>
    </cfRule>
    <cfRule type="cellIs" dxfId="8820" priority="2814" stopIfTrue="1" operator="between">
      <formula>14.1</formula>
      <formula>35</formula>
    </cfRule>
    <cfRule type="cellIs" dxfId="8819" priority="2815" stopIfTrue="1" operator="between">
      <formula>5.1</formula>
      <formula>14</formula>
    </cfRule>
    <cfRule type="cellIs" dxfId="8818" priority="2816" stopIfTrue="1" operator="between">
      <formula>0</formula>
      <formula>5</formula>
    </cfRule>
    <cfRule type="containsBlanks" dxfId="8817" priority="2817" stopIfTrue="1">
      <formula>LEN(TRIM(H101))=0</formula>
    </cfRule>
  </conditionalFormatting>
  <conditionalFormatting sqref="E100">
    <cfRule type="containsBlanks" dxfId="8816" priority="2804" stopIfTrue="1">
      <formula>LEN(TRIM(E100))=0</formula>
    </cfRule>
    <cfRule type="cellIs" dxfId="8815" priority="2805" stopIfTrue="1" operator="between">
      <formula>80.1</formula>
      <formula>100</formula>
    </cfRule>
    <cfRule type="cellIs" dxfId="8814" priority="2806" stopIfTrue="1" operator="between">
      <formula>35.1</formula>
      <formula>80</formula>
    </cfRule>
    <cfRule type="cellIs" dxfId="8813" priority="2807" stopIfTrue="1" operator="between">
      <formula>14.1</formula>
      <formula>35</formula>
    </cfRule>
    <cfRule type="cellIs" dxfId="8812" priority="2808" stopIfTrue="1" operator="between">
      <formula>5.1</formula>
      <formula>14</formula>
    </cfRule>
    <cfRule type="cellIs" dxfId="8811" priority="2809" stopIfTrue="1" operator="between">
      <formula>0</formula>
      <formula>5</formula>
    </cfRule>
    <cfRule type="containsBlanks" dxfId="8810" priority="2810" stopIfTrue="1">
      <formula>LEN(TRIM(E100))=0</formula>
    </cfRule>
  </conditionalFormatting>
  <conditionalFormatting sqref="E22:P23">
    <cfRule type="containsBlanks" dxfId="8809" priority="2783" stopIfTrue="1">
      <formula>LEN(TRIM(E22))=0</formula>
    </cfRule>
    <cfRule type="cellIs" dxfId="8808" priority="2784" stopIfTrue="1" operator="between">
      <formula>79.1</formula>
      <formula>100</formula>
    </cfRule>
    <cfRule type="cellIs" dxfId="8807" priority="2785" stopIfTrue="1" operator="between">
      <formula>34.1</formula>
      <formula>79</formula>
    </cfRule>
    <cfRule type="cellIs" dxfId="8806" priority="2786" stopIfTrue="1" operator="between">
      <formula>13.1</formula>
      <formula>34</formula>
    </cfRule>
    <cfRule type="cellIs" dxfId="8805" priority="2787" stopIfTrue="1" operator="between">
      <formula>5.1</formula>
      <formula>13</formula>
    </cfRule>
    <cfRule type="cellIs" dxfId="8804" priority="2788" stopIfTrue="1" operator="between">
      <formula>0</formula>
      <formula>5</formula>
    </cfRule>
    <cfRule type="containsBlanks" dxfId="8803" priority="2789" stopIfTrue="1">
      <formula>LEN(TRIM(E22))=0</formula>
    </cfRule>
  </conditionalFormatting>
  <conditionalFormatting sqref="E24:P24">
    <cfRule type="containsBlanks" dxfId="8802" priority="2776" stopIfTrue="1">
      <formula>LEN(TRIM(E24))=0</formula>
    </cfRule>
    <cfRule type="cellIs" dxfId="8801" priority="2777" stopIfTrue="1" operator="between">
      <formula>79.1</formula>
      <formula>100</formula>
    </cfRule>
    <cfRule type="cellIs" dxfId="8800" priority="2778" stopIfTrue="1" operator="between">
      <formula>34.1</formula>
      <formula>79</formula>
    </cfRule>
    <cfRule type="cellIs" dxfId="8799" priority="2779" stopIfTrue="1" operator="between">
      <formula>13.1</formula>
      <formula>34</formula>
    </cfRule>
    <cfRule type="cellIs" dxfId="8798" priority="2780" stopIfTrue="1" operator="between">
      <formula>5.1</formula>
      <formula>13</formula>
    </cfRule>
    <cfRule type="cellIs" dxfId="8797" priority="2781" stopIfTrue="1" operator="between">
      <formula>0</formula>
      <formula>5</formula>
    </cfRule>
    <cfRule type="containsBlanks" dxfId="8796" priority="2782" stopIfTrue="1">
      <formula>LEN(TRIM(E24))=0</formula>
    </cfRule>
  </conditionalFormatting>
  <conditionalFormatting sqref="E37:P37">
    <cfRule type="containsBlanks" dxfId="8795" priority="2741" stopIfTrue="1">
      <formula>LEN(TRIM(E37))=0</formula>
    </cfRule>
    <cfRule type="cellIs" dxfId="8794" priority="2742" stopIfTrue="1" operator="between">
      <formula>80.1</formula>
      <formula>100</formula>
    </cfRule>
    <cfRule type="cellIs" dxfId="8793" priority="2743" stopIfTrue="1" operator="between">
      <formula>35.1</formula>
      <formula>80</formula>
    </cfRule>
    <cfRule type="cellIs" dxfId="8792" priority="2744" stopIfTrue="1" operator="between">
      <formula>14.1</formula>
      <formula>35</formula>
    </cfRule>
    <cfRule type="cellIs" dxfId="8791" priority="2745" stopIfTrue="1" operator="between">
      <formula>5.1</formula>
      <formula>14</formula>
    </cfRule>
    <cfRule type="cellIs" dxfId="8790" priority="2746" stopIfTrue="1" operator="between">
      <formula>0</formula>
      <formula>5</formula>
    </cfRule>
    <cfRule type="containsBlanks" dxfId="8789" priority="2747" stopIfTrue="1">
      <formula>LEN(TRIM(E37))=0</formula>
    </cfRule>
  </conditionalFormatting>
  <conditionalFormatting sqref="Q40">
    <cfRule type="containsBlanks" dxfId="8788" priority="2692" stopIfTrue="1">
      <formula>LEN(TRIM(Q40))=0</formula>
    </cfRule>
    <cfRule type="cellIs" dxfId="8787" priority="2693" stopIfTrue="1" operator="between">
      <formula>80.1</formula>
      <formula>100</formula>
    </cfRule>
    <cfRule type="cellIs" dxfId="8786" priority="2694" stopIfTrue="1" operator="between">
      <formula>35.1</formula>
      <formula>80</formula>
    </cfRule>
    <cfRule type="cellIs" dxfId="8785" priority="2695" stopIfTrue="1" operator="between">
      <formula>14.1</formula>
      <formula>35</formula>
    </cfRule>
    <cfRule type="cellIs" dxfId="8784" priority="2696" stopIfTrue="1" operator="between">
      <formula>5.1</formula>
      <formula>14</formula>
    </cfRule>
    <cfRule type="cellIs" dxfId="8783" priority="2697" stopIfTrue="1" operator="between">
      <formula>0</formula>
      <formula>5</formula>
    </cfRule>
    <cfRule type="containsBlanks" dxfId="8782" priority="2698" stopIfTrue="1">
      <formula>LEN(TRIM(Q40))=0</formula>
    </cfRule>
  </conditionalFormatting>
  <conditionalFormatting sqref="E40:P40">
    <cfRule type="containsBlanks" dxfId="8781" priority="2685" stopIfTrue="1">
      <formula>LEN(TRIM(E40))=0</formula>
    </cfRule>
    <cfRule type="cellIs" dxfId="8780" priority="2686" stopIfTrue="1" operator="between">
      <formula>80.1</formula>
      <formula>100</formula>
    </cfRule>
    <cfRule type="cellIs" dxfId="8779" priority="2687" stopIfTrue="1" operator="between">
      <formula>35.1</formula>
      <formula>80</formula>
    </cfRule>
    <cfRule type="cellIs" dxfId="8778" priority="2688" stopIfTrue="1" operator="between">
      <formula>14.1</formula>
      <formula>35</formula>
    </cfRule>
    <cfRule type="cellIs" dxfId="8777" priority="2689" stopIfTrue="1" operator="between">
      <formula>5.1</formula>
      <formula>14</formula>
    </cfRule>
    <cfRule type="cellIs" dxfId="8776" priority="2690" stopIfTrue="1" operator="between">
      <formula>0</formula>
      <formula>5</formula>
    </cfRule>
    <cfRule type="containsBlanks" dxfId="8775" priority="2691" stopIfTrue="1">
      <formula>LEN(TRIM(E40))=0</formula>
    </cfRule>
  </conditionalFormatting>
  <conditionalFormatting sqref="E39:P39">
    <cfRule type="containsBlanks" dxfId="8774" priority="2664" stopIfTrue="1">
      <formula>LEN(TRIM(E39))=0</formula>
    </cfRule>
    <cfRule type="cellIs" dxfId="8773" priority="2665" stopIfTrue="1" operator="between">
      <formula>80.1</formula>
      <formula>100</formula>
    </cfRule>
    <cfRule type="cellIs" dxfId="8772" priority="2666" stopIfTrue="1" operator="between">
      <formula>35.1</formula>
      <formula>80</formula>
    </cfRule>
    <cfRule type="cellIs" dxfId="8771" priority="2667" stopIfTrue="1" operator="between">
      <formula>14.1</formula>
      <formula>35</formula>
    </cfRule>
    <cfRule type="cellIs" dxfId="8770" priority="2668" stopIfTrue="1" operator="between">
      <formula>5.1</formula>
      <formula>14</formula>
    </cfRule>
    <cfRule type="cellIs" dxfId="8769" priority="2669" stopIfTrue="1" operator="between">
      <formula>0</formula>
      <formula>5</formula>
    </cfRule>
    <cfRule type="containsBlanks" dxfId="8768" priority="2670" stopIfTrue="1">
      <formula>LEN(TRIM(E39))=0</formula>
    </cfRule>
  </conditionalFormatting>
  <conditionalFormatting sqref="E67:P67">
    <cfRule type="containsBlanks" dxfId="8767" priority="2650" stopIfTrue="1">
      <formula>LEN(TRIM(E67))=0</formula>
    </cfRule>
    <cfRule type="cellIs" dxfId="8766" priority="2651" stopIfTrue="1" operator="between">
      <formula>79.1</formula>
      <formula>100</formula>
    </cfRule>
    <cfRule type="cellIs" dxfId="8765" priority="2652" stopIfTrue="1" operator="between">
      <formula>34.1</formula>
      <formula>79</formula>
    </cfRule>
    <cfRule type="cellIs" dxfId="8764" priority="2653" stopIfTrue="1" operator="between">
      <formula>13.1</formula>
      <formula>34</formula>
    </cfRule>
    <cfRule type="cellIs" dxfId="8763" priority="2654" stopIfTrue="1" operator="between">
      <formula>5.1</formula>
      <formula>13</formula>
    </cfRule>
    <cfRule type="cellIs" dxfId="8762" priority="2655" stopIfTrue="1" operator="between">
      <formula>0</formula>
      <formula>5</formula>
    </cfRule>
    <cfRule type="containsBlanks" dxfId="8761" priority="2656" stopIfTrue="1">
      <formula>LEN(TRIM(E67))=0</formula>
    </cfRule>
  </conditionalFormatting>
  <conditionalFormatting sqref="E69:P76">
    <cfRule type="containsBlanks" dxfId="8760" priority="2643" stopIfTrue="1">
      <formula>LEN(TRIM(E69))=0</formula>
    </cfRule>
    <cfRule type="cellIs" dxfId="8759" priority="2644" stopIfTrue="1" operator="between">
      <formula>79.1</formula>
      <formula>100</formula>
    </cfRule>
    <cfRule type="cellIs" dxfId="8758" priority="2645" stopIfTrue="1" operator="between">
      <formula>34.1</formula>
      <formula>79</formula>
    </cfRule>
    <cfRule type="cellIs" dxfId="8757" priority="2646" stopIfTrue="1" operator="between">
      <formula>13.1</formula>
      <formula>34</formula>
    </cfRule>
    <cfRule type="cellIs" dxfId="8756" priority="2647" stopIfTrue="1" operator="between">
      <formula>5.1</formula>
      <formula>13</formula>
    </cfRule>
    <cfRule type="cellIs" dxfId="8755" priority="2648" stopIfTrue="1" operator="between">
      <formula>0</formula>
      <formula>5</formula>
    </cfRule>
    <cfRule type="containsBlanks" dxfId="8754" priority="2649" stopIfTrue="1">
      <formula>LEN(TRIM(E69))=0</formula>
    </cfRule>
  </conditionalFormatting>
  <conditionalFormatting sqref="E77:P77">
    <cfRule type="containsBlanks" dxfId="8753" priority="2636" stopIfTrue="1">
      <formula>LEN(TRIM(E77))=0</formula>
    </cfRule>
    <cfRule type="cellIs" dxfId="8752" priority="2637" stopIfTrue="1" operator="between">
      <formula>79.1</formula>
      <formula>100</formula>
    </cfRule>
    <cfRule type="cellIs" dxfId="8751" priority="2638" stopIfTrue="1" operator="between">
      <formula>34.1</formula>
      <formula>79</formula>
    </cfRule>
    <cfRule type="cellIs" dxfId="8750" priority="2639" stopIfTrue="1" operator="between">
      <formula>13.1</formula>
      <formula>34</formula>
    </cfRule>
    <cfRule type="cellIs" dxfId="8749" priority="2640" stopIfTrue="1" operator="between">
      <formula>5.1</formula>
      <formula>13</formula>
    </cfRule>
    <cfRule type="cellIs" dxfId="8748" priority="2641" stopIfTrue="1" operator="between">
      <formula>0</formula>
      <formula>5</formula>
    </cfRule>
    <cfRule type="containsBlanks" dxfId="8747" priority="2642" stopIfTrue="1">
      <formula>LEN(TRIM(E77))=0</formula>
    </cfRule>
  </conditionalFormatting>
  <conditionalFormatting sqref="E78:P78">
    <cfRule type="containsBlanks" dxfId="8746" priority="2629" stopIfTrue="1">
      <formula>LEN(TRIM(E78))=0</formula>
    </cfRule>
    <cfRule type="cellIs" dxfId="8745" priority="2630" stopIfTrue="1" operator="between">
      <formula>79.1</formula>
      <formula>100</formula>
    </cfRule>
    <cfRule type="cellIs" dxfId="8744" priority="2631" stopIfTrue="1" operator="between">
      <formula>34.1</formula>
      <formula>79</formula>
    </cfRule>
    <cfRule type="cellIs" dxfId="8743" priority="2632" stopIfTrue="1" operator="between">
      <formula>13.1</formula>
      <formula>34</formula>
    </cfRule>
    <cfRule type="cellIs" dxfId="8742" priority="2633" stopIfTrue="1" operator="between">
      <formula>5.1</formula>
      <formula>13</formula>
    </cfRule>
    <cfRule type="cellIs" dxfId="8741" priority="2634" stopIfTrue="1" operator="between">
      <formula>0</formula>
      <formula>5</formula>
    </cfRule>
    <cfRule type="containsBlanks" dxfId="8740" priority="2635" stopIfTrue="1">
      <formula>LEN(TRIM(E78))=0</formula>
    </cfRule>
  </conditionalFormatting>
  <conditionalFormatting sqref="E79:P79">
    <cfRule type="containsBlanks" dxfId="8739" priority="2622" stopIfTrue="1">
      <formula>LEN(TRIM(E79))=0</formula>
    </cfRule>
    <cfRule type="cellIs" dxfId="8738" priority="2623" stopIfTrue="1" operator="between">
      <formula>79.1</formula>
      <formula>100</formula>
    </cfRule>
    <cfRule type="cellIs" dxfId="8737" priority="2624" stopIfTrue="1" operator="between">
      <formula>34.1</formula>
      <formula>79</formula>
    </cfRule>
    <cfRule type="cellIs" dxfId="8736" priority="2625" stopIfTrue="1" operator="between">
      <formula>13.1</formula>
      <formula>34</formula>
    </cfRule>
    <cfRule type="cellIs" dxfId="8735" priority="2626" stopIfTrue="1" operator="between">
      <formula>5.1</formula>
      <formula>13</formula>
    </cfRule>
    <cfRule type="cellIs" dxfId="8734" priority="2627" stopIfTrue="1" operator="between">
      <formula>0</formula>
      <formula>5</formula>
    </cfRule>
    <cfRule type="containsBlanks" dxfId="8733" priority="2628" stopIfTrue="1">
      <formula>LEN(TRIM(E79))=0</formula>
    </cfRule>
  </conditionalFormatting>
  <conditionalFormatting sqref="E80:P80">
    <cfRule type="containsBlanks" dxfId="8732" priority="2615" stopIfTrue="1">
      <formula>LEN(TRIM(E80))=0</formula>
    </cfRule>
    <cfRule type="cellIs" dxfId="8731" priority="2616" stopIfTrue="1" operator="between">
      <formula>79.1</formula>
      <formula>100</formula>
    </cfRule>
    <cfRule type="cellIs" dxfId="8730" priority="2617" stopIfTrue="1" operator="between">
      <formula>34.1</formula>
      <formula>79</formula>
    </cfRule>
    <cfRule type="cellIs" dxfId="8729" priority="2618" stopIfTrue="1" operator="between">
      <formula>13.1</formula>
      <formula>34</formula>
    </cfRule>
    <cfRule type="cellIs" dxfId="8728" priority="2619" stopIfTrue="1" operator="between">
      <formula>5.1</formula>
      <formula>13</formula>
    </cfRule>
    <cfRule type="cellIs" dxfId="8727" priority="2620" stopIfTrue="1" operator="between">
      <formula>0</formula>
      <formula>5</formula>
    </cfRule>
    <cfRule type="containsBlanks" dxfId="8726" priority="2621" stopIfTrue="1">
      <formula>LEN(TRIM(E80))=0</formula>
    </cfRule>
  </conditionalFormatting>
  <conditionalFormatting sqref="E90:P90">
    <cfRule type="containsBlanks" dxfId="8725" priority="2601" stopIfTrue="1">
      <formula>LEN(TRIM(E90))=0</formula>
    </cfRule>
    <cfRule type="cellIs" dxfId="8724" priority="2602" stopIfTrue="1" operator="between">
      <formula>79.1</formula>
      <formula>100</formula>
    </cfRule>
    <cfRule type="cellIs" dxfId="8723" priority="2603" stopIfTrue="1" operator="between">
      <formula>34.1</formula>
      <formula>79</formula>
    </cfRule>
    <cfRule type="cellIs" dxfId="8722" priority="2604" stopIfTrue="1" operator="between">
      <formula>13.1</formula>
      <formula>34</formula>
    </cfRule>
    <cfRule type="cellIs" dxfId="8721" priority="2605" stopIfTrue="1" operator="between">
      <formula>5.1</formula>
      <formula>13</formula>
    </cfRule>
    <cfRule type="cellIs" dxfId="8720" priority="2606" stopIfTrue="1" operator="between">
      <formula>0</formula>
      <formula>5</formula>
    </cfRule>
    <cfRule type="containsBlanks" dxfId="8719" priority="2607" stopIfTrue="1">
      <formula>LEN(TRIM(E90))=0</formula>
    </cfRule>
  </conditionalFormatting>
  <conditionalFormatting sqref="E91:P91">
    <cfRule type="containsBlanks" dxfId="8718" priority="2587" stopIfTrue="1">
      <formula>LEN(TRIM(E91))=0</formula>
    </cfRule>
    <cfRule type="cellIs" dxfId="8717" priority="2588" stopIfTrue="1" operator="between">
      <formula>79.1</formula>
      <formula>100</formula>
    </cfRule>
    <cfRule type="cellIs" dxfId="8716" priority="2589" stopIfTrue="1" operator="between">
      <formula>34.1</formula>
      <formula>79</formula>
    </cfRule>
    <cfRule type="cellIs" dxfId="8715" priority="2590" stopIfTrue="1" operator="between">
      <formula>13.1</formula>
      <formula>34</formula>
    </cfRule>
    <cfRule type="cellIs" dxfId="8714" priority="2591" stopIfTrue="1" operator="between">
      <formula>5.1</formula>
      <formula>13</formula>
    </cfRule>
    <cfRule type="cellIs" dxfId="8713" priority="2592" stopIfTrue="1" operator="between">
      <formula>0</formula>
      <formula>5</formula>
    </cfRule>
    <cfRule type="containsBlanks" dxfId="8712" priority="2593" stopIfTrue="1">
      <formula>LEN(TRIM(E91))=0</formula>
    </cfRule>
  </conditionalFormatting>
  <conditionalFormatting sqref="E66:P66">
    <cfRule type="containsBlanks" dxfId="8711" priority="2580" stopIfTrue="1">
      <formula>LEN(TRIM(E66))=0</formula>
    </cfRule>
    <cfRule type="cellIs" dxfId="8710" priority="2581" stopIfTrue="1" operator="between">
      <formula>79.1</formula>
      <formula>100</formula>
    </cfRule>
    <cfRule type="cellIs" dxfId="8709" priority="2582" stopIfTrue="1" operator="between">
      <formula>34.1</formula>
      <formula>79</formula>
    </cfRule>
    <cfRule type="cellIs" dxfId="8708" priority="2583" stopIfTrue="1" operator="between">
      <formula>13.1</formula>
      <formula>34</formula>
    </cfRule>
    <cfRule type="cellIs" dxfId="8707" priority="2584" stopIfTrue="1" operator="between">
      <formula>5.1</formula>
      <formula>13</formula>
    </cfRule>
    <cfRule type="cellIs" dxfId="8706" priority="2585" stopIfTrue="1" operator="between">
      <formula>0</formula>
      <formula>5</formula>
    </cfRule>
    <cfRule type="containsBlanks" dxfId="8705" priority="2586" stopIfTrue="1">
      <formula>LEN(TRIM(E66))=0</formula>
    </cfRule>
  </conditionalFormatting>
  <conditionalFormatting sqref="E105:P105">
    <cfRule type="containsBlanks" dxfId="8704" priority="2524" stopIfTrue="1">
      <formula>LEN(TRIM(E105))=0</formula>
    </cfRule>
    <cfRule type="cellIs" dxfId="8703" priority="2525" stopIfTrue="1" operator="between">
      <formula>79.1</formula>
      <formula>100</formula>
    </cfRule>
    <cfRule type="cellIs" dxfId="8702" priority="2526" stopIfTrue="1" operator="between">
      <formula>34.1</formula>
      <formula>79</formula>
    </cfRule>
    <cfRule type="cellIs" dxfId="8701" priority="2527" stopIfTrue="1" operator="between">
      <formula>13.1</formula>
      <formula>34</formula>
    </cfRule>
    <cfRule type="cellIs" dxfId="8700" priority="2528" stopIfTrue="1" operator="between">
      <formula>5.1</formula>
      <formula>13</formula>
    </cfRule>
    <cfRule type="cellIs" dxfId="8699" priority="2529" stopIfTrue="1" operator="between">
      <formula>0</formula>
      <formula>5</formula>
    </cfRule>
    <cfRule type="containsBlanks" dxfId="8698" priority="2530" stopIfTrue="1">
      <formula>LEN(TRIM(E105))=0</formula>
    </cfRule>
  </conditionalFormatting>
  <conditionalFormatting sqref="Q92">
    <cfRule type="containsBlanks" dxfId="8697" priority="2573" stopIfTrue="1">
      <formula>LEN(TRIM(Q92))=0</formula>
    </cfRule>
    <cfRule type="cellIs" dxfId="8696" priority="2574" stopIfTrue="1" operator="between">
      <formula>80.1</formula>
      <formula>100</formula>
    </cfRule>
    <cfRule type="cellIs" dxfId="8695" priority="2575" stopIfTrue="1" operator="between">
      <formula>35.1</formula>
      <formula>80</formula>
    </cfRule>
    <cfRule type="cellIs" dxfId="8694" priority="2576" stopIfTrue="1" operator="between">
      <formula>14.1</formula>
      <formula>35</formula>
    </cfRule>
    <cfRule type="cellIs" dxfId="8693" priority="2577" stopIfTrue="1" operator="between">
      <formula>5.1</formula>
      <formula>14</formula>
    </cfRule>
    <cfRule type="cellIs" dxfId="8692" priority="2578" stopIfTrue="1" operator="between">
      <formula>0</formula>
      <formula>5</formula>
    </cfRule>
    <cfRule type="containsBlanks" dxfId="8691" priority="2579" stopIfTrue="1">
      <formula>LEN(TRIM(Q92))=0</formula>
    </cfRule>
  </conditionalFormatting>
  <conditionalFormatting sqref="E92:P92">
    <cfRule type="containsBlanks" dxfId="8690" priority="2566" stopIfTrue="1">
      <formula>LEN(TRIM(E92))=0</formula>
    </cfRule>
    <cfRule type="cellIs" dxfId="8689" priority="2567" stopIfTrue="1" operator="between">
      <formula>79.1</formula>
      <formula>100</formula>
    </cfRule>
    <cfRule type="cellIs" dxfId="8688" priority="2568" stopIfTrue="1" operator="between">
      <formula>34.1</formula>
      <formula>79</formula>
    </cfRule>
    <cfRule type="cellIs" dxfId="8687" priority="2569" stopIfTrue="1" operator="between">
      <formula>13.1</formula>
      <formula>34</formula>
    </cfRule>
    <cfRule type="cellIs" dxfId="8686" priority="2570" stopIfTrue="1" operator="between">
      <formula>5.1</formula>
      <formula>13</formula>
    </cfRule>
    <cfRule type="cellIs" dxfId="8685" priority="2571" stopIfTrue="1" operator="between">
      <formula>0</formula>
      <formula>5</formula>
    </cfRule>
    <cfRule type="containsBlanks" dxfId="8684" priority="2572" stopIfTrue="1">
      <formula>LEN(TRIM(E92))=0</formula>
    </cfRule>
  </conditionalFormatting>
  <conditionalFormatting sqref="E108:P108">
    <cfRule type="containsBlanks" dxfId="8683" priority="2517" stopIfTrue="1">
      <formula>LEN(TRIM(E108))=0</formula>
    </cfRule>
    <cfRule type="cellIs" dxfId="8682" priority="2518" stopIfTrue="1" operator="between">
      <formula>79.1</formula>
      <formula>100</formula>
    </cfRule>
    <cfRule type="cellIs" dxfId="8681" priority="2519" stopIfTrue="1" operator="between">
      <formula>34.1</formula>
      <formula>79</formula>
    </cfRule>
    <cfRule type="cellIs" dxfId="8680" priority="2520" stopIfTrue="1" operator="between">
      <formula>13.1</formula>
      <formula>34</formula>
    </cfRule>
    <cfRule type="cellIs" dxfId="8679" priority="2521" stopIfTrue="1" operator="between">
      <formula>5.1</formula>
      <formula>13</formula>
    </cfRule>
    <cfRule type="cellIs" dxfId="8678" priority="2522" stopIfTrue="1" operator="between">
      <formula>0</formula>
      <formula>5</formula>
    </cfRule>
    <cfRule type="containsBlanks" dxfId="8677" priority="2523" stopIfTrue="1">
      <formula>LEN(TRIM(E108))=0</formula>
    </cfRule>
  </conditionalFormatting>
  <conditionalFormatting sqref="E93:P93">
    <cfRule type="containsBlanks" dxfId="8676" priority="2545" stopIfTrue="1">
      <formula>LEN(TRIM(E93))=0</formula>
    </cfRule>
    <cfRule type="cellIs" dxfId="8675" priority="2546" stopIfTrue="1" operator="between">
      <formula>79.1</formula>
      <formula>100</formula>
    </cfRule>
    <cfRule type="cellIs" dxfId="8674" priority="2547" stopIfTrue="1" operator="between">
      <formula>34.1</formula>
      <formula>79</formula>
    </cfRule>
    <cfRule type="cellIs" dxfId="8673" priority="2548" stopIfTrue="1" operator="between">
      <formula>13.1</formula>
      <formula>34</formula>
    </cfRule>
    <cfRule type="cellIs" dxfId="8672" priority="2549" stopIfTrue="1" operator="between">
      <formula>5.1</formula>
      <formula>13</formula>
    </cfRule>
    <cfRule type="cellIs" dxfId="8671" priority="2550" stopIfTrue="1" operator="between">
      <formula>0</formula>
      <formula>5</formula>
    </cfRule>
    <cfRule type="containsBlanks" dxfId="8670" priority="2551" stopIfTrue="1">
      <formula>LEN(TRIM(E93))=0</formula>
    </cfRule>
  </conditionalFormatting>
  <conditionalFormatting sqref="E102:P102">
    <cfRule type="containsBlanks" dxfId="8669" priority="2538" stopIfTrue="1">
      <formula>LEN(TRIM(E102))=0</formula>
    </cfRule>
    <cfRule type="cellIs" dxfId="8668" priority="2539" stopIfTrue="1" operator="between">
      <formula>79.1</formula>
      <formula>100</formula>
    </cfRule>
    <cfRule type="cellIs" dxfId="8667" priority="2540" stopIfTrue="1" operator="between">
      <formula>34.1</formula>
      <formula>79</formula>
    </cfRule>
    <cfRule type="cellIs" dxfId="8666" priority="2541" stopIfTrue="1" operator="between">
      <formula>13.1</formula>
      <formula>34</formula>
    </cfRule>
    <cfRule type="cellIs" dxfId="8665" priority="2542" stopIfTrue="1" operator="between">
      <formula>5.1</formula>
      <formula>13</formula>
    </cfRule>
    <cfRule type="cellIs" dxfId="8664" priority="2543" stopIfTrue="1" operator="between">
      <formula>0</formula>
      <formula>5</formula>
    </cfRule>
    <cfRule type="containsBlanks" dxfId="8663" priority="2544" stopIfTrue="1">
      <formula>LEN(TRIM(E102))=0</formula>
    </cfRule>
  </conditionalFormatting>
  <conditionalFormatting sqref="E104:P104">
    <cfRule type="containsBlanks" dxfId="8662" priority="2531" stopIfTrue="1">
      <formula>LEN(TRIM(E104))=0</formula>
    </cfRule>
    <cfRule type="cellIs" dxfId="8661" priority="2532" stopIfTrue="1" operator="between">
      <formula>79.1</formula>
      <formula>100</formula>
    </cfRule>
    <cfRule type="cellIs" dxfId="8660" priority="2533" stopIfTrue="1" operator="between">
      <formula>34.1</formula>
      <formula>79</formula>
    </cfRule>
    <cfRule type="cellIs" dxfId="8659" priority="2534" stopIfTrue="1" operator="between">
      <formula>13.1</formula>
      <formula>34</formula>
    </cfRule>
    <cfRule type="cellIs" dxfId="8658" priority="2535" stopIfTrue="1" operator="between">
      <formula>5.1</formula>
      <formula>13</formula>
    </cfRule>
    <cfRule type="cellIs" dxfId="8657" priority="2536" stopIfTrue="1" operator="between">
      <formula>0</formula>
      <formula>5</formula>
    </cfRule>
    <cfRule type="containsBlanks" dxfId="8656" priority="2537" stopIfTrue="1">
      <formula>LEN(TRIM(E104))=0</formula>
    </cfRule>
  </conditionalFormatting>
  <conditionalFormatting sqref="Q107">
    <cfRule type="containsBlanks" dxfId="8655" priority="2510" stopIfTrue="1">
      <formula>LEN(TRIM(Q107))=0</formula>
    </cfRule>
    <cfRule type="cellIs" dxfId="8654" priority="2511" stopIfTrue="1" operator="between">
      <formula>80.1</formula>
      <formula>100</formula>
    </cfRule>
    <cfRule type="cellIs" dxfId="8653" priority="2512" stopIfTrue="1" operator="between">
      <formula>35.1</formula>
      <formula>80</formula>
    </cfRule>
    <cfRule type="cellIs" dxfId="8652" priority="2513" stopIfTrue="1" operator="between">
      <formula>14.1</formula>
      <formula>35</formula>
    </cfRule>
    <cfRule type="cellIs" dxfId="8651" priority="2514" stopIfTrue="1" operator="between">
      <formula>5.1</formula>
      <formula>14</formula>
    </cfRule>
    <cfRule type="cellIs" dxfId="8650" priority="2515" stopIfTrue="1" operator="between">
      <formula>0</formula>
      <formula>5</formula>
    </cfRule>
    <cfRule type="containsBlanks" dxfId="8649" priority="2516" stopIfTrue="1">
      <formula>LEN(TRIM(Q107))=0</formula>
    </cfRule>
  </conditionalFormatting>
  <conditionalFormatting sqref="Q106">
    <cfRule type="containsBlanks" dxfId="8648" priority="2503" stopIfTrue="1">
      <formula>LEN(TRIM(Q106))=0</formula>
    </cfRule>
    <cfRule type="cellIs" dxfId="8647" priority="2504" stopIfTrue="1" operator="between">
      <formula>80.1</formula>
      <formula>100</formula>
    </cfRule>
    <cfRule type="cellIs" dxfId="8646" priority="2505" stopIfTrue="1" operator="between">
      <formula>35.1</formula>
      <formula>80</formula>
    </cfRule>
    <cfRule type="cellIs" dxfId="8645" priority="2506" stopIfTrue="1" operator="between">
      <formula>14.1</formula>
      <formula>35</formula>
    </cfRule>
    <cfRule type="cellIs" dxfId="8644" priority="2507" stopIfTrue="1" operator="between">
      <formula>5.1</formula>
      <formula>14</formula>
    </cfRule>
    <cfRule type="cellIs" dxfId="8643" priority="2508" stopIfTrue="1" operator="between">
      <formula>0</formula>
      <formula>5</formula>
    </cfRule>
    <cfRule type="containsBlanks" dxfId="8642" priority="2509" stopIfTrue="1">
      <formula>LEN(TRIM(Q106))=0</formula>
    </cfRule>
  </conditionalFormatting>
  <conditionalFormatting sqref="E106:P106">
    <cfRule type="containsBlanks" dxfId="8641" priority="2496" stopIfTrue="1">
      <formula>LEN(TRIM(E106))=0</formula>
    </cfRule>
    <cfRule type="cellIs" dxfId="8640" priority="2497" stopIfTrue="1" operator="between">
      <formula>79.1</formula>
      <formula>100</formula>
    </cfRule>
    <cfRule type="cellIs" dxfId="8639" priority="2498" stopIfTrue="1" operator="between">
      <formula>34.1</formula>
      <formula>79</formula>
    </cfRule>
    <cfRule type="cellIs" dxfId="8638" priority="2499" stopIfTrue="1" operator="between">
      <formula>13.1</formula>
      <formula>34</formula>
    </cfRule>
    <cfRule type="cellIs" dxfId="8637" priority="2500" stopIfTrue="1" operator="between">
      <formula>5.1</formula>
      <formula>13</formula>
    </cfRule>
    <cfRule type="cellIs" dxfId="8636" priority="2501" stopIfTrue="1" operator="between">
      <formula>0</formula>
      <formula>5</formula>
    </cfRule>
    <cfRule type="containsBlanks" dxfId="8635" priority="2502" stopIfTrue="1">
      <formula>LEN(TRIM(E106))=0</formula>
    </cfRule>
  </conditionalFormatting>
  <conditionalFormatting sqref="E107:P107">
    <cfRule type="containsBlanks" dxfId="8634" priority="2489" stopIfTrue="1">
      <formula>LEN(TRIM(E107))=0</formula>
    </cfRule>
    <cfRule type="cellIs" dxfId="8633" priority="2490" stopIfTrue="1" operator="between">
      <formula>79.1</formula>
      <formula>100</formula>
    </cfRule>
    <cfRule type="cellIs" dxfId="8632" priority="2491" stopIfTrue="1" operator="between">
      <formula>34.1</formula>
      <formula>79</formula>
    </cfRule>
    <cfRule type="cellIs" dxfId="8631" priority="2492" stopIfTrue="1" operator="between">
      <formula>13.1</formula>
      <formula>34</formula>
    </cfRule>
    <cfRule type="cellIs" dxfId="8630" priority="2493" stopIfTrue="1" operator="between">
      <formula>5.1</formula>
      <formula>13</formula>
    </cfRule>
    <cfRule type="cellIs" dxfId="8629" priority="2494" stopIfTrue="1" operator="between">
      <formula>0</formula>
      <formula>5</formula>
    </cfRule>
    <cfRule type="containsBlanks" dxfId="8628" priority="2495" stopIfTrue="1">
      <formula>LEN(TRIM(E107))=0</formula>
    </cfRule>
  </conditionalFormatting>
  <conditionalFormatting sqref="E109:P109">
    <cfRule type="containsBlanks" dxfId="8627" priority="2482" stopIfTrue="1">
      <formula>LEN(TRIM(E109))=0</formula>
    </cfRule>
    <cfRule type="cellIs" dxfId="8626" priority="2483" stopIfTrue="1" operator="between">
      <formula>79.1</formula>
      <formula>100</formula>
    </cfRule>
    <cfRule type="cellIs" dxfId="8625" priority="2484" stopIfTrue="1" operator="between">
      <formula>34.1</formula>
      <formula>79</formula>
    </cfRule>
    <cfRule type="cellIs" dxfId="8624" priority="2485" stopIfTrue="1" operator="between">
      <formula>13.1</formula>
      <formula>34</formula>
    </cfRule>
    <cfRule type="cellIs" dxfId="8623" priority="2486" stopIfTrue="1" operator="between">
      <formula>5.1</formula>
      <formula>13</formula>
    </cfRule>
    <cfRule type="cellIs" dxfId="8622" priority="2487" stopIfTrue="1" operator="between">
      <formula>0</formula>
      <formula>5</formula>
    </cfRule>
    <cfRule type="containsBlanks" dxfId="8621" priority="2488" stopIfTrue="1">
      <formula>LEN(TRIM(E109))=0</formula>
    </cfRule>
  </conditionalFormatting>
  <conditionalFormatting sqref="E115:P115 E117:K117">
    <cfRule type="containsBlanks" dxfId="8620" priority="2468" stopIfTrue="1">
      <formula>LEN(TRIM(E115))=0</formula>
    </cfRule>
    <cfRule type="cellIs" dxfId="8619" priority="2469" stopIfTrue="1" operator="between">
      <formula>79.1</formula>
      <formula>100</formula>
    </cfRule>
    <cfRule type="cellIs" dxfId="8618" priority="2470" stopIfTrue="1" operator="between">
      <formula>34.1</formula>
      <formula>79</formula>
    </cfRule>
    <cfRule type="cellIs" dxfId="8617" priority="2471" stopIfTrue="1" operator="between">
      <formula>13.1</formula>
      <formula>34</formula>
    </cfRule>
    <cfRule type="cellIs" dxfId="8616" priority="2472" stopIfTrue="1" operator="between">
      <formula>5.1</formula>
      <formula>13</formula>
    </cfRule>
    <cfRule type="cellIs" dxfId="8615" priority="2473" stopIfTrue="1" operator="between">
      <formula>0</formula>
      <formula>5</formula>
    </cfRule>
    <cfRule type="containsBlanks" dxfId="8614" priority="2474" stopIfTrue="1">
      <formula>LEN(TRIM(E115))=0</formula>
    </cfRule>
  </conditionalFormatting>
  <conditionalFormatting sqref="E118:P118">
    <cfRule type="containsBlanks" dxfId="8613" priority="2461" stopIfTrue="1">
      <formula>LEN(TRIM(E118))=0</formula>
    </cfRule>
    <cfRule type="cellIs" dxfId="8612" priority="2462" stopIfTrue="1" operator="between">
      <formula>79.1</formula>
      <formula>100</formula>
    </cfRule>
    <cfRule type="cellIs" dxfId="8611" priority="2463" stopIfTrue="1" operator="between">
      <formula>34.1</formula>
      <formula>79</formula>
    </cfRule>
    <cfRule type="cellIs" dxfId="8610" priority="2464" stopIfTrue="1" operator="between">
      <formula>13.1</formula>
      <formula>34</formula>
    </cfRule>
    <cfRule type="cellIs" dxfId="8609" priority="2465" stopIfTrue="1" operator="between">
      <formula>5.1</formula>
      <formula>13</formula>
    </cfRule>
    <cfRule type="cellIs" dxfId="8608" priority="2466" stopIfTrue="1" operator="between">
      <formula>0</formula>
      <formula>5</formula>
    </cfRule>
    <cfRule type="containsBlanks" dxfId="8607" priority="2467" stopIfTrue="1">
      <formula>LEN(TRIM(E118))=0</formula>
    </cfRule>
  </conditionalFormatting>
  <conditionalFormatting sqref="E119:P119">
    <cfRule type="containsBlanks" dxfId="8606" priority="2454" stopIfTrue="1">
      <formula>LEN(TRIM(E119))=0</formula>
    </cfRule>
    <cfRule type="cellIs" dxfId="8605" priority="2455" stopIfTrue="1" operator="between">
      <formula>79.1</formula>
      <formula>100</formula>
    </cfRule>
    <cfRule type="cellIs" dxfId="8604" priority="2456" stopIfTrue="1" operator="between">
      <formula>34.1</formula>
      <formula>79</formula>
    </cfRule>
    <cfRule type="cellIs" dxfId="8603" priority="2457" stopIfTrue="1" operator="between">
      <formula>13.1</formula>
      <formula>34</formula>
    </cfRule>
    <cfRule type="cellIs" dxfId="8602" priority="2458" stopIfTrue="1" operator="between">
      <formula>5.1</formula>
      <formula>13</formula>
    </cfRule>
    <cfRule type="cellIs" dxfId="8601" priority="2459" stopIfTrue="1" operator="between">
      <formula>0</formula>
      <formula>5</formula>
    </cfRule>
    <cfRule type="containsBlanks" dxfId="8600" priority="2460" stopIfTrue="1">
      <formula>LEN(TRIM(E119))=0</formula>
    </cfRule>
  </conditionalFormatting>
  <conditionalFormatting sqref="E120:P120">
    <cfRule type="containsBlanks" dxfId="8599" priority="2447" stopIfTrue="1">
      <formula>LEN(TRIM(E120))=0</formula>
    </cfRule>
    <cfRule type="cellIs" dxfId="8598" priority="2448" stopIfTrue="1" operator="between">
      <formula>79.1</formula>
      <formula>100</formula>
    </cfRule>
    <cfRule type="cellIs" dxfId="8597" priority="2449" stopIfTrue="1" operator="between">
      <formula>34.1</formula>
      <formula>79</formula>
    </cfRule>
    <cfRule type="cellIs" dxfId="8596" priority="2450" stopIfTrue="1" operator="between">
      <formula>13.1</formula>
      <formula>34</formula>
    </cfRule>
    <cfRule type="cellIs" dxfId="8595" priority="2451" stopIfTrue="1" operator="between">
      <formula>5.1</formula>
      <formula>13</formula>
    </cfRule>
    <cfRule type="cellIs" dxfId="8594" priority="2452" stopIfTrue="1" operator="between">
      <formula>0</formula>
      <formula>5</formula>
    </cfRule>
    <cfRule type="containsBlanks" dxfId="8593" priority="2453" stopIfTrue="1">
      <formula>LEN(TRIM(E120))=0</formula>
    </cfRule>
  </conditionalFormatting>
  <conditionalFormatting sqref="E122:P122">
    <cfRule type="containsBlanks" dxfId="8592" priority="2426" stopIfTrue="1">
      <formula>LEN(TRIM(E122))=0</formula>
    </cfRule>
    <cfRule type="cellIs" dxfId="8591" priority="2427" stopIfTrue="1" operator="between">
      <formula>79.1</formula>
      <formula>100</formula>
    </cfRule>
    <cfRule type="cellIs" dxfId="8590" priority="2428" stopIfTrue="1" operator="between">
      <formula>34.1</formula>
      <formula>79</formula>
    </cfRule>
    <cfRule type="cellIs" dxfId="8589" priority="2429" stopIfTrue="1" operator="between">
      <formula>13.1</formula>
      <formula>34</formula>
    </cfRule>
    <cfRule type="cellIs" dxfId="8588" priority="2430" stopIfTrue="1" operator="between">
      <formula>5.1</formula>
      <formula>13</formula>
    </cfRule>
    <cfRule type="cellIs" dxfId="8587" priority="2431" stopIfTrue="1" operator="between">
      <formula>0</formula>
      <formula>5</formula>
    </cfRule>
    <cfRule type="containsBlanks" dxfId="8586" priority="2432" stopIfTrue="1">
      <formula>LEN(TRIM(E122))=0</formula>
    </cfRule>
  </conditionalFormatting>
  <conditionalFormatting sqref="E123:P123">
    <cfRule type="containsBlanks" dxfId="8585" priority="2419" stopIfTrue="1">
      <formula>LEN(TRIM(E123))=0</formula>
    </cfRule>
    <cfRule type="cellIs" dxfId="8584" priority="2420" stopIfTrue="1" operator="between">
      <formula>79.1</formula>
      <formula>100</formula>
    </cfRule>
    <cfRule type="cellIs" dxfId="8583" priority="2421" stopIfTrue="1" operator="between">
      <formula>34.1</formula>
      <formula>79</formula>
    </cfRule>
    <cfRule type="cellIs" dxfId="8582" priority="2422" stopIfTrue="1" operator="between">
      <formula>13.1</formula>
      <formula>34</formula>
    </cfRule>
    <cfRule type="cellIs" dxfId="8581" priority="2423" stopIfTrue="1" operator="between">
      <formula>5.1</formula>
      <formula>13</formula>
    </cfRule>
    <cfRule type="cellIs" dxfId="8580" priority="2424" stopIfTrue="1" operator="between">
      <formula>0</formula>
      <formula>5</formula>
    </cfRule>
    <cfRule type="containsBlanks" dxfId="8579" priority="2425" stopIfTrue="1">
      <formula>LEN(TRIM(E123))=0</formula>
    </cfRule>
  </conditionalFormatting>
  <conditionalFormatting sqref="E124:K124">
    <cfRule type="containsBlanks" dxfId="8578" priority="2377" stopIfTrue="1">
      <formula>LEN(TRIM(E124))=0</formula>
    </cfRule>
    <cfRule type="cellIs" dxfId="8577" priority="2378" stopIfTrue="1" operator="between">
      <formula>79.1</formula>
      <formula>100</formula>
    </cfRule>
    <cfRule type="cellIs" dxfId="8576" priority="2379" stopIfTrue="1" operator="between">
      <formula>34.1</formula>
      <formula>79</formula>
    </cfRule>
    <cfRule type="cellIs" dxfId="8575" priority="2380" stopIfTrue="1" operator="between">
      <formula>13.1</formula>
      <formula>34</formula>
    </cfRule>
    <cfRule type="cellIs" dxfId="8574" priority="2381" stopIfTrue="1" operator="between">
      <formula>5.1</formula>
      <formula>13</formula>
    </cfRule>
    <cfRule type="cellIs" dxfId="8573" priority="2382" stopIfTrue="1" operator="between">
      <formula>0</formula>
      <formula>5</formula>
    </cfRule>
    <cfRule type="containsBlanks" dxfId="8572" priority="2383" stopIfTrue="1">
      <formula>LEN(TRIM(E124))=0</formula>
    </cfRule>
  </conditionalFormatting>
  <conditionalFormatting sqref="L124:P124">
    <cfRule type="containsBlanks" dxfId="8571" priority="2384" stopIfTrue="1">
      <formula>LEN(TRIM(L124))=0</formula>
    </cfRule>
    <cfRule type="cellIs" dxfId="8570" priority="2385" stopIfTrue="1" operator="between">
      <formula>79.1</formula>
      <formula>100</formula>
    </cfRule>
    <cfRule type="cellIs" dxfId="8569" priority="2386" stopIfTrue="1" operator="between">
      <formula>34.1</formula>
      <formula>79</formula>
    </cfRule>
    <cfRule type="cellIs" dxfId="8568" priority="2387" stopIfTrue="1" operator="between">
      <formula>13.1</formula>
      <formula>34</formula>
    </cfRule>
    <cfRule type="cellIs" dxfId="8567" priority="2388" stopIfTrue="1" operator="between">
      <formula>5.1</formula>
      <formula>13</formula>
    </cfRule>
    <cfRule type="cellIs" dxfId="8566" priority="2389" stopIfTrue="1" operator="between">
      <formula>0</formula>
      <formula>5</formula>
    </cfRule>
    <cfRule type="containsBlanks" dxfId="8565" priority="2390" stopIfTrue="1">
      <formula>LEN(TRIM(L124))=0</formula>
    </cfRule>
  </conditionalFormatting>
  <conditionalFormatting sqref="F30:Q30">
    <cfRule type="containsBlanks" dxfId="8564" priority="2342" stopIfTrue="1">
      <formula>LEN(TRIM(F30))=0</formula>
    </cfRule>
    <cfRule type="cellIs" dxfId="8563" priority="2343" stopIfTrue="1" operator="between">
      <formula>80.1</formula>
      <formula>100</formula>
    </cfRule>
    <cfRule type="cellIs" dxfId="8562" priority="2344" stopIfTrue="1" operator="between">
      <formula>35.1</formula>
      <formula>80</formula>
    </cfRule>
    <cfRule type="cellIs" dxfId="8561" priority="2345" stopIfTrue="1" operator="between">
      <formula>14.1</formula>
      <formula>35</formula>
    </cfRule>
    <cfRule type="cellIs" dxfId="8560" priority="2346" stopIfTrue="1" operator="between">
      <formula>5.1</formula>
      <formula>14</formula>
    </cfRule>
    <cfRule type="cellIs" dxfId="8559" priority="2347" stopIfTrue="1" operator="between">
      <formula>0</formula>
      <formula>5</formula>
    </cfRule>
    <cfRule type="containsBlanks" dxfId="8558" priority="2348" stopIfTrue="1">
      <formula>LEN(TRIM(F30))=0</formula>
    </cfRule>
  </conditionalFormatting>
  <conditionalFormatting sqref="E30">
    <cfRule type="containsBlanks" dxfId="8557" priority="2335" stopIfTrue="1">
      <formula>LEN(TRIM(E30))=0</formula>
    </cfRule>
    <cfRule type="cellIs" dxfId="8556" priority="2336" stopIfTrue="1" operator="between">
      <formula>80.1</formula>
      <formula>100</formula>
    </cfRule>
    <cfRule type="cellIs" dxfId="8555" priority="2337" stopIfTrue="1" operator="between">
      <formula>35.1</formula>
      <formula>80</formula>
    </cfRule>
    <cfRule type="cellIs" dxfId="8554" priority="2338" stopIfTrue="1" operator="between">
      <formula>14.1</formula>
      <formula>35</formula>
    </cfRule>
    <cfRule type="cellIs" dxfId="8553" priority="2339" stopIfTrue="1" operator="between">
      <formula>5.1</formula>
      <formula>14</formula>
    </cfRule>
    <cfRule type="cellIs" dxfId="8552" priority="2340" stopIfTrue="1" operator="between">
      <formula>0</formula>
      <formula>5</formula>
    </cfRule>
    <cfRule type="containsBlanks" dxfId="8551" priority="2341" stopIfTrue="1">
      <formula>LEN(TRIM(E30))=0</formula>
    </cfRule>
  </conditionalFormatting>
  <conditionalFormatting sqref="F34:Q34">
    <cfRule type="containsBlanks" dxfId="8550" priority="2328" stopIfTrue="1">
      <formula>LEN(TRIM(F34))=0</formula>
    </cfRule>
    <cfRule type="cellIs" dxfId="8549" priority="2329" stopIfTrue="1" operator="between">
      <formula>80.1</formula>
      <formula>100</formula>
    </cfRule>
    <cfRule type="cellIs" dxfId="8548" priority="2330" stopIfTrue="1" operator="between">
      <formula>35.1</formula>
      <formula>80</formula>
    </cfRule>
    <cfRule type="cellIs" dxfId="8547" priority="2331" stopIfTrue="1" operator="between">
      <formula>14.1</formula>
      <formula>35</formula>
    </cfRule>
    <cfRule type="cellIs" dxfId="8546" priority="2332" stopIfTrue="1" operator="between">
      <formula>5.1</formula>
      <formula>14</formula>
    </cfRule>
    <cfRule type="cellIs" dxfId="8545" priority="2333" stopIfTrue="1" operator="between">
      <formula>0</formula>
      <formula>5</formula>
    </cfRule>
    <cfRule type="containsBlanks" dxfId="8544" priority="2334" stopIfTrue="1">
      <formula>LEN(TRIM(F34))=0</formula>
    </cfRule>
  </conditionalFormatting>
  <conditionalFormatting sqref="E34">
    <cfRule type="containsBlanks" dxfId="8543" priority="2321" stopIfTrue="1">
      <formula>LEN(TRIM(E34))=0</formula>
    </cfRule>
    <cfRule type="cellIs" dxfId="8542" priority="2322" stopIfTrue="1" operator="between">
      <formula>80.1</formula>
      <formula>100</formula>
    </cfRule>
    <cfRule type="cellIs" dxfId="8541" priority="2323" stopIfTrue="1" operator="between">
      <formula>35.1</formula>
      <formula>80</formula>
    </cfRule>
    <cfRule type="cellIs" dxfId="8540" priority="2324" stopIfTrue="1" operator="between">
      <formula>14.1</formula>
      <formula>35</formula>
    </cfRule>
    <cfRule type="cellIs" dxfId="8539" priority="2325" stopIfTrue="1" operator="between">
      <formula>5.1</formula>
      <formula>14</formula>
    </cfRule>
    <cfRule type="cellIs" dxfId="8538" priority="2326" stopIfTrue="1" operator="between">
      <formula>0</formula>
      <formula>5</formula>
    </cfRule>
    <cfRule type="containsBlanks" dxfId="8537" priority="2327" stopIfTrue="1">
      <formula>LEN(TRIM(E34))=0</formula>
    </cfRule>
  </conditionalFormatting>
  <conditionalFormatting sqref="Q81">
    <cfRule type="containsBlanks" dxfId="8536" priority="2251" stopIfTrue="1">
      <formula>LEN(TRIM(Q81))=0</formula>
    </cfRule>
    <cfRule type="cellIs" dxfId="8535" priority="2252" stopIfTrue="1" operator="between">
      <formula>80.1</formula>
      <formula>100</formula>
    </cfRule>
    <cfRule type="cellIs" dxfId="8534" priority="2253" stopIfTrue="1" operator="between">
      <formula>35.1</formula>
      <formula>80</formula>
    </cfRule>
    <cfRule type="cellIs" dxfId="8533" priority="2254" stopIfTrue="1" operator="between">
      <formula>14.1</formula>
      <formula>35</formula>
    </cfRule>
    <cfRule type="cellIs" dxfId="8532" priority="2255" stopIfTrue="1" operator="between">
      <formula>5.1</formula>
      <formula>14</formula>
    </cfRule>
    <cfRule type="cellIs" dxfId="8531" priority="2256" stopIfTrue="1" operator="between">
      <formula>0</formula>
      <formula>5</formula>
    </cfRule>
    <cfRule type="containsBlanks" dxfId="8530" priority="2257" stopIfTrue="1">
      <formula>LEN(TRIM(Q81))=0</formula>
    </cfRule>
  </conditionalFormatting>
  <conditionalFormatting sqref="E81:J81">
    <cfRule type="containsBlanks" dxfId="8529" priority="2244" stopIfTrue="1">
      <formula>LEN(TRIM(E81))=0</formula>
    </cfRule>
    <cfRule type="cellIs" dxfId="8528" priority="2245" stopIfTrue="1" operator="between">
      <formula>79.1</formula>
      <formula>100</formula>
    </cfRule>
    <cfRule type="cellIs" dxfId="8527" priority="2246" stopIfTrue="1" operator="between">
      <formula>34.1</formula>
      <formula>79</formula>
    </cfRule>
    <cfRule type="cellIs" dxfId="8526" priority="2247" stopIfTrue="1" operator="between">
      <formula>13.1</formula>
      <formula>34</formula>
    </cfRule>
    <cfRule type="cellIs" dxfId="8525" priority="2248" stopIfTrue="1" operator="between">
      <formula>5.1</formula>
      <formula>13</formula>
    </cfRule>
    <cfRule type="cellIs" dxfId="8524" priority="2249" stopIfTrue="1" operator="between">
      <formula>0</formula>
      <formula>5</formula>
    </cfRule>
    <cfRule type="containsBlanks" dxfId="8523" priority="2250" stopIfTrue="1">
      <formula>LEN(TRIM(E81))=0</formula>
    </cfRule>
  </conditionalFormatting>
  <conditionalFormatting sqref="Q82">
    <cfRule type="containsBlanks" dxfId="8522" priority="2223" stopIfTrue="1">
      <formula>LEN(TRIM(Q82))=0</formula>
    </cfRule>
    <cfRule type="cellIs" dxfId="8521" priority="2224" stopIfTrue="1" operator="between">
      <formula>80.1</formula>
      <formula>100</formula>
    </cfRule>
    <cfRule type="cellIs" dxfId="8520" priority="2225" stopIfTrue="1" operator="between">
      <formula>35.1</formula>
      <formula>80</formula>
    </cfRule>
    <cfRule type="cellIs" dxfId="8519" priority="2226" stopIfTrue="1" operator="between">
      <formula>14.1</formula>
      <formula>35</formula>
    </cfRule>
    <cfRule type="cellIs" dxfId="8518" priority="2227" stopIfTrue="1" operator="between">
      <formula>5.1</formula>
      <formula>14</formula>
    </cfRule>
    <cfRule type="cellIs" dxfId="8517" priority="2228" stopIfTrue="1" operator="between">
      <formula>0</formula>
      <formula>5</formula>
    </cfRule>
    <cfRule type="containsBlanks" dxfId="8516" priority="2229" stopIfTrue="1">
      <formula>LEN(TRIM(Q82))=0</formula>
    </cfRule>
  </conditionalFormatting>
  <conditionalFormatting sqref="E82:J82">
    <cfRule type="containsBlanks" dxfId="8515" priority="2216" stopIfTrue="1">
      <formula>LEN(TRIM(E82))=0</formula>
    </cfRule>
    <cfRule type="cellIs" dxfId="8514" priority="2217" stopIfTrue="1" operator="between">
      <formula>79.1</formula>
      <formula>100</formula>
    </cfRule>
    <cfRule type="cellIs" dxfId="8513" priority="2218" stopIfTrue="1" operator="between">
      <formula>34.1</formula>
      <formula>79</formula>
    </cfRule>
    <cfRule type="cellIs" dxfId="8512" priority="2219" stopIfTrue="1" operator="between">
      <formula>13.1</formula>
      <formula>34</formula>
    </cfRule>
    <cfRule type="cellIs" dxfId="8511" priority="2220" stopIfTrue="1" operator="between">
      <formula>5.1</formula>
      <formula>13</formula>
    </cfRule>
    <cfRule type="cellIs" dxfId="8510" priority="2221" stopIfTrue="1" operator="between">
      <formula>0</formula>
      <formula>5</formula>
    </cfRule>
    <cfRule type="containsBlanks" dxfId="8509" priority="2222" stopIfTrue="1">
      <formula>LEN(TRIM(E82))=0</formula>
    </cfRule>
  </conditionalFormatting>
  <conditionalFormatting sqref="Q83">
    <cfRule type="containsBlanks" dxfId="8508" priority="2209" stopIfTrue="1">
      <formula>LEN(TRIM(Q83))=0</formula>
    </cfRule>
    <cfRule type="cellIs" dxfId="8507" priority="2210" stopIfTrue="1" operator="between">
      <formula>80.1</formula>
      <formula>100</formula>
    </cfRule>
    <cfRule type="cellIs" dxfId="8506" priority="2211" stopIfTrue="1" operator="between">
      <formula>35.1</formula>
      <formula>80</formula>
    </cfRule>
    <cfRule type="cellIs" dxfId="8505" priority="2212" stopIfTrue="1" operator="between">
      <formula>14.1</formula>
      <formula>35</formula>
    </cfRule>
    <cfRule type="cellIs" dxfId="8504" priority="2213" stopIfTrue="1" operator="between">
      <formula>5.1</formula>
      <formula>14</formula>
    </cfRule>
    <cfRule type="cellIs" dxfId="8503" priority="2214" stopIfTrue="1" operator="between">
      <formula>0</formula>
      <formula>5</formula>
    </cfRule>
    <cfRule type="containsBlanks" dxfId="8502" priority="2215" stopIfTrue="1">
      <formula>LEN(TRIM(Q83))=0</formula>
    </cfRule>
  </conditionalFormatting>
  <conditionalFormatting sqref="E83:J83">
    <cfRule type="containsBlanks" dxfId="8501" priority="2202" stopIfTrue="1">
      <formula>LEN(TRIM(E83))=0</formula>
    </cfRule>
    <cfRule type="cellIs" dxfId="8500" priority="2203" stopIfTrue="1" operator="between">
      <formula>79.1</formula>
      <formula>100</formula>
    </cfRule>
    <cfRule type="cellIs" dxfId="8499" priority="2204" stopIfTrue="1" operator="between">
      <formula>34.1</formula>
      <formula>79</formula>
    </cfRule>
    <cfRule type="cellIs" dxfId="8498" priority="2205" stopIfTrue="1" operator="between">
      <formula>13.1</formula>
      <formula>34</formula>
    </cfRule>
    <cfRule type="cellIs" dxfId="8497" priority="2206" stopIfTrue="1" operator="between">
      <formula>5.1</formula>
      <formula>13</formula>
    </cfRule>
    <cfRule type="cellIs" dxfId="8496" priority="2207" stopIfTrue="1" operator="between">
      <formula>0</formula>
      <formula>5</formula>
    </cfRule>
    <cfRule type="containsBlanks" dxfId="8495" priority="2208" stopIfTrue="1">
      <formula>LEN(TRIM(E83))=0</formula>
    </cfRule>
  </conditionalFormatting>
  <conditionalFormatting sqref="Q84">
    <cfRule type="containsBlanks" dxfId="8494" priority="2181" stopIfTrue="1">
      <formula>LEN(TRIM(Q84))=0</formula>
    </cfRule>
    <cfRule type="cellIs" dxfId="8493" priority="2182" stopIfTrue="1" operator="between">
      <formula>80.1</formula>
      <formula>100</formula>
    </cfRule>
    <cfRule type="cellIs" dxfId="8492" priority="2183" stopIfTrue="1" operator="between">
      <formula>35.1</formula>
      <formula>80</formula>
    </cfRule>
    <cfRule type="cellIs" dxfId="8491" priority="2184" stopIfTrue="1" operator="between">
      <formula>14.1</formula>
      <formula>35</formula>
    </cfRule>
    <cfRule type="cellIs" dxfId="8490" priority="2185" stopIfTrue="1" operator="between">
      <formula>5.1</formula>
      <formula>14</formula>
    </cfRule>
    <cfRule type="cellIs" dxfId="8489" priority="2186" stopIfTrue="1" operator="between">
      <formula>0</formula>
      <formula>5</formula>
    </cfRule>
    <cfRule type="containsBlanks" dxfId="8488" priority="2187" stopIfTrue="1">
      <formula>LEN(TRIM(Q84))=0</formula>
    </cfRule>
  </conditionalFormatting>
  <conditionalFormatting sqref="E84:J84">
    <cfRule type="containsBlanks" dxfId="8487" priority="2174" stopIfTrue="1">
      <formula>LEN(TRIM(E84))=0</formula>
    </cfRule>
    <cfRule type="cellIs" dxfId="8486" priority="2175" stopIfTrue="1" operator="between">
      <formula>79.1</formula>
      <formula>100</formula>
    </cfRule>
    <cfRule type="cellIs" dxfId="8485" priority="2176" stopIfTrue="1" operator="between">
      <formula>34.1</formula>
      <formula>79</formula>
    </cfRule>
    <cfRule type="cellIs" dxfId="8484" priority="2177" stopIfTrue="1" operator="between">
      <formula>13.1</formula>
      <formula>34</formula>
    </cfRule>
    <cfRule type="cellIs" dxfId="8483" priority="2178" stopIfTrue="1" operator="between">
      <formula>5.1</formula>
      <formula>13</formula>
    </cfRule>
    <cfRule type="cellIs" dxfId="8482" priority="2179" stopIfTrue="1" operator="between">
      <formula>0</formula>
      <formula>5</formula>
    </cfRule>
    <cfRule type="containsBlanks" dxfId="8481" priority="2180" stopIfTrue="1">
      <formula>LEN(TRIM(E84))=0</formula>
    </cfRule>
  </conditionalFormatting>
  <conditionalFormatting sqref="Q85">
    <cfRule type="containsBlanks" dxfId="8480" priority="2153" stopIfTrue="1">
      <formula>LEN(TRIM(Q85))=0</formula>
    </cfRule>
    <cfRule type="cellIs" dxfId="8479" priority="2154" stopIfTrue="1" operator="between">
      <formula>80.1</formula>
      <formula>100</formula>
    </cfRule>
    <cfRule type="cellIs" dxfId="8478" priority="2155" stopIfTrue="1" operator="between">
      <formula>35.1</formula>
      <formula>80</formula>
    </cfRule>
    <cfRule type="cellIs" dxfId="8477" priority="2156" stopIfTrue="1" operator="between">
      <formula>14.1</formula>
      <formula>35</formula>
    </cfRule>
    <cfRule type="cellIs" dxfId="8476" priority="2157" stopIfTrue="1" operator="between">
      <formula>5.1</formula>
      <formula>14</formula>
    </cfRule>
    <cfRule type="cellIs" dxfId="8475" priority="2158" stopIfTrue="1" operator="between">
      <formula>0</formula>
      <formula>5</formula>
    </cfRule>
    <cfRule type="containsBlanks" dxfId="8474" priority="2159" stopIfTrue="1">
      <formula>LEN(TRIM(Q85))=0</formula>
    </cfRule>
  </conditionalFormatting>
  <conditionalFormatting sqref="E85:J85">
    <cfRule type="containsBlanks" dxfId="8473" priority="2146" stopIfTrue="1">
      <formula>LEN(TRIM(E85))=0</formula>
    </cfRule>
    <cfRule type="cellIs" dxfId="8472" priority="2147" stopIfTrue="1" operator="between">
      <formula>79.1</formula>
      <formula>100</formula>
    </cfRule>
    <cfRule type="cellIs" dxfId="8471" priority="2148" stopIfTrue="1" operator="between">
      <formula>34.1</formula>
      <formula>79</formula>
    </cfRule>
    <cfRule type="cellIs" dxfId="8470" priority="2149" stopIfTrue="1" operator="between">
      <formula>13.1</formula>
      <formula>34</formula>
    </cfRule>
    <cfRule type="cellIs" dxfId="8469" priority="2150" stopIfTrue="1" operator="between">
      <formula>5.1</formula>
      <formula>13</formula>
    </cfRule>
    <cfRule type="cellIs" dxfId="8468" priority="2151" stopIfTrue="1" operator="between">
      <formula>0</formula>
      <formula>5</formula>
    </cfRule>
    <cfRule type="containsBlanks" dxfId="8467" priority="2152" stopIfTrue="1">
      <formula>LEN(TRIM(E85))=0</formula>
    </cfRule>
  </conditionalFormatting>
  <conditionalFormatting sqref="Q86">
    <cfRule type="containsBlanks" dxfId="8466" priority="2139" stopIfTrue="1">
      <formula>LEN(TRIM(Q86))=0</formula>
    </cfRule>
    <cfRule type="cellIs" dxfId="8465" priority="2140" stopIfTrue="1" operator="between">
      <formula>80.1</formula>
      <formula>100</formula>
    </cfRule>
    <cfRule type="cellIs" dxfId="8464" priority="2141" stopIfTrue="1" operator="between">
      <formula>35.1</formula>
      <formula>80</formula>
    </cfRule>
    <cfRule type="cellIs" dxfId="8463" priority="2142" stopIfTrue="1" operator="between">
      <formula>14.1</formula>
      <formula>35</formula>
    </cfRule>
    <cfRule type="cellIs" dxfId="8462" priority="2143" stopIfTrue="1" operator="between">
      <formula>5.1</formula>
      <formula>14</formula>
    </cfRule>
    <cfRule type="cellIs" dxfId="8461" priority="2144" stopIfTrue="1" operator="between">
      <formula>0</formula>
      <formula>5</formula>
    </cfRule>
    <cfRule type="containsBlanks" dxfId="8460" priority="2145" stopIfTrue="1">
      <formula>LEN(TRIM(Q86))=0</formula>
    </cfRule>
  </conditionalFormatting>
  <conditionalFormatting sqref="E86:J86">
    <cfRule type="containsBlanks" dxfId="8459" priority="2132" stopIfTrue="1">
      <formula>LEN(TRIM(E86))=0</formula>
    </cfRule>
    <cfRule type="cellIs" dxfId="8458" priority="2133" stopIfTrue="1" operator="between">
      <formula>79.1</formula>
      <formula>100</formula>
    </cfRule>
    <cfRule type="cellIs" dxfId="8457" priority="2134" stopIfTrue="1" operator="between">
      <formula>34.1</formula>
      <formula>79</formula>
    </cfRule>
    <cfRule type="cellIs" dxfId="8456" priority="2135" stopIfTrue="1" operator="between">
      <formula>13.1</formula>
      <formula>34</formula>
    </cfRule>
    <cfRule type="cellIs" dxfId="8455" priority="2136" stopIfTrue="1" operator="between">
      <formula>5.1</formula>
      <formula>13</formula>
    </cfRule>
    <cfRule type="cellIs" dxfId="8454" priority="2137" stopIfTrue="1" operator="between">
      <formula>0</formula>
      <formula>5</formula>
    </cfRule>
    <cfRule type="containsBlanks" dxfId="8453" priority="2138" stopIfTrue="1">
      <formula>LEN(TRIM(E86))=0</formula>
    </cfRule>
  </conditionalFormatting>
  <conditionalFormatting sqref="E54:Q56">
    <cfRule type="containsBlanks" dxfId="8452" priority="2125" stopIfTrue="1">
      <formula>LEN(TRIM(E54))=0</formula>
    </cfRule>
    <cfRule type="cellIs" dxfId="8451" priority="2126" stopIfTrue="1" operator="between">
      <formula>80.1</formula>
      <formula>100</formula>
    </cfRule>
    <cfRule type="cellIs" dxfId="8450" priority="2127" stopIfTrue="1" operator="between">
      <formula>35.1</formula>
      <formula>80</formula>
    </cfRule>
    <cfRule type="cellIs" dxfId="8449" priority="2128" stopIfTrue="1" operator="between">
      <formula>14.1</formula>
      <formula>35</formula>
    </cfRule>
    <cfRule type="cellIs" dxfId="8448" priority="2129" stopIfTrue="1" operator="between">
      <formula>5.1</formula>
      <formula>14</formula>
    </cfRule>
    <cfRule type="cellIs" dxfId="8447" priority="2130" stopIfTrue="1" operator="between">
      <formula>0</formula>
      <formula>5</formula>
    </cfRule>
    <cfRule type="containsBlanks" dxfId="8446" priority="2131" stopIfTrue="1">
      <formula>LEN(TRIM(E54))=0</formula>
    </cfRule>
  </conditionalFormatting>
  <conditionalFormatting sqref="P96:Q97">
    <cfRule type="containsBlanks" dxfId="8445" priority="2118" stopIfTrue="1">
      <formula>LEN(TRIM(P96))=0</formula>
    </cfRule>
    <cfRule type="cellIs" dxfId="8444" priority="2119" stopIfTrue="1" operator="between">
      <formula>80.1</formula>
      <formula>100</formula>
    </cfRule>
    <cfRule type="cellIs" dxfId="8443" priority="2120" stopIfTrue="1" operator="between">
      <formula>35.1</formula>
      <formula>80</formula>
    </cfRule>
    <cfRule type="cellIs" dxfId="8442" priority="2121" stopIfTrue="1" operator="between">
      <formula>14.1</formula>
      <formula>35</formula>
    </cfRule>
    <cfRule type="cellIs" dxfId="8441" priority="2122" stopIfTrue="1" operator="between">
      <formula>5.1</formula>
      <formula>14</formula>
    </cfRule>
    <cfRule type="cellIs" dxfId="8440" priority="2123" stopIfTrue="1" operator="between">
      <formula>0</formula>
      <formula>5</formula>
    </cfRule>
    <cfRule type="containsBlanks" dxfId="8439" priority="2124" stopIfTrue="1">
      <formula>LEN(TRIM(P96))=0</formula>
    </cfRule>
  </conditionalFormatting>
  <conditionalFormatting sqref="E96:J97">
    <cfRule type="containsBlanks" dxfId="8438" priority="2111" stopIfTrue="1">
      <formula>LEN(TRIM(E96))=0</formula>
    </cfRule>
    <cfRule type="cellIs" dxfId="8437" priority="2112" stopIfTrue="1" operator="between">
      <formula>79.1</formula>
      <formula>100</formula>
    </cfRule>
    <cfRule type="cellIs" dxfId="8436" priority="2113" stopIfTrue="1" operator="between">
      <formula>34.1</formula>
      <formula>79</formula>
    </cfRule>
    <cfRule type="cellIs" dxfId="8435" priority="2114" stopIfTrue="1" operator="between">
      <formula>13.1</formula>
      <formula>34</formula>
    </cfRule>
    <cfRule type="cellIs" dxfId="8434" priority="2115" stopIfTrue="1" operator="between">
      <formula>5.1</formula>
      <formula>13</formula>
    </cfRule>
    <cfRule type="cellIs" dxfId="8433" priority="2116" stopIfTrue="1" operator="between">
      <formula>0</formula>
      <formula>5</formula>
    </cfRule>
    <cfRule type="containsBlanks" dxfId="8432" priority="2117" stopIfTrue="1">
      <formula>LEN(TRIM(E96))=0</formula>
    </cfRule>
  </conditionalFormatting>
  <conditionalFormatting sqref="Q65">
    <cfRule type="containsBlanks" dxfId="8431" priority="2104" stopIfTrue="1">
      <formula>LEN(TRIM(Q65))=0</formula>
    </cfRule>
    <cfRule type="cellIs" dxfId="8430" priority="2105" stopIfTrue="1" operator="between">
      <formula>80.1</formula>
      <formula>100</formula>
    </cfRule>
    <cfRule type="cellIs" dxfId="8429" priority="2106" stopIfTrue="1" operator="between">
      <formula>35.1</formula>
      <formula>80</formula>
    </cfRule>
    <cfRule type="cellIs" dxfId="8428" priority="2107" stopIfTrue="1" operator="between">
      <formula>14.1</formula>
      <formula>35</formula>
    </cfRule>
    <cfRule type="cellIs" dxfId="8427" priority="2108" stopIfTrue="1" operator="between">
      <formula>5.1</formula>
      <formula>14</formula>
    </cfRule>
    <cfRule type="cellIs" dxfId="8426" priority="2109" stopIfTrue="1" operator="between">
      <formula>0</formula>
      <formula>5</formula>
    </cfRule>
    <cfRule type="containsBlanks" dxfId="8425" priority="2110" stopIfTrue="1">
      <formula>LEN(TRIM(Q65))=0</formula>
    </cfRule>
  </conditionalFormatting>
  <conditionalFormatting sqref="E65:P65">
    <cfRule type="containsBlanks" dxfId="8424" priority="2097" stopIfTrue="1">
      <formula>LEN(TRIM(E65))=0</formula>
    </cfRule>
    <cfRule type="cellIs" dxfId="8423" priority="2098" stopIfTrue="1" operator="between">
      <formula>79.1</formula>
      <formula>100</formula>
    </cfRule>
    <cfRule type="cellIs" dxfId="8422" priority="2099" stopIfTrue="1" operator="between">
      <formula>34.1</formula>
      <formula>79</formula>
    </cfRule>
    <cfRule type="cellIs" dxfId="8421" priority="2100" stopIfTrue="1" operator="between">
      <formula>13.1</formula>
      <formula>34</formula>
    </cfRule>
    <cfRule type="cellIs" dxfId="8420" priority="2101" stopIfTrue="1" operator="between">
      <formula>5.1</formula>
      <formula>13</formula>
    </cfRule>
    <cfRule type="cellIs" dxfId="8419" priority="2102" stopIfTrue="1" operator="between">
      <formula>0</formula>
      <formula>5</formula>
    </cfRule>
    <cfRule type="containsBlanks" dxfId="8418" priority="2103" stopIfTrue="1">
      <formula>LEN(TRIM(E65))=0</formula>
    </cfRule>
  </conditionalFormatting>
  <conditionalFormatting sqref="Q109 Q118">
    <cfRule type="containsBlanks" dxfId="8417" priority="2067" stopIfTrue="1">
      <formula>LEN(TRIM(Q109))=0</formula>
    </cfRule>
    <cfRule type="cellIs" dxfId="8416" priority="2068" stopIfTrue="1" operator="between">
      <formula>80.1</formula>
      <formula>100</formula>
    </cfRule>
    <cfRule type="cellIs" dxfId="8415" priority="2069" stopIfTrue="1" operator="between">
      <formula>35.1</formula>
      <formula>80</formula>
    </cfRule>
    <cfRule type="cellIs" dxfId="8414" priority="2070" stopIfTrue="1" operator="between">
      <formula>14.1</formula>
      <formula>35</formula>
    </cfRule>
    <cfRule type="cellIs" dxfId="8413" priority="2071" stopIfTrue="1" operator="between">
      <formula>5.1</formula>
      <formula>14</formula>
    </cfRule>
    <cfRule type="cellIs" dxfId="8412" priority="2072" stopIfTrue="1" operator="between">
      <formula>0</formula>
      <formula>5</formula>
    </cfRule>
    <cfRule type="containsBlanks" dxfId="8411" priority="2073" stopIfTrue="1">
      <formula>LEN(TRIM(Q109))=0</formula>
    </cfRule>
  </conditionalFormatting>
  <conditionalFormatting sqref="Q27">
    <cfRule type="containsBlanks" dxfId="8410" priority="2046" stopIfTrue="1">
      <formula>LEN(TRIM(Q27))=0</formula>
    </cfRule>
    <cfRule type="cellIs" dxfId="8409" priority="2047" stopIfTrue="1" operator="between">
      <formula>80.1</formula>
      <formula>100</formula>
    </cfRule>
    <cfRule type="cellIs" dxfId="8408" priority="2048" stopIfTrue="1" operator="between">
      <formula>35.1</formula>
      <formula>80</formula>
    </cfRule>
    <cfRule type="cellIs" dxfId="8407" priority="2049" stopIfTrue="1" operator="between">
      <formula>14.1</formula>
      <formula>35</formula>
    </cfRule>
    <cfRule type="cellIs" dxfId="8406" priority="2050" stopIfTrue="1" operator="between">
      <formula>5.1</formula>
      <formula>14</formula>
    </cfRule>
    <cfRule type="cellIs" dxfId="8405" priority="2051" stopIfTrue="1" operator="between">
      <formula>0</formula>
      <formula>5</formula>
    </cfRule>
    <cfRule type="containsBlanks" dxfId="8404" priority="2052" stopIfTrue="1">
      <formula>LEN(TRIM(Q27))=0</formula>
    </cfRule>
  </conditionalFormatting>
  <conditionalFormatting sqref="Q29">
    <cfRule type="containsBlanks" dxfId="8403" priority="2032" stopIfTrue="1">
      <formula>LEN(TRIM(Q29))=0</formula>
    </cfRule>
    <cfRule type="cellIs" dxfId="8402" priority="2033" stopIfTrue="1" operator="between">
      <formula>80.1</formula>
      <formula>100</formula>
    </cfRule>
    <cfRule type="cellIs" dxfId="8401" priority="2034" stopIfTrue="1" operator="between">
      <formula>35.1</formula>
      <formula>80</formula>
    </cfRule>
    <cfRule type="cellIs" dxfId="8400" priority="2035" stopIfTrue="1" operator="between">
      <formula>14.1</formula>
      <formula>35</formula>
    </cfRule>
    <cfRule type="cellIs" dxfId="8399" priority="2036" stopIfTrue="1" operator="between">
      <formula>5.1</formula>
      <formula>14</formula>
    </cfRule>
    <cfRule type="cellIs" dxfId="8398" priority="2037" stopIfTrue="1" operator="between">
      <formula>0</formula>
      <formula>5</formula>
    </cfRule>
    <cfRule type="containsBlanks" dxfId="8397" priority="2038" stopIfTrue="1">
      <formula>LEN(TRIM(Q29))=0</formula>
    </cfRule>
  </conditionalFormatting>
  <conditionalFormatting sqref="Q35">
    <cfRule type="containsBlanks" dxfId="8396" priority="2022" stopIfTrue="1">
      <formula>LEN(TRIM(Q35))=0</formula>
    </cfRule>
    <cfRule type="cellIs" dxfId="8395" priority="2023" stopIfTrue="1" operator="between">
      <formula>80.1</formula>
      <formula>100</formula>
    </cfRule>
    <cfRule type="cellIs" dxfId="8394" priority="2024" stopIfTrue="1" operator="between">
      <formula>35.1</formula>
      <formula>80</formula>
    </cfRule>
    <cfRule type="cellIs" dxfId="8393" priority="2025" stopIfTrue="1" operator="between">
      <formula>14.1</formula>
      <formula>35</formula>
    </cfRule>
    <cfRule type="cellIs" dxfId="8392" priority="2026" stopIfTrue="1" operator="between">
      <formula>5.1</formula>
      <formula>14</formula>
    </cfRule>
    <cfRule type="cellIs" dxfId="8391" priority="2027" stopIfTrue="1" operator="between">
      <formula>0</formula>
      <formula>5</formula>
    </cfRule>
    <cfRule type="containsBlanks" dxfId="8390" priority="2028" stopIfTrue="1">
      <formula>LEN(TRIM(Q35))=0</formula>
    </cfRule>
  </conditionalFormatting>
  <conditionalFormatting sqref="R233">
    <cfRule type="cellIs" dxfId="8389" priority="1986" stopIfTrue="1" operator="equal">
      <formula>"NO"</formula>
    </cfRule>
  </conditionalFormatting>
  <conditionalFormatting sqref="R233">
    <cfRule type="cellIs" dxfId="8388" priority="1985" stopIfTrue="1" operator="equal">
      <formula>"NO"</formula>
    </cfRule>
  </conditionalFormatting>
  <conditionalFormatting sqref="R233">
    <cfRule type="cellIs" dxfId="8387" priority="1984" stopIfTrue="1" operator="equal">
      <formula>"NO"</formula>
    </cfRule>
  </conditionalFormatting>
  <conditionalFormatting sqref="Q233">
    <cfRule type="containsBlanks" dxfId="8386" priority="1970" stopIfTrue="1">
      <formula>LEN(TRIM(Q233))=0</formula>
    </cfRule>
    <cfRule type="cellIs" dxfId="8385" priority="1971" stopIfTrue="1" operator="between">
      <formula>80.1</formula>
      <formula>100</formula>
    </cfRule>
    <cfRule type="cellIs" dxfId="8384" priority="1972" stopIfTrue="1" operator="between">
      <formula>35.1</formula>
      <formula>80</formula>
    </cfRule>
    <cfRule type="cellIs" dxfId="8383" priority="1973" stopIfTrue="1" operator="between">
      <formula>14.1</formula>
      <formula>35</formula>
    </cfRule>
    <cfRule type="cellIs" dxfId="8382" priority="1974" stopIfTrue="1" operator="between">
      <formula>5.1</formula>
      <formula>14</formula>
    </cfRule>
    <cfRule type="cellIs" dxfId="8381" priority="1975" stopIfTrue="1" operator="between">
      <formula>0</formula>
      <formula>5</formula>
    </cfRule>
    <cfRule type="containsBlanks" dxfId="8380" priority="1976" stopIfTrue="1">
      <formula>LEN(TRIM(Q233))=0</formula>
    </cfRule>
  </conditionalFormatting>
  <conditionalFormatting sqref="E116:P116">
    <cfRule type="containsBlanks" dxfId="8379" priority="1929" stopIfTrue="1">
      <formula>LEN(TRIM(E116))=0</formula>
    </cfRule>
    <cfRule type="cellIs" dxfId="8378" priority="1930" stopIfTrue="1" operator="between">
      <formula>79.1</formula>
      <formula>100</formula>
    </cfRule>
    <cfRule type="cellIs" dxfId="8377" priority="1931" stopIfTrue="1" operator="between">
      <formula>34.1</formula>
      <formula>79</formula>
    </cfRule>
    <cfRule type="cellIs" dxfId="8376" priority="1932" stopIfTrue="1" operator="between">
      <formula>13.1</formula>
      <formula>34</formula>
    </cfRule>
    <cfRule type="cellIs" dxfId="8375" priority="1933" stopIfTrue="1" operator="between">
      <formula>5.1</formula>
      <formula>13</formula>
    </cfRule>
    <cfRule type="cellIs" dxfId="8374" priority="1934" stopIfTrue="1" operator="between">
      <formula>0</formula>
      <formula>5</formula>
    </cfRule>
    <cfRule type="containsBlanks" dxfId="8373" priority="1935" stopIfTrue="1">
      <formula>LEN(TRIM(E116))=0</formula>
    </cfRule>
  </conditionalFormatting>
  <conditionalFormatting sqref="Q116">
    <cfRule type="containsBlanks" dxfId="8372" priority="1912" stopIfTrue="1">
      <formula>LEN(TRIM(Q116))=0</formula>
    </cfRule>
    <cfRule type="cellIs" dxfId="8371" priority="1913" stopIfTrue="1" operator="between">
      <formula>80.1</formula>
      <formula>100</formula>
    </cfRule>
    <cfRule type="cellIs" dxfId="8370" priority="1914" stopIfTrue="1" operator="between">
      <formula>35.1</formula>
      <formula>80</formula>
    </cfRule>
    <cfRule type="cellIs" dxfId="8369" priority="1915" stopIfTrue="1" operator="between">
      <formula>14.1</formula>
      <formula>35</formula>
    </cfRule>
    <cfRule type="cellIs" dxfId="8368" priority="1916" stopIfTrue="1" operator="between">
      <formula>5.1</formula>
      <formula>14</formula>
    </cfRule>
    <cfRule type="cellIs" dxfId="8367" priority="1917" stopIfTrue="1" operator="between">
      <formula>0</formula>
      <formula>5</formula>
    </cfRule>
    <cfRule type="containsBlanks" dxfId="8366" priority="1918" stopIfTrue="1">
      <formula>LEN(TRIM(Q116))=0</formula>
    </cfRule>
  </conditionalFormatting>
  <conditionalFormatting sqref="Q117">
    <cfRule type="containsBlanks" dxfId="8365" priority="1895" stopIfTrue="1">
      <formula>LEN(TRIM(Q117))=0</formula>
    </cfRule>
    <cfRule type="cellIs" dxfId="8364" priority="1896" stopIfTrue="1" operator="between">
      <formula>80.1</formula>
      <formula>100</formula>
    </cfRule>
    <cfRule type="cellIs" dxfId="8363" priority="1897" stopIfTrue="1" operator="between">
      <formula>35.1</formula>
      <formula>80</formula>
    </cfRule>
    <cfRule type="cellIs" dxfId="8362" priority="1898" stopIfTrue="1" operator="between">
      <formula>14.1</formula>
      <formula>35</formula>
    </cfRule>
    <cfRule type="cellIs" dxfId="8361" priority="1899" stopIfTrue="1" operator="between">
      <formula>5.1</formula>
      <formula>14</formula>
    </cfRule>
    <cfRule type="cellIs" dxfId="8360" priority="1900" stopIfTrue="1" operator="between">
      <formula>0</formula>
      <formula>5</formula>
    </cfRule>
    <cfRule type="containsBlanks" dxfId="8359" priority="1901" stopIfTrue="1">
      <formula>LEN(TRIM(Q117))=0</formula>
    </cfRule>
  </conditionalFormatting>
  <conditionalFormatting sqref="L117:P117">
    <cfRule type="containsBlanks" dxfId="8358" priority="1888" stopIfTrue="1">
      <formula>LEN(TRIM(L117))=0</formula>
    </cfRule>
    <cfRule type="cellIs" dxfId="8357" priority="1889" stopIfTrue="1" operator="between">
      <formula>79.1</formula>
      <formula>100</formula>
    </cfRule>
    <cfRule type="cellIs" dxfId="8356" priority="1890" stopIfTrue="1" operator="between">
      <formula>34.1</formula>
      <formula>79</formula>
    </cfRule>
    <cfRule type="cellIs" dxfId="8355" priority="1891" stopIfTrue="1" operator="between">
      <formula>13.1</formula>
      <formula>34</formula>
    </cfRule>
    <cfRule type="cellIs" dxfId="8354" priority="1892" stopIfTrue="1" operator="between">
      <formula>5.1</formula>
      <formula>13</formula>
    </cfRule>
    <cfRule type="cellIs" dxfId="8353" priority="1893" stopIfTrue="1" operator="between">
      <formula>0</formula>
      <formula>5</formula>
    </cfRule>
    <cfRule type="containsBlanks" dxfId="8352" priority="1894" stopIfTrue="1">
      <formula>LEN(TRIM(L117))=0</formula>
    </cfRule>
  </conditionalFormatting>
  <conditionalFormatting sqref="N110:P110">
    <cfRule type="containsBlanks" dxfId="8351" priority="1864" stopIfTrue="1">
      <formula>LEN(TRIM(N110))=0</formula>
    </cfRule>
    <cfRule type="cellIs" dxfId="8350" priority="1865" stopIfTrue="1" operator="between">
      <formula>79.1</formula>
      <formula>100</formula>
    </cfRule>
    <cfRule type="cellIs" dxfId="8349" priority="1866" stopIfTrue="1" operator="between">
      <formula>34.1</formula>
      <formula>79</formula>
    </cfRule>
    <cfRule type="cellIs" dxfId="8348" priority="1867" stopIfTrue="1" operator="between">
      <formula>13.1</formula>
      <formula>34</formula>
    </cfRule>
    <cfRule type="cellIs" dxfId="8347" priority="1868" stopIfTrue="1" operator="between">
      <formula>5.1</formula>
      <formula>13</formula>
    </cfRule>
    <cfRule type="cellIs" dxfId="8346" priority="1869" stopIfTrue="1" operator="between">
      <formula>0</formula>
      <formula>5</formula>
    </cfRule>
    <cfRule type="containsBlanks" dxfId="8345" priority="1870" stopIfTrue="1">
      <formula>LEN(TRIM(N110))=0</formula>
    </cfRule>
  </conditionalFormatting>
  <conditionalFormatting sqref="Q110">
    <cfRule type="containsBlanks" dxfId="8344" priority="1881" stopIfTrue="1">
      <formula>LEN(TRIM(Q110))=0</formula>
    </cfRule>
    <cfRule type="cellIs" dxfId="8343" priority="1882" stopIfTrue="1" operator="between">
      <formula>80.1</formula>
      <formula>100</formula>
    </cfRule>
    <cfRule type="cellIs" dxfId="8342" priority="1883" stopIfTrue="1" operator="between">
      <formula>35.1</formula>
      <formula>80</formula>
    </cfRule>
    <cfRule type="cellIs" dxfId="8341" priority="1884" stopIfTrue="1" operator="between">
      <formula>14.1</formula>
      <formula>35</formula>
    </cfRule>
    <cfRule type="cellIs" dxfId="8340" priority="1885" stopIfTrue="1" operator="between">
      <formula>5.1</formula>
      <formula>14</formula>
    </cfRule>
    <cfRule type="cellIs" dxfId="8339" priority="1886" stopIfTrue="1" operator="between">
      <formula>0</formula>
      <formula>5</formula>
    </cfRule>
    <cfRule type="containsBlanks" dxfId="8338" priority="1887" stopIfTrue="1">
      <formula>LEN(TRIM(Q110))=0</formula>
    </cfRule>
  </conditionalFormatting>
  <conditionalFormatting sqref="R105:R120">
    <cfRule type="cellIs" dxfId="8337" priority="1880" stopIfTrue="1" operator="equal">
      <formula>"NO"</formula>
    </cfRule>
  </conditionalFormatting>
  <conditionalFormatting sqref="R105:R120">
    <cfRule type="cellIs" dxfId="8336" priority="1879" stopIfTrue="1" operator="equal">
      <formula>"NO"</formula>
    </cfRule>
  </conditionalFormatting>
  <conditionalFormatting sqref="R105:R120">
    <cfRule type="cellIs" dxfId="8335" priority="1878" stopIfTrue="1" operator="equal">
      <formula>"NO"</formula>
    </cfRule>
  </conditionalFormatting>
  <conditionalFormatting sqref="Q245:Q246">
    <cfRule type="containsBlanks" dxfId="8334" priority="1789" stopIfTrue="1">
      <formula>LEN(TRIM(Q245))=0</formula>
    </cfRule>
    <cfRule type="cellIs" dxfId="8333" priority="1790" stopIfTrue="1" operator="between">
      <formula>80.1</formula>
      <formula>100</formula>
    </cfRule>
    <cfRule type="cellIs" dxfId="8332" priority="1791" stopIfTrue="1" operator="between">
      <formula>35.1</formula>
      <formula>80</formula>
    </cfRule>
    <cfRule type="cellIs" dxfId="8331" priority="1792" stopIfTrue="1" operator="between">
      <formula>14.1</formula>
      <formula>35</formula>
    </cfRule>
    <cfRule type="cellIs" dxfId="8330" priority="1793" stopIfTrue="1" operator="between">
      <formula>5.1</formula>
      <formula>14</formula>
    </cfRule>
    <cfRule type="cellIs" dxfId="8329" priority="1794" stopIfTrue="1" operator="between">
      <formula>0</formula>
      <formula>5</formula>
    </cfRule>
    <cfRule type="containsBlanks" dxfId="8328" priority="1795" stopIfTrue="1">
      <formula>LEN(TRIM(Q245))=0</formula>
    </cfRule>
  </conditionalFormatting>
  <conditionalFormatting sqref="Q247">
    <cfRule type="containsBlanks" dxfId="8327" priority="1772" stopIfTrue="1">
      <formula>LEN(TRIM(Q247))=0</formula>
    </cfRule>
    <cfRule type="cellIs" dxfId="8326" priority="1773" stopIfTrue="1" operator="between">
      <formula>80.1</formula>
      <formula>100</formula>
    </cfRule>
    <cfRule type="cellIs" dxfId="8325" priority="1774" stopIfTrue="1" operator="between">
      <formula>35.1</formula>
      <formula>80</formula>
    </cfRule>
    <cfRule type="cellIs" dxfId="8324" priority="1775" stopIfTrue="1" operator="between">
      <formula>14.1</formula>
      <formula>35</formula>
    </cfRule>
    <cfRule type="cellIs" dxfId="8323" priority="1776" stopIfTrue="1" operator="between">
      <formula>5.1</formula>
      <formula>14</formula>
    </cfRule>
    <cfRule type="cellIs" dxfId="8322" priority="1777" stopIfTrue="1" operator="between">
      <formula>0</formula>
      <formula>5</formula>
    </cfRule>
    <cfRule type="containsBlanks" dxfId="8321" priority="1778" stopIfTrue="1">
      <formula>LEN(TRIM(Q247))=0</formula>
    </cfRule>
  </conditionalFormatting>
  <conditionalFormatting sqref="Q242:Q243">
    <cfRule type="containsBlanks" dxfId="8320" priority="1704" stopIfTrue="1">
      <formula>LEN(TRIM(Q242))=0</formula>
    </cfRule>
    <cfRule type="cellIs" dxfId="8319" priority="1705" stopIfTrue="1" operator="between">
      <formula>80.1</formula>
      <formula>100</formula>
    </cfRule>
    <cfRule type="cellIs" dxfId="8318" priority="1706" stopIfTrue="1" operator="between">
      <formula>35.1</formula>
      <formula>80</formula>
    </cfRule>
    <cfRule type="cellIs" dxfId="8317" priority="1707" stopIfTrue="1" operator="between">
      <formula>14.1</formula>
      <formula>35</formula>
    </cfRule>
    <cfRule type="cellIs" dxfId="8316" priority="1708" stopIfTrue="1" operator="between">
      <formula>5.1</formula>
      <formula>14</formula>
    </cfRule>
    <cfRule type="cellIs" dxfId="8315" priority="1709" stopIfTrue="1" operator="between">
      <formula>0</formula>
      <formula>5</formula>
    </cfRule>
    <cfRule type="containsBlanks" dxfId="8314" priority="1710" stopIfTrue="1">
      <formula>LEN(TRIM(Q242))=0</formula>
    </cfRule>
  </conditionalFormatting>
  <conditionalFormatting sqref="Q240:Q241">
    <cfRule type="containsBlanks" dxfId="8313" priority="1721" stopIfTrue="1">
      <formula>LEN(TRIM(Q240))=0</formula>
    </cfRule>
    <cfRule type="cellIs" dxfId="8312" priority="1722" stopIfTrue="1" operator="between">
      <formula>80.1</formula>
      <formula>100</formula>
    </cfRule>
    <cfRule type="cellIs" dxfId="8311" priority="1723" stopIfTrue="1" operator="between">
      <formula>35.1</formula>
      <formula>80</formula>
    </cfRule>
    <cfRule type="cellIs" dxfId="8310" priority="1724" stopIfTrue="1" operator="between">
      <formula>14.1</formula>
      <formula>35</formula>
    </cfRule>
    <cfRule type="cellIs" dxfId="8309" priority="1725" stopIfTrue="1" operator="between">
      <formula>5.1</formula>
      <formula>14</formula>
    </cfRule>
    <cfRule type="cellIs" dxfId="8308" priority="1726" stopIfTrue="1" operator="between">
      <formula>0</formula>
      <formula>5</formula>
    </cfRule>
    <cfRule type="containsBlanks" dxfId="8307" priority="1727" stopIfTrue="1">
      <formula>LEN(TRIM(Q240))=0</formula>
    </cfRule>
  </conditionalFormatting>
  <conditionalFormatting sqref="E233:G233 M233:O233 E244:O244">
    <cfRule type="containsBlanks" dxfId="8306" priority="1663" stopIfTrue="1">
      <formula>LEN(TRIM(E233))=0</formula>
    </cfRule>
    <cfRule type="cellIs" dxfId="8305" priority="1664" stopIfTrue="1" operator="between">
      <formula>80.1</formula>
      <formula>100</formula>
    </cfRule>
    <cfRule type="cellIs" dxfId="8304" priority="1665" stopIfTrue="1" operator="between">
      <formula>35.1</formula>
      <formula>80</formula>
    </cfRule>
    <cfRule type="cellIs" dxfId="8303" priority="1666" stopIfTrue="1" operator="between">
      <formula>14.1</formula>
      <formula>35</formula>
    </cfRule>
    <cfRule type="cellIs" dxfId="8302" priority="1667" stopIfTrue="1" operator="between">
      <formula>5.1</formula>
      <formula>14</formula>
    </cfRule>
    <cfRule type="cellIs" dxfId="8301" priority="1668" stopIfTrue="1" operator="between">
      <formula>0</formula>
      <formula>5</formula>
    </cfRule>
    <cfRule type="containsBlanks" dxfId="8300" priority="1669" stopIfTrue="1">
      <formula>LEN(TRIM(E233))=0</formula>
    </cfRule>
  </conditionalFormatting>
  <conditionalFormatting sqref="K233:L233">
    <cfRule type="containsBlanks" dxfId="8299" priority="1656" stopIfTrue="1">
      <formula>LEN(TRIM(K233))=0</formula>
    </cfRule>
    <cfRule type="cellIs" dxfId="8298" priority="1657" stopIfTrue="1" operator="between">
      <formula>80.1</formula>
      <formula>100</formula>
    </cfRule>
    <cfRule type="cellIs" dxfId="8297" priority="1658" stopIfTrue="1" operator="between">
      <formula>35.1</formula>
      <formula>80</formula>
    </cfRule>
    <cfRule type="cellIs" dxfId="8296" priority="1659" stopIfTrue="1" operator="between">
      <formula>14.1</formula>
      <formula>35</formula>
    </cfRule>
    <cfRule type="cellIs" dxfId="8295" priority="1660" stopIfTrue="1" operator="between">
      <formula>5.1</formula>
      <formula>14</formula>
    </cfRule>
    <cfRule type="cellIs" dxfId="8294" priority="1661" stopIfTrue="1" operator="between">
      <formula>0</formula>
      <formula>5</formula>
    </cfRule>
    <cfRule type="containsBlanks" dxfId="8293" priority="1662" stopIfTrue="1">
      <formula>LEN(TRIM(K233))=0</formula>
    </cfRule>
  </conditionalFormatting>
  <conditionalFormatting sqref="H233">
    <cfRule type="containsBlanks" dxfId="8292" priority="1642" stopIfTrue="1">
      <formula>LEN(TRIM(H233))=0</formula>
    </cfRule>
    <cfRule type="cellIs" dxfId="8291" priority="1643" stopIfTrue="1" operator="between">
      <formula>80.1</formula>
      <formula>100</formula>
    </cfRule>
    <cfRule type="cellIs" dxfId="8290" priority="1644" stopIfTrue="1" operator="between">
      <formula>35.1</formula>
      <formula>80</formula>
    </cfRule>
    <cfRule type="cellIs" dxfId="8289" priority="1645" stopIfTrue="1" operator="between">
      <formula>14.1</formula>
      <formula>35</formula>
    </cfRule>
    <cfRule type="cellIs" dxfId="8288" priority="1646" stopIfTrue="1" operator="between">
      <formula>5.1</formula>
      <formula>14</formula>
    </cfRule>
    <cfRule type="cellIs" dxfId="8287" priority="1647" stopIfTrue="1" operator="between">
      <formula>0</formula>
      <formula>5</formula>
    </cfRule>
    <cfRule type="containsBlanks" dxfId="8286" priority="1648" stopIfTrue="1">
      <formula>LEN(TRIM(H233))=0</formula>
    </cfRule>
  </conditionalFormatting>
  <conditionalFormatting sqref="E240:O240">
    <cfRule type="containsBlanks" dxfId="8285" priority="1614" stopIfTrue="1">
      <formula>LEN(TRIM(E240))=0</formula>
    </cfRule>
    <cfRule type="cellIs" dxfId="8284" priority="1615" stopIfTrue="1" operator="between">
      <formula>79.1</formula>
      <formula>100</formula>
    </cfRule>
    <cfRule type="cellIs" dxfId="8283" priority="1616" stopIfTrue="1" operator="between">
      <formula>34.1</formula>
      <formula>79</formula>
    </cfRule>
    <cfRule type="cellIs" dxfId="8282" priority="1617" stopIfTrue="1" operator="between">
      <formula>13.1</formula>
      <formula>34</formula>
    </cfRule>
    <cfRule type="cellIs" dxfId="8281" priority="1618" stopIfTrue="1" operator="between">
      <formula>5.1</formula>
      <formula>13</formula>
    </cfRule>
    <cfRule type="cellIs" dxfId="8280" priority="1619" stopIfTrue="1" operator="between">
      <formula>0</formula>
      <formula>5</formula>
    </cfRule>
    <cfRule type="containsBlanks" dxfId="8279" priority="1620" stopIfTrue="1">
      <formula>LEN(TRIM(E240))=0</formula>
    </cfRule>
  </conditionalFormatting>
  <conditionalFormatting sqref="E243:O243">
    <cfRule type="containsBlanks" dxfId="8278" priority="1607" stopIfTrue="1">
      <formula>LEN(TRIM(E243))=0</formula>
    </cfRule>
    <cfRule type="cellIs" dxfId="8277" priority="1608" stopIfTrue="1" operator="between">
      <formula>79.1</formula>
      <formula>100</formula>
    </cfRule>
    <cfRule type="cellIs" dxfId="8276" priority="1609" stopIfTrue="1" operator="between">
      <formula>34.1</formula>
      <formula>79</formula>
    </cfRule>
    <cfRule type="cellIs" dxfId="8275" priority="1610" stopIfTrue="1" operator="between">
      <formula>13.1</formula>
      <formula>34</formula>
    </cfRule>
    <cfRule type="cellIs" dxfId="8274" priority="1611" stopIfTrue="1" operator="between">
      <formula>5.1</formula>
      <formula>13</formula>
    </cfRule>
    <cfRule type="cellIs" dxfId="8273" priority="1612" stopIfTrue="1" operator="between">
      <formula>0</formula>
      <formula>5</formula>
    </cfRule>
    <cfRule type="containsBlanks" dxfId="8272" priority="1613" stopIfTrue="1">
      <formula>LEN(TRIM(E243))=0</formula>
    </cfRule>
  </conditionalFormatting>
  <conditionalFormatting sqref="E241:O241">
    <cfRule type="containsBlanks" dxfId="8271" priority="1600" stopIfTrue="1">
      <formula>LEN(TRIM(E241))=0</formula>
    </cfRule>
    <cfRule type="cellIs" dxfId="8270" priority="1601" stopIfTrue="1" operator="between">
      <formula>79.1</formula>
      <formula>100</formula>
    </cfRule>
    <cfRule type="cellIs" dxfId="8269" priority="1602" stopIfTrue="1" operator="between">
      <formula>34.1</formula>
      <formula>79</formula>
    </cfRule>
    <cfRule type="cellIs" dxfId="8268" priority="1603" stopIfTrue="1" operator="between">
      <formula>13.1</formula>
      <formula>34</formula>
    </cfRule>
    <cfRule type="cellIs" dxfId="8267" priority="1604" stopIfTrue="1" operator="between">
      <formula>5.1</formula>
      <formula>13</formula>
    </cfRule>
    <cfRule type="cellIs" dxfId="8266" priority="1605" stopIfTrue="1" operator="between">
      <formula>0</formula>
      <formula>5</formula>
    </cfRule>
    <cfRule type="containsBlanks" dxfId="8265" priority="1606" stopIfTrue="1">
      <formula>LEN(TRIM(E241))=0</formula>
    </cfRule>
  </conditionalFormatting>
  <conditionalFormatting sqref="E242:O242">
    <cfRule type="containsBlanks" dxfId="8264" priority="1593" stopIfTrue="1">
      <formula>LEN(TRIM(E242))=0</formula>
    </cfRule>
    <cfRule type="cellIs" dxfId="8263" priority="1594" stopIfTrue="1" operator="between">
      <formula>79.1</formula>
      <formula>100</formula>
    </cfRule>
    <cfRule type="cellIs" dxfId="8262" priority="1595" stopIfTrue="1" operator="between">
      <formula>34.1</formula>
      <formula>79</formula>
    </cfRule>
    <cfRule type="cellIs" dxfId="8261" priority="1596" stopIfTrue="1" operator="between">
      <formula>13.1</formula>
      <formula>34</formula>
    </cfRule>
    <cfRule type="cellIs" dxfId="8260" priority="1597" stopIfTrue="1" operator="between">
      <formula>5.1</formula>
      <formula>13</formula>
    </cfRule>
    <cfRule type="cellIs" dxfId="8259" priority="1598" stopIfTrue="1" operator="between">
      <formula>0</formula>
      <formula>5</formula>
    </cfRule>
    <cfRule type="containsBlanks" dxfId="8258" priority="1599" stopIfTrue="1">
      <formula>LEN(TRIM(E242))=0</formula>
    </cfRule>
  </conditionalFormatting>
  <conditionalFormatting sqref="P240">
    <cfRule type="containsBlanks" dxfId="8257" priority="1586" stopIfTrue="1">
      <formula>LEN(TRIM(P240))=0</formula>
    </cfRule>
    <cfRule type="cellIs" dxfId="8256" priority="1587" stopIfTrue="1" operator="between">
      <formula>80.1</formula>
      <formula>100</formula>
    </cfRule>
    <cfRule type="cellIs" dxfId="8255" priority="1588" stopIfTrue="1" operator="between">
      <formula>35.1</formula>
      <formula>80</formula>
    </cfRule>
    <cfRule type="cellIs" dxfId="8254" priority="1589" stopIfTrue="1" operator="between">
      <formula>14.1</formula>
      <formula>35</formula>
    </cfRule>
    <cfRule type="cellIs" dxfId="8253" priority="1590" stopIfTrue="1" operator="between">
      <formula>5.1</formula>
      <formula>14</formula>
    </cfRule>
    <cfRule type="cellIs" dxfId="8252" priority="1591" stopIfTrue="1" operator="between">
      <formula>0</formula>
      <formula>5</formula>
    </cfRule>
    <cfRule type="containsBlanks" dxfId="8251" priority="1592" stopIfTrue="1">
      <formula>LEN(TRIM(P240))=0</formula>
    </cfRule>
  </conditionalFormatting>
  <conditionalFormatting sqref="P241">
    <cfRule type="containsBlanks" dxfId="8250" priority="1565" stopIfTrue="1">
      <formula>LEN(TRIM(P241))=0</formula>
    </cfRule>
    <cfRule type="cellIs" dxfId="8249" priority="1566" stopIfTrue="1" operator="between">
      <formula>79.1</formula>
      <formula>100</formula>
    </cfRule>
    <cfRule type="cellIs" dxfId="8248" priority="1567" stopIfTrue="1" operator="between">
      <formula>34.1</formula>
      <formula>79</formula>
    </cfRule>
    <cfRule type="cellIs" dxfId="8247" priority="1568" stopIfTrue="1" operator="between">
      <formula>13.1</formula>
      <formula>34</formula>
    </cfRule>
    <cfRule type="cellIs" dxfId="8246" priority="1569" stopIfTrue="1" operator="between">
      <formula>5.1</formula>
      <formula>13</formula>
    </cfRule>
    <cfRule type="cellIs" dxfId="8245" priority="1570" stopIfTrue="1" operator="between">
      <formula>0</formula>
      <formula>5</formula>
    </cfRule>
    <cfRule type="containsBlanks" dxfId="8244" priority="1571" stopIfTrue="1">
      <formula>LEN(TRIM(P241))=0</formula>
    </cfRule>
  </conditionalFormatting>
  <conditionalFormatting sqref="P244">
    <cfRule type="containsBlanks" dxfId="8243" priority="1558" stopIfTrue="1">
      <formula>LEN(TRIM(P244))=0</formula>
    </cfRule>
    <cfRule type="cellIs" dxfId="8242" priority="1559" stopIfTrue="1" operator="between">
      <formula>79.1</formula>
      <formula>100</formula>
    </cfRule>
    <cfRule type="cellIs" dxfId="8241" priority="1560" stopIfTrue="1" operator="between">
      <formula>34.1</formula>
      <formula>79</formula>
    </cfRule>
    <cfRule type="cellIs" dxfId="8240" priority="1561" stopIfTrue="1" operator="between">
      <formula>13.1</formula>
      <formula>34</formula>
    </cfRule>
    <cfRule type="cellIs" dxfId="8239" priority="1562" stopIfTrue="1" operator="between">
      <formula>5.1</formula>
      <formula>13</formula>
    </cfRule>
    <cfRule type="cellIs" dxfId="8238" priority="1563" stopIfTrue="1" operator="between">
      <formula>0</formula>
      <formula>5</formula>
    </cfRule>
    <cfRule type="containsBlanks" dxfId="8237" priority="1564" stopIfTrue="1">
      <formula>LEN(TRIM(P244))=0</formula>
    </cfRule>
  </conditionalFormatting>
  <conditionalFormatting sqref="P242">
    <cfRule type="containsBlanks" dxfId="8236" priority="1551" stopIfTrue="1">
      <formula>LEN(TRIM(P242))=0</formula>
    </cfRule>
    <cfRule type="cellIs" dxfId="8235" priority="1552" stopIfTrue="1" operator="between">
      <formula>79.1</formula>
      <formula>100</formula>
    </cfRule>
    <cfRule type="cellIs" dxfId="8234" priority="1553" stopIfTrue="1" operator="between">
      <formula>34.1</formula>
      <formula>79</formula>
    </cfRule>
    <cfRule type="cellIs" dxfId="8233" priority="1554" stopIfTrue="1" operator="between">
      <formula>13.1</formula>
      <formula>34</formula>
    </cfRule>
    <cfRule type="cellIs" dxfId="8232" priority="1555" stopIfTrue="1" operator="between">
      <formula>5.1</formula>
      <formula>13</formula>
    </cfRule>
    <cfRule type="cellIs" dxfId="8231" priority="1556" stopIfTrue="1" operator="between">
      <formula>0</formula>
      <formula>5</formula>
    </cfRule>
    <cfRule type="containsBlanks" dxfId="8230" priority="1557" stopIfTrue="1">
      <formula>LEN(TRIM(P242))=0</formula>
    </cfRule>
  </conditionalFormatting>
  <conditionalFormatting sqref="P243">
    <cfRule type="containsBlanks" dxfId="8229" priority="1544" stopIfTrue="1">
      <formula>LEN(TRIM(P243))=0</formula>
    </cfRule>
    <cfRule type="cellIs" dxfId="8228" priority="1545" stopIfTrue="1" operator="between">
      <formula>79.1</formula>
      <formula>100</formula>
    </cfRule>
    <cfRule type="cellIs" dxfId="8227" priority="1546" stopIfTrue="1" operator="between">
      <formula>34.1</formula>
      <formula>79</formula>
    </cfRule>
    <cfRule type="cellIs" dxfId="8226" priority="1547" stopIfTrue="1" operator="between">
      <formula>13.1</formula>
      <formula>34</formula>
    </cfRule>
    <cfRule type="cellIs" dxfId="8225" priority="1548" stopIfTrue="1" operator="between">
      <formula>5.1</formula>
      <formula>13</formula>
    </cfRule>
    <cfRule type="cellIs" dxfId="8224" priority="1549" stopIfTrue="1" operator="between">
      <formula>0</formula>
      <formula>5</formula>
    </cfRule>
    <cfRule type="containsBlanks" dxfId="8223" priority="1550" stopIfTrue="1">
      <formula>LEN(TRIM(P243))=0</formula>
    </cfRule>
  </conditionalFormatting>
  <conditionalFormatting sqref="R245:R247">
    <cfRule type="cellIs" dxfId="8222" priority="1515" stopIfTrue="1" operator="equal">
      <formula>"NO"</formula>
    </cfRule>
  </conditionalFormatting>
  <conditionalFormatting sqref="R245:R247">
    <cfRule type="cellIs" dxfId="8221" priority="1514" stopIfTrue="1" operator="equal">
      <formula>"NO"</formula>
    </cfRule>
  </conditionalFormatting>
  <conditionalFormatting sqref="R245:R247">
    <cfRule type="cellIs" dxfId="8220" priority="1513" stopIfTrue="1" operator="equal">
      <formula>"NO"</formula>
    </cfRule>
  </conditionalFormatting>
  <conditionalFormatting sqref="S245:S247">
    <cfRule type="cellIs" dxfId="8219" priority="1512" stopIfTrue="1" operator="equal">
      <formula>"INVIABLE SANITARIAMENTE"</formula>
    </cfRule>
  </conditionalFormatting>
  <conditionalFormatting sqref="S245:S247">
    <cfRule type="containsText" dxfId="8218" priority="1507" stopIfTrue="1" operator="containsText" text="INVIABLE SANITARIAMENTE">
      <formula>NOT(ISERROR(SEARCH("INVIABLE SANITARIAMENTE",S245)))</formula>
    </cfRule>
    <cfRule type="containsText" dxfId="8217" priority="1508" stopIfTrue="1" operator="containsText" text="ALTO">
      <formula>NOT(ISERROR(SEARCH("ALTO",S245)))</formula>
    </cfRule>
    <cfRule type="containsText" dxfId="8216" priority="1509" stopIfTrue="1" operator="containsText" text="MEDIO">
      <formula>NOT(ISERROR(SEARCH("MEDIO",S245)))</formula>
    </cfRule>
    <cfRule type="containsText" dxfId="8215" priority="1510" stopIfTrue="1" operator="containsText" text="BAJO">
      <formula>NOT(ISERROR(SEARCH("BAJO",S245)))</formula>
    </cfRule>
    <cfRule type="containsText" dxfId="8214" priority="1511" stopIfTrue="1" operator="containsText" text="SIN RIESGO">
      <formula>NOT(ISERROR(SEARCH("SIN RIESGO",S245)))</formula>
    </cfRule>
  </conditionalFormatting>
  <conditionalFormatting sqref="S245:S247">
    <cfRule type="containsText" dxfId="8213" priority="1506" stopIfTrue="1" operator="containsText" text="SIN RIESGO">
      <formula>NOT(ISERROR(SEARCH("SIN RIESGO",S245)))</formula>
    </cfRule>
  </conditionalFormatting>
  <conditionalFormatting sqref="Q128:Q129">
    <cfRule type="containsBlanks" dxfId="8212" priority="1424" stopIfTrue="1">
      <formula>LEN(TRIM(Q128))=0</formula>
    </cfRule>
    <cfRule type="cellIs" dxfId="8211" priority="1425" stopIfTrue="1" operator="between">
      <formula>80.1</formula>
      <formula>100</formula>
    </cfRule>
    <cfRule type="cellIs" dxfId="8210" priority="1426" stopIfTrue="1" operator="between">
      <formula>35.1</formula>
      <formula>80</formula>
    </cfRule>
    <cfRule type="cellIs" dxfId="8209" priority="1427" stopIfTrue="1" operator="between">
      <formula>14.1</formula>
      <formula>35</formula>
    </cfRule>
    <cfRule type="cellIs" dxfId="8208" priority="1428" stopIfTrue="1" operator="between">
      <formula>5.1</formula>
      <formula>14</formula>
    </cfRule>
    <cfRule type="cellIs" dxfId="8207" priority="1429" stopIfTrue="1" operator="between">
      <formula>0</formula>
      <formula>5</formula>
    </cfRule>
    <cfRule type="containsBlanks" dxfId="8206" priority="1430" stopIfTrue="1">
      <formula>LEN(TRIM(Q128))=0</formula>
    </cfRule>
  </conditionalFormatting>
  <conditionalFormatting sqref="Q119:Q120">
    <cfRule type="containsBlanks" dxfId="8205" priority="1409" stopIfTrue="1">
      <formula>LEN(TRIM(Q119))=0</formula>
    </cfRule>
    <cfRule type="cellIs" dxfId="8204" priority="1410" stopIfTrue="1" operator="between">
      <formula>80.1</formula>
      <formula>100</formula>
    </cfRule>
    <cfRule type="cellIs" dxfId="8203" priority="1411" stopIfTrue="1" operator="between">
      <formula>35.1</formula>
      <formula>80</formula>
    </cfRule>
    <cfRule type="cellIs" dxfId="8202" priority="1412" stopIfTrue="1" operator="between">
      <formula>14.1</formula>
      <formula>35</formula>
    </cfRule>
    <cfRule type="cellIs" dxfId="8201" priority="1413" stopIfTrue="1" operator="between">
      <formula>5.1</formula>
      <formula>14</formula>
    </cfRule>
    <cfRule type="cellIs" dxfId="8200" priority="1414" stopIfTrue="1" operator="between">
      <formula>0</formula>
      <formula>5</formula>
    </cfRule>
    <cfRule type="containsBlanks" dxfId="8199" priority="1415" stopIfTrue="1">
      <formula>LEN(TRIM(Q119))=0</formula>
    </cfRule>
  </conditionalFormatting>
  <conditionalFormatting sqref="Q133">
    <cfRule type="containsBlanks" dxfId="8198" priority="1334" stopIfTrue="1">
      <formula>LEN(TRIM(Q133))=0</formula>
    </cfRule>
    <cfRule type="cellIs" dxfId="8197" priority="1335" stopIfTrue="1" operator="between">
      <formula>80.1</formula>
      <formula>100</formula>
    </cfRule>
    <cfRule type="cellIs" dxfId="8196" priority="1336" stopIfTrue="1" operator="between">
      <formula>35.1</formula>
      <formula>80</formula>
    </cfRule>
    <cfRule type="cellIs" dxfId="8195" priority="1337" stopIfTrue="1" operator="between">
      <formula>14.1</formula>
      <formula>35</formula>
    </cfRule>
    <cfRule type="cellIs" dxfId="8194" priority="1338" stopIfTrue="1" operator="between">
      <formula>5.1</formula>
      <formula>14</formula>
    </cfRule>
    <cfRule type="cellIs" dxfId="8193" priority="1339" stopIfTrue="1" operator="between">
      <formula>0</formula>
      <formula>5</formula>
    </cfRule>
    <cfRule type="containsBlanks" dxfId="8192" priority="1340" stopIfTrue="1">
      <formula>LEN(TRIM(Q133))=0</formula>
    </cfRule>
  </conditionalFormatting>
  <conditionalFormatting sqref="Q139">
    <cfRule type="containsBlanks" dxfId="8191" priority="1289" stopIfTrue="1">
      <formula>LEN(TRIM(Q139))=0</formula>
    </cfRule>
    <cfRule type="cellIs" dxfId="8190" priority="1290" stopIfTrue="1" operator="between">
      <formula>80.1</formula>
      <formula>100</formula>
    </cfRule>
    <cfRule type="cellIs" dxfId="8189" priority="1291" stopIfTrue="1" operator="between">
      <formula>35.1</formula>
      <formula>80</formula>
    </cfRule>
    <cfRule type="cellIs" dxfId="8188" priority="1292" stopIfTrue="1" operator="between">
      <formula>14.1</formula>
      <formula>35</formula>
    </cfRule>
    <cfRule type="cellIs" dxfId="8187" priority="1293" stopIfTrue="1" operator="between">
      <formula>5.1</formula>
      <formula>14</formula>
    </cfRule>
    <cfRule type="cellIs" dxfId="8186" priority="1294" stopIfTrue="1" operator="between">
      <formula>0</formula>
      <formula>5</formula>
    </cfRule>
    <cfRule type="containsBlanks" dxfId="8185" priority="1295" stopIfTrue="1">
      <formula>LEN(TRIM(Q139))=0</formula>
    </cfRule>
  </conditionalFormatting>
  <conditionalFormatting sqref="Q144">
    <cfRule type="containsBlanks" dxfId="8184" priority="1169" stopIfTrue="1">
      <formula>LEN(TRIM(Q144))=0</formula>
    </cfRule>
    <cfRule type="cellIs" dxfId="8183" priority="1170" stopIfTrue="1" operator="between">
      <formula>80.1</formula>
      <formula>100</formula>
    </cfRule>
    <cfRule type="cellIs" dxfId="8182" priority="1171" stopIfTrue="1" operator="between">
      <formula>35.1</formula>
      <formula>80</formula>
    </cfRule>
    <cfRule type="cellIs" dxfId="8181" priority="1172" stopIfTrue="1" operator="between">
      <formula>14.1</formula>
      <formula>35</formula>
    </cfRule>
    <cfRule type="cellIs" dxfId="8180" priority="1173" stopIfTrue="1" operator="between">
      <formula>5.1</formula>
      <formula>14</formula>
    </cfRule>
    <cfRule type="cellIs" dxfId="8179" priority="1174" stopIfTrue="1" operator="between">
      <formula>0</formula>
      <formula>5</formula>
    </cfRule>
    <cfRule type="containsBlanks" dxfId="8178" priority="1175" stopIfTrue="1">
      <formula>LEN(TRIM(Q144))=0</formula>
    </cfRule>
  </conditionalFormatting>
  <conditionalFormatting sqref="Q145:Q148">
    <cfRule type="containsBlanks" dxfId="8177" priority="1154" stopIfTrue="1">
      <formula>LEN(TRIM(Q145))=0</formula>
    </cfRule>
    <cfRule type="cellIs" dxfId="8176" priority="1155" stopIfTrue="1" operator="between">
      <formula>80.1</formula>
      <formula>100</formula>
    </cfRule>
    <cfRule type="cellIs" dxfId="8175" priority="1156" stopIfTrue="1" operator="between">
      <formula>35.1</formula>
      <formula>80</formula>
    </cfRule>
    <cfRule type="cellIs" dxfId="8174" priority="1157" stopIfTrue="1" operator="between">
      <formula>14.1</formula>
      <formula>35</formula>
    </cfRule>
    <cfRule type="cellIs" dxfId="8173" priority="1158" stopIfTrue="1" operator="between">
      <formula>5.1</formula>
      <formula>14</formula>
    </cfRule>
    <cfRule type="cellIs" dxfId="8172" priority="1159" stopIfTrue="1" operator="between">
      <formula>0</formula>
      <formula>5</formula>
    </cfRule>
    <cfRule type="containsBlanks" dxfId="8171" priority="1160" stopIfTrue="1">
      <formula>LEN(TRIM(Q145))=0</formula>
    </cfRule>
  </conditionalFormatting>
  <conditionalFormatting sqref="R145">
    <cfRule type="cellIs" dxfId="8170" priority="1152" stopIfTrue="1" operator="equal">
      <formula>"NO"</formula>
    </cfRule>
  </conditionalFormatting>
  <conditionalFormatting sqref="Q149:Q152">
    <cfRule type="containsBlanks" dxfId="8169" priority="1139" stopIfTrue="1">
      <formula>LEN(TRIM(Q149))=0</formula>
    </cfRule>
    <cfRule type="cellIs" dxfId="8168" priority="1140" stopIfTrue="1" operator="between">
      <formula>80.1</formula>
      <formula>100</formula>
    </cfRule>
    <cfRule type="cellIs" dxfId="8167" priority="1141" stopIfTrue="1" operator="between">
      <formula>35.1</formula>
      <formula>80</formula>
    </cfRule>
    <cfRule type="cellIs" dxfId="8166" priority="1142" stopIfTrue="1" operator="between">
      <formula>14.1</formula>
      <formula>35</formula>
    </cfRule>
    <cfRule type="cellIs" dxfId="8165" priority="1143" stopIfTrue="1" operator="between">
      <formula>5.1</formula>
      <formula>14</formula>
    </cfRule>
    <cfRule type="cellIs" dxfId="8164" priority="1144" stopIfTrue="1" operator="between">
      <formula>0</formula>
      <formula>5</formula>
    </cfRule>
    <cfRule type="containsBlanks" dxfId="8163" priority="1145" stopIfTrue="1">
      <formula>LEN(TRIM(Q149))=0</formula>
    </cfRule>
  </conditionalFormatting>
  <conditionalFormatting sqref="R151">
    <cfRule type="cellIs" dxfId="8162" priority="1137" stopIfTrue="1" operator="equal">
      <formula>"NO"</formula>
    </cfRule>
  </conditionalFormatting>
  <conditionalFormatting sqref="Q153:Q154">
    <cfRule type="containsBlanks" dxfId="8161" priority="1124" stopIfTrue="1">
      <formula>LEN(TRIM(Q153))=0</formula>
    </cfRule>
    <cfRule type="cellIs" dxfId="8160" priority="1125" stopIfTrue="1" operator="between">
      <formula>80.1</formula>
      <formula>100</formula>
    </cfRule>
    <cfRule type="cellIs" dxfId="8159" priority="1126" stopIfTrue="1" operator="between">
      <formula>35.1</formula>
      <formula>80</formula>
    </cfRule>
    <cfRule type="cellIs" dxfId="8158" priority="1127" stopIfTrue="1" operator="between">
      <formula>14.1</formula>
      <formula>35</formula>
    </cfRule>
    <cfRule type="cellIs" dxfId="8157" priority="1128" stopIfTrue="1" operator="between">
      <formula>5.1</formula>
      <formula>14</formula>
    </cfRule>
    <cfRule type="cellIs" dxfId="8156" priority="1129" stopIfTrue="1" operator="between">
      <formula>0</formula>
      <formula>5</formula>
    </cfRule>
    <cfRule type="containsBlanks" dxfId="8155" priority="1130" stopIfTrue="1">
      <formula>LEN(TRIM(Q153))=0</formula>
    </cfRule>
  </conditionalFormatting>
  <conditionalFormatting sqref="Q155:Q156">
    <cfRule type="containsBlanks" dxfId="8154" priority="1109" stopIfTrue="1">
      <formula>LEN(TRIM(Q155))=0</formula>
    </cfRule>
    <cfRule type="cellIs" dxfId="8153" priority="1110" stopIfTrue="1" operator="between">
      <formula>80.1</formula>
      <formula>100</formula>
    </cfRule>
    <cfRule type="cellIs" dxfId="8152" priority="1111" stopIfTrue="1" operator="between">
      <formula>35.1</formula>
      <formula>80</formula>
    </cfRule>
    <cfRule type="cellIs" dxfId="8151" priority="1112" stopIfTrue="1" operator="between">
      <formula>14.1</formula>
      <formula>35</formula>
    </cfRule>
    <cfRule type="cellIs" dxfId="8150" priority="1113" stopIfTrue="1" operator="between">
      <formula>5.1</formula>
      <formula>14</formula>
    </cfRule>
    <cfRule type="cellIs" dxfId="8149" priority="1114" stopIfTrue="1" operator="between">
      <formula>0</formula>
      <formula>5</formula>
    </cfRule>
    <cfRule type="containsBlanks" dxfId="8148" priority="1115" stopIfTrue="1">
      <formula>LEN(TRIM(Q155))=0</formula>
    </cfRule>
  </conditionalFormatting>
  <conditionalFormatting sqref="R156">
    <cfRule type="cellIs" dxfId="8147" priority="1107" stopIfTrue="1" operator="equal">
      <formula>"NO"</formula>
    </cfRule>
  </conditionalFormatting>
  <conditionalFormatting sqref="Q160:Q163">
    <cfRule type="containsBlanks" dxfId="8146" priority="1079" stopIfTrue="1">
      <formula>LEN(TRIM(Q160))=0</formula>
    </cfRule>
    <cfRule type="cellIs" dxfId="8145" priority="1080" stopIfTrue="1" operator="between">
      <formula>80.1</formula>
      <formula>100</formula>
    </cfRule>
    <cfRule type="cellIs" dxfId="8144" priority="1081" stopIfTrue="1" operator="between">
      <formula>35.1</formula>
      <formula>80</formula>
    </cfRule>
    <cfRule type="cellIs" dxfId="8143" priority="1082" stopIfTrue="1" operator="between">
      <formula>14.1</formula>
      <formula>35</formula>
    </cfRule>
    <cfRule type="cellIs" dxfId="8142" priority="1083" stopIfTrue="1" operator="between">
      <formula>5.1</formula>
      <formula>14</formula>
    </cfRule>
    <cfRule type="cellIs" dxfId="8141" priority="1084" stopIfTrue="1" operator="between">
      <formula>0</formula>
      <formula>5</formula>
    </cfRule>
    <cfRule type="containsBlanks" dxfId="8140" priority="1085" stopIfTrue="1">
      <formula>LEN(TRIM(Q160))=0</formula>
    </cfRule>
  </conditionalFormatting>
  <conditionalFormatting sqref="Q164:Q165">
    <cfRule type="containsBlanks" dxfId="8139" priority="1064" stopIfTrue="1">
      <formula>LEN(TRIM(Q164))=0</formula>
    </cfRule>
    <cfRule type="cellIs" dxfId="8138" priority="1065" stopIfTrue="1" operator="between">
      <formula>80.1</formula>
      <formula>100</formula>
    </cfRule>
    <cfRule type="cellIs" dxfId="8137" priority="1066" stopIfTrue="1" operator="between">
      <formula>35.1</formula>
      <formula>80</formula>
    </cfRule>
    <cfRule type="cellIs" dxfId="8136" priority="1067" stopIfTrue="1" operator="between">
      <formula>14.1</formula>
      <formula>35</formula>
    </cfRule>
    <cfRule type="cellIs" dxfId="8135" priority="1068" stopIfTrue="1" operator="between">
      <formula>5.1</formula>
      <formula>14</formula>
    </cfRule>
    <cfRule type="cellIs" dxfId="8134" priority="1069" stopIfTrue="1" operator="between">
      <formula>0</formula>
      <formula>5</formula>
    </cfRule>
    <cfRule type="containsBlanks" dxfId="8133" priority="1070" stopIfTrue="1">
      <formula>LEN(TRIM(Q164))=0</formula>
    </cfRule>
  </conditionalFormatting>
  <conditionalFormatting sqref="Q167:Q169 Q171">
    <cfRule type="containsBlanks" dxfId="8132" priority="1034" stopIfTrue="1">
      <formula>LEN(TRIM(Q167))=0</formula>
    </cfRule>
    <cfRule type="cellIs" dxfId="8131" priority="1035" stopIfTrue="1" operator="between">
      <formula>80.1</formula>
      <formula>100</formula>
    </cfRule>
    <cfRule type="cellIs" dxfId="8130" priority="1036" stopIfTrue="1" operator="between">
      <formula>35.1</formula>
      <formula>80</formula>
    </cfRule>
    <cfRule type="cellIs" dxfId="8129" priority="1037" stopIfTrue="1" operator="between">
      <formula>14.1</formula>
      <formula>35</formula>
    </cfRule>
    <cfRule type="cellIs" dxfId="8128" priority="1038" stopIfTrue="1" operator="between">
      <formula>5.1</formula>
      <formula>14</formula>
    </cfRule>
    <cfRule type="cellIs" dxfId="8127" priority="1039" stopIfTrue="1" operator="between">
      <formula>0</formula>
      <formula>5</formula>
    </cfRule>
    <cfRule type="containsBlanks" dxfId="8126" priority="1040" stopIfTrue="1">
      <formula>LEN(TRIM(Q167))=0</formula>
    </cfRule>
  </conditionalFormatting>
  <conditionalFormatting sqref="Q172:Q175">
    <cfRule type="containsBlanks" dxfId="8125" priority="1019" stopIfTrue="1">
      <formula>LEN(TRIM(Q172))=0</formula>
    </cfRule>
    <cfRule type="cellIs" dxfId="8124" priority="1020" stopIfTrue="1" operator="between">
      <formula>80.1</formula>
      <formula>100</formula>
    </cfRule>
    <cfRule type="cellIs" dxfId="8123" priority="1021" stopIfTrue="1" operator="between">
      <formula>35.1</formula>
      <formula>80</formula>
    </cfRule>
    <cfRule type="cellIs" dxfId="8122" priority="1022" stopIfTrue="1" operator="between">
      <formula>14.1</formula>
      <formula>35</formula>
    </cfRule>
    <cfRule type="cellIs" dxfId="8121" priority="1023" stopIfTrue="1" operator="between">
      <formula>5.1</formula>
      <formula>14</formula>
    </cfRule>
    <cfRule type="cellIs" dxfId="8120" priority="1024" stopIfTrue="1" operator="between">
      <formula>0</formula>
      <formula>5</formula>
    </cfRule>
    <cfRule type="containsBlanks" dxfId="8119" priority="1025" stopIfTrue="1">
      <formula>LEN(TRIM(Q172))=0</formula>
    </cfRule>
  </conditionalFormatting>
  <conditionalFormatting sqref="Q177">
    <cfRule type="containsBlanks" dxfId="8118" priority="989" stopIfTrue="1">
      <formula>LEN(TRIM(Q177))=0</formula>
    </cfRule>
    <cfRule type="cellIs" dxfId="8117" priority="990" stopIfTrue="1" operator="between">
      <formula>80.1</formula>
      <formula>100</formula>
    </cfRule>
    <cfRule type="cellIs" dxfId="8116" priority="991" stopIfTrue="1" operator="between">
      <formula>35.1</formula>
      <formula>80</formula>
    </cfRule>
    <cfRule type="cellIs" dxfId="8115" priority="992" stopIfTrue="1" operator="between">
      <formula>14.1</formula>
      <formula>35</formula>
    </cfRule>
    <cfRule type="cellIs" dxfId="8114" priority="993" stopIfTrue="1" operator="between">
      <formula>5.1</formula>
      <formula>14</formula>
    </cfRule>
    <cfRule type="cellIs" dxfId="8113" priority="994" stopIfTrue="1" operator="between">
      <formula>0</formula>
      <formula>5</formula>
    </cfRule>
    <cfRule type="containsBlanks" dxfId="8112" priority="995" stopIfTrue="1">
      <formula>LEN(TRIM(Q177))=0</formula>
    </cfRule>
  </conditionalFormatting>
  <conditionalFormatting sqref="R177">
    <cfRule type="cellIs" dxfId="8111" priority="987" stopIfTrue="1" operator="equal">
      <formula>"NO"</formula>
    </cfRule>
  </conditionalFormatting>
  <conditionalFormatting sqref="Q195">
    <cfRule type="containsBlanks" dxfId="8110" priority="884" stopIfTrue="1">
      <formula>LEN(TRIM(Q195))=0</formula>
    </cfRule>
    <cfRule type="cellIs" dxfId="8109" priority="885" stopIfTrue="1" operator="between">
      <formula>80.1</formula>
      <formula>100</formula>
    </cfRule>
    <cfRule type="cellIs" dxfId="8108" priority="886" stopIfTrue="1" operator="between">
      <formula>35.1</formula>
      <formula>80</formula>
    </cfRule>
    <cfRule type="cellIs" dxfId="8107" priority="887" stopIfTrue="1" operator="between">
      <formula>14.1</formula>
      <formula>35</formula>
    </cfRule>
    <cfRule type="cellIs" dxfId="8106" priority="888" stopIfTrue="1" operator="between">
      <formula>5.1</formula>
      <formula>14</formula>
    </cfRule>
    <cfRule type="cellIs" dxfId="8105" priority="889" stopIfTrue="1" operator="between">
      <formula>0</formula>
      <formula>5</formula>
    </cfRule>
    <cfRule type="containsBlanks" dxfId="8104" priority="890" stopIfTrue="1">
      <formula>LEN(TRIM(Q195))=0</formula>
    </cfRule>
  </conditionalFormatting>
  <conditionalFormatting sqref="R195">
    <cfRule type="cellIs" dxfId="8103" priority="882" stopIfTrue="1" operator="equal">
      <formula>"NO"</formula>
    </cfRule>
  </conditionalFormatting>
  <conditionalFormatting sqref="Q196:Q197">
    <cfRule type="containsBlanks" dxfId="8102" priority="869" stopIfTrue="1">
      <formula>LEN(TRIM(Q196))=0</formula>
    </cfRule>
    <cfRule type="cellIs" dxfId="8101" priority="870" stopIfTrue="1" operator="between">
      <formula>80.1</formula>
      <formula>100</formula>
    </cfRule>
    <cfRule type="cellIs" dxfId="8100" priority="871" stopIfTrue="1" operator="between">
      <formula>35.1</formula>
      <formula>80</formula>
    </cfRule>
    <cfRule type="cellIs" dxfId="8099" priority="872" stopIfTrue="1" operator="between">
      <formula>14.1</formula>
      <formula>35</formula>
    </cfRule>
    <cfRule type="cellIs" dxfId="8098" priority="873" stopIfTrue="1" operator="between">
      <formula>5.1</formula>
      <formula>14</formula>
    </cfRule>
    <cfRule type="cellIs" dxfId="8097" priority="874" stopIfTrue="1" operator="between">
      <formula>0</formula>
      <formula>5</formula>
    </cfRule>
    <cfRule type="containsBlanks" dxfId="8096" priority="875" stopIfTrue="1">
      <formula>LEN(TRIM(Q196))=0</formula>
    </cfRule>
  </conditionalFormatting>
  <conditionalFormatting sqref="R196">
    <cfRule type="cellIs" dxfId="8095" priority="867" stopIfTrue="1" operator="equal">
      <formula>"NO"</formula>
    </cfRule>
  </conditionalFormatting>
  <conditionalFormatting sqref="Q203">
    <cfRule type="containsBlanks" dxfId="8094" priority="824" stopIfTrue="1">
      <formula>LEN(TRIM(Q203))=0</formula>
    </cfRule>
    <cfRule type="cellIs" dxfId="8093" priority="825" stopIfTrue="1" operator="between">
      <formula>80.1</formula>
      <formula>100</formula>
    </cfRule>
    <cfRule type="cellIs" dxfId="8092" priority="826" stopIfTrue="1" operator="between">
      <formula>35.1</formula>
      <formula>80</formula>
    </cfRule>
    <cfRule type="cellIs" dxfId="8091" priority="827" stopIfTrue="1" operator="between">
      <formula>14.1</formula>
      <formula>35</formula>
    </cfRule>
    <cfRule type="cellIs" dxfId="8090" priority="828" stopIfTrue="1" operator="between">
      <formula>5.1</formula>
      <formula>14</formula>
    </cfRule>
    <cfRule type="cellIs" dxfId="8089" priority="829" stopIfTrue="1" operator="between">
      <formula>0</formula>
      <formula>5</formula>
    </cfRule>
    <cfRule type="containsBlanks" dxfId="8088" priority="830" stopIfTrue="1">
      <formula>LEN(TRIM(Q203))=0</formula>
    </cfRule>
  </conditionalFormatting>
  <conditionalFormatting sqref="Q205:Q206">
    <cfRule type="containsBlanks" dxfId="8087" priority="794" stopIfTrue="1">
      <formula>LEN(TRIM(Q205))=0</formula>
    </cfRule>
    <cfRule type="cellIs" dxfId="8086" priority="795" stopIfTrue="1" operator="between">
      <formula>80.1</formula>
      <formula>100</formula>
    </cfRule>
    <cfRule type="cellIs" dxfId="8085" priority="796" stopIfTrue="1" operator="between">
      <formula>35.1</formula>
      <formula>80</formula>
    </cfRule>
    <cfRule type="cellIs" dxfId="8084" priority="797" stopIfTrue="1" operator="between">
      <formula>14.1</formula>
      <formula>35</formula>
    </cfRule>
    <cfRule type="cellIs" dxfId="8083" priority="798" stopIfTrue="1" operator="between">
      <formula>5.1</formula>
      <formula>14</formula>
    </cfRule>
    <cfRule type="cellIs" dxfId="8082" priority="799" stopIfTrue="1" operator="between">
      <formula>0</formula>
      <formula>5</formula>
    </cfRule>
    <cfRule type="containsBlanks" dxfId="8081" priority="800" stopIfTrue="1">
      <formula>LEN(TRIM(Q205))=0</formula>
    </cfRule>
  </conditionalFormatting>
  <conditionalFormatting sqref="R205:R206">
    <cfRule type="cellIs" dxfId="8080" priority="792" stopIfTrue="1" operator="equal">
      <formula>"NO"</formula>
    </cfRule>
  </conditionalFormatting>
  <conditionalFormatting sqref="Q210:Q213">
    <cfRule type="containsBlanks" dxfId="8079" priority="779" stopIfTrue="1">
      <formula>LEN(TRIM(Q210))=0</formula>
    </cfRule>
    <cfRule type="cellIs" dxfId="8078" priority="780" stopIfTrue="1" operator="between">
      <formula>80.1</formula>
      <formula>100</formula>
    </cfRule>
    <cfRule type="cellIs" dxfId="8077" priority="781" stopIfTrue="1" operator="between">
      <formula>35.1</formula>
      <formula>80</formula>
    </cfRule>
    <cfRule type="cellIs" dxfId="8076" priority="782" stopIfTrue="1" operator="between">
      <formula>14.1</formula>
      <formula>35</formula>
    </cfRule>
    <cfRule type="cellIs" dxfId="8075" priority="783" stopIfTrue="1" operator="between">
      <formula>5.1</formula>
      <formula>14</formula>
    </cfRule>
    <cfRule type="cellIs" dxfId="8074" priority="784" stopIfTrue="1" operator="between">
      <formula>0</formula>
      <formula>5</formula>
    </cfRule>
    <cfRule type="containsBlanks" dxfId="8073" priority="785" stopIfTrue="1">
      <formula>LEN(TRIM(Q210))=0</formula>
    </cfRule>
  </conditionalFormatting>
  <conditionalFormatting sqref="Q215">
    <cfRule type="containsBlanks" dxfId="8072" priority="749" stopIfTrue="1">
      <formula>LEN(TRIM(Q215))=0</formula>
    </cfRule>
    <cfRule type="cellIs" dxfId="8071" priority="750" stopIfTrue="1" operator="between">
      <formula>80.1</formula>
      <formula>100</formula>
    </cfRule>
    <cfRule type="cellIs" dxfId="8070" priority="751" stopIfTrue="1" operator="between">
      <formula>35.1</formula>
      <formula>80</formula>
    </cfRule>
    <cfRule type="cellIs" dxfId="8069" priority="752" stopIfTrue="1" operator="between">
      <formula>14.1</formula>
      <formula>35</formula>
    </cfRule>
    <cfRule type="cellIs" dxfId="8068" priority="753" stopIfTrue="1" operator="between">
      <formula>5.1</formula>
      <formula>14</formula>
    </cfRule>
    <cfRule type="cellIs" dxfId="8067" priority="754" stopIfTrue="1" operator="between">
      <formula>0</formula>
      <formula>5</formula>
    </cfRule>
    <cfRule type="containsBlanks" dxfId="8066" priority="755" stopIfTrue="1">
      <formula>LEN(TRIM(Q215))=0</formula>
    </cfRule>
  </conditionalFormatting>
  <conditionalFormatting sqref="Q216:Q218">
    <cfRule type="containsBlanks" dxfId="8065" priority="734" stopIfTrue="1">
      <formula>LEN(TRIM(Q216))=0</formula>
    </cfRule>
    <cfRule type="cellIs" dxfId="8064" priority="735" stopIfTrue="1" operator="between">
      <formula>80.1</formula>
      <formula>100</formula>
    </cfRule>
    <cfRule type="cellIs" dxfId="8063" priority="736" stopIfTrue="1" operator="between">
      <formula>35.1</formula>
      <formula>80</formula>
    </cfRule>
    <cfRule type="cellIs" dxfId="8062" priority="737" stopIfTrue="1" operator="between">
      <formula>14.1</formula>
      <formula>35</formula>
    </cfRule>
    <cfRule type="cellIs" dxfId="8061" priority="738" stopIfTrue="1" operator="between">
      <formula>5.1</formula>
      <formula>14</formula>
    </cfRule>
    <cfRule type="cellIs" dxfId="8060" priority="739" stopIfTrue="1" operator="between">
      <formula>0</formula>
      <formula>5</formula>
    </cfRule>
    <cfRule type="containsBlanks" dxfId="8059" priority="740" stopIfTrue="1">
      <formula>LEN(TRIM(Q216))=0</formula>
    </cfRule>
  </conditionalFormatting>
  <conditionalFormatting sqref="R217">
    <cfRule type="cellIs" dxfId="8058" priority="732" stopIfTrue="1" operator="equal">
      <formula>"NO"</formula>
    </cfRule>
  </conditionalFormatting>
  <conditionalFormatting sqref="Q219:Q221">
    <cfRule type="containsBlanks" dxfId="8057" priority="719" stopIfTrue="1">
      <formula>LEN(TRIM(Q219))=0</formula>
    </cfRule>
    <cfRule type="cellIs" dxfId="8056" priority="720" stopIfTrue="1" operator="between">
      <formula>80.1</formula>
      <formula>100</formula>
    </cfRule>
    <cfRule type="cellIs" dxfId="8055" priority="721" stopIfTrue="1" operator="between">
      <formula>35.1</formula>
      <formula>80</formula>
    </cfRule>
    <cfRule type="cellIs" dxfId="8054" priority="722" stopIfTrue="1" operator="between">
      <formula>14.1</formula>
      <formula>35</formula>
    </cfRule>
    <cfRule type="cellIs" dxfId="8053" priority="723" stopIfTrue="1" operator="between">
      <formula>5.1</formula>
      <formula>14</formula>
    </cfRule>
    <cfRule type="cellIs" dxfId="8052" priority="724" stopIfTrue="1" operator="between">
      <formula>0</formula>
      <formula>5</formula>
    </cfRule>
    <cfRule type="containsBlanks" dxfId="8051" priority="725" stopIfTrue="1">
      <formula>LEN(TRIM(Q219))=0</formula>
    </cfRule>
  </conditionalFormatting>
  <conditionalFormatting sqref="Q225:Q226">
    <cfRule type="containsBlanks" dxfId="8050" priority="689" stopIfTrue="1">
      <formula>LEN(TRIM(Q225))=0</formula>
    </cfRule>
    <cfRule type="cellIs" dxfId="8049" priority="690" stopIfTrue="1" operator="between">
      <formula>80.1</formula>
      <formula>100</formula>
    </cfRule>
    <cfRule type="cellIs" dxfId="8048" priority="691" stopIfTrue="1" operator="between">
      <formula>35.1</formula>
      <formula>80</formula>
    </cfRule>
    <cfRule type="cellIs" dxfId="8047" priority="692" stopIfTrue="1" operator="between">
      <formula>14.1</formula>
      <formula>35</formula>
    </cfRule>
    <cfRule type="cellIs" dxfId="8046" priority="693" stopIfTrue="1" operator="between">
      <formula>5.1</formula>
      <formula>14</formula>
    </cfRule>
    <cfRule type="cellIs" dxfId="8045" priority="694" stopIfTrue="1" operator="between">
      <formula>0</formula>
      <formula>5</formula>
    </cfRule>
    <cfRule type="containsBlanks" dxfId="8044" priority="695" stopIfTrue="1">
      <formula>LEN(TRIM(Q225))=0</formula>
    </cfRule>
  </conditionalFormatting>
  <conditionalFormatting sqref="Q231:Q232">
    <cfRule type="containsBlanks" dxfId="8043" priority="659" stopIfTrue="1">
      <formula>LEN(TRIM(Q231))=0</formula>
    </cfRule>
    <cfRule type="cellIs" dxfId="8042" priority="660" stopIfTrue="1" operator="between">
      <formula>80.1</formula>
      <formula>100</formula>
    </cfRule>
    <cfRule type="cellIs" dxfId="8041" priority="661" stopIfTrue="1" operator="between">
      <formula>35.1</formula>
      <formula>80</formula>
    </cfRule>
    <cfRule type="cellIs" dxfId="8040" priority="662" stopIfTrue="1" operator="between">
      <formula>14.1</formula>
      <formula>35</formula>
    </cfRule>
    <cfRule type="cellIs" dxfId="8039" priority="663" stopIfTrue="1" operator="between">
      <formula>5.1</formula>
      <formula>14</formula>
    </cfRule>
    <cfRule type="cellIs" dxfId="8038" priority="664" stopIfTrue="1" operator="between">
      <formula>0</formula>
      <formula>5</formula>
    </cfRule>
    <cfRule type="containsBlanks" dxfId="8037" priority="665" stopIfTrue="1">
      <formula>LEN(TRIM(Q231))=0</formula>
    </cfRule>
  </conditionalFormatting>
  <conditionalFormatting sqref="E125:P125">
    <cfRule type="containsBlanks" dxfId="8036" priority="644" stopIfTrue="1">
      <formula>LEN(TRIM(E125))=0</formula>
    </cfRule>
    <cfRule type="cellIs" dxfId="8035" priority="645" stopIfTrue="1" operator="between">
      <formula>79.1</formula>
      <formula>100</formula>
    </cfRule>
    <cfRule type="cellIs" dxfId="8034" priority="646" stopIfTrue="1" operator="between">
      <formula>34.1</formula>
      <formula>79</formula>
    </cfRule>
    <cfRule type="cellIs" dxfId="8033" priority="647" stopIfTrue="1" operator="between">
      <formula>13.1</formula>
      <formula>34</formula>
    </cfRule>
    <cfRule type="cellIs" dxfId="8032" priority="648" stopIfTrue="1" operator="between">
      <formula>5.1</formula>
      <formula>13</formula>
    </cfRule>
    <cfRule type="cellIs" dxfId="8031" priority="649" stopIfTrue="1" operator="between">
      <formula>0</formula>
      <formula>5</formula>
    </cfRule>
    <cfRule type="containsBlanks" dxfId="8030" priority="650" stopIfTrue="1">
      <formula>LEN(TRIM(E125))=0</formula>
    </cfRule>
  </conditionalFormatting>
  <conditionalFormatting sqref="E128:P128">
    <cfRule type="containsBlanks" dxfId="8029" priority="637" stopIfTrue="1">
      <formula>LEN(TRIM(E128))=0</formula>
    </cfRule>
    <cfRule type="cellIs" dxfId="8028" priority="638" stopIfTrue="1" operator="between">
      <formula>79.1</formula>
      <formula>100</formula>
    </cfRule>
    <cfRule type="cellIs" dxfId="8027" priority="639" stopIfTrue="1" operator="between">
      <formula>34.1</formula>
      <formula>79</formula>
    </cfRule>
    <cfRule type="cellIs" dxfId="8026" priority="640" stopIfTrue="1" operator="between">
      <formula>13.1</formula>
      <formula>34</formula>
    </cfRule>
    <cfRule type="cellIs" dxfId="8025" priority="641" stopIfTrue="1" operator="between">
      <formula>5.1</formula>
      <formula>13</formula>
    </cfRule>
    <cfRule type="cellIs" dxfId="8024" priority="642" stopIfTrue="1" operator="between">
      <formula>0</formula>
      <formula>5</formula>
    </cfRule>
    <cfRule type="containsBlanks" dxfId="8023" priority="643" stopIfTrue="1">
      <formula>LEN(TRIM(E128))=0</formula>
    </cfRule>
  </conditionalFormatting>
  <conditionalFormatting sqref="E126:P126">
    <cfRule type="containsBlanks" dxfId="8022" priority="630" stopIfTrue="1">
      <formula>LEN(TRIM(E126))=0</formula>
    </cfRule>
    <cfRule type="cellIs" dxfId="8021" priority="631" stopIfTrue="1" operator="between">
      <formula>79.1</formula>
      <formula>100</formula>
    </cfRule>
    <cfRule type="cellIs" dxfId="8020" priority="632" stopIfTrue="1" operator="between">
      <formula>34.1</formula>
      <formula>79</formula>
    </cfRule>
    <cfRule type="cellIs" dxfId="8019" priority="633" stopIfTrue="1" operator="between">
      <formula>13.1</formula>
      <formula>34</formula>
    </cfRule>
    <cfRule type="cellIs" dxfId="8018" priority="634" stopIfTrue="1" operator="between">
      <formula>5.1</formula>
      <formula>13</formula>
    </cfRule>
    <cfRule type="cellIs" dxfId="8017" priority="635" stopIfTrue="1" operator="between">
      <formula>0</formula>
      <formula>5</formula>
    </cfRule>
    <cfRule type="containsBlanks" dxfId="8016" priority="636" stopIfTrue="1">
      <formula>LEN(TRIM(E126))=0</formula>
    </cfRule>
  </conditionalFormatting>
  <conditionalFormatting sqref="E127:P127">
    <cfRule type="containsBlanks" dxfId="8015" priority="623" stopIfTrue="1">
      <formula>LEN(TRIM(E127))=0</formula>
    </cfRule>
    <cfRule type="cellIs" dxfId="8014" priority="624" stopIfTrue="1" operator="between">
      <formula>79.1</formula>
      <formula>100</formula>
    </cfRule>
    <cfRule type="cellIs" dxfId="8013" priority="625" stopIfTrue="1" operator="between">
      <formula>34.1</formula>
      <formula>79</formula>
    </cfRule>
    <cfRule type="cellIs" dxfId="8012" priority="626" stopIfTrue="1" operator="between">
      <formula>13.1</formula>
      <formula>34</formula>
    </cfRule>
    <cfRule type="cellIs" dxfId="8011" priority="627" stopIfTrue="1" operator="between">
      <formula>5.1</formula>
      <formula>13</formula>
    </cfRule>
    <cfRule type="cellIs" dxfId="8010" priority="628" stopIfTrue="1" operator="between">
      <formula>0</formula>
      <formula>5</formula>
    </cfRule>
    <cfRule type="containsBlanks" dxfId="8009" priority="629" stopIfTrue="1">
      <formula>LEN(TRIM(E127))=0</formula>
    </cfRule>
  </conditionalFormatting>
  <conditionalFormatting sqref="E139:P139">
    <cfRule type="containsBlanks" dxfId="8008" priority="616" stopIfTrue="1">
      <formula>LEN(TRIM(E139))=0</formula>
    </cfRule>
    <cfRule type="cellIs" dxfId="8007" priority="617" stopIfTrue="1" operator="between">
      <formula>79.1</formula>
      <formula>100</formula>
    </cfRule>
    <cfRule type="cellIs" dxfId="8006" priority="618" stopIfTrue="1" operator="between">
      <formula>34.1</formula>
      <formula>79</formula>
    </cfRule>
    <cfRule type="cellIs" dxfId="8005" priority="619" stopIfTrue="1" operator="between">
      <formula>13.1</formula>
      <formula>34</formula>
    </cfRule>
    <cfRule type="cellIs" dxfId="8004" priority="620" stopIfTrue="1" operator="between">
      <formula>5.1</formula>
      <formula>13</formula>
    </cfRule>
    <cfRule type="cellIs" dxfId="8003" priority="621" stopIfTrue="1" operator="between">
      <formula>0</formula>
      <formula>5</formula>
    </cfRule>
    <cfRule type="containsBlanks" dxfId="8002" priority="622" stopIfTrue="1">
      <formula>LEN(TRIM(E139))=0</formula>
    </cfRule>
  </conditionalFormatting>
  <conditionalFormatting sqref="N129:P129 E129:L129">
    <cfRule type="containsBlanks" dxfId="8001" priority="609" stopIfTrue="1">
      <formula>LEN(TRIM(E129))=0</formula>
    </cfRule>
    <cfRule type="cellIs" dxfId="8000" priority="610" stopIfTrue="1" operator="between">
      <formula>79.1</formula>
      <formula>100</formula>
    </cfRule>
    <cfRule type="cellIs" dxfId="7999" priority="611" stopIfTrue="1" operator="between">
      <formula>34.1</formula>
      <formula>79</formula>
    </cfRule>
    <cfRule type="cellIs" dxfId="7998" priority="612" stopIfTrue="1" operator="between">
      <formula>13.1</formula>
      <formula>34</formula>
    </cfRule>
    <cfRule type="cellIs" dxfId="7997" priority="613" stopIfTrue="1" operator="between">
      <formula>5.1</formula>
      <formula>13</formula>
    </cfRule>
    <cfRule type="cellIs" dxfId="7996" priority="614" stopIfTrue="1" operator="between">
      <formula>0</formula>
      <formula>5</formula>
    </cfRule>
    <cfRule type="containsBlanks" dxfId="7995" priority="615" stopIfTrue="1">
      <formula>LEN(TRIM(E129))=0</formula>
    </cfRule>
  </conditionalFormatting>
  <conditionalFormatting sqref="M129">
    <cfRule type="containsBlanks" dxfId="7994" priority="602" stopIfTrue="1">
      <formula>LEN(TRIM(M129))=0</formula>
    </cfRule>
    <cfRule type="cellIs" dxfId="7993" priority="603" stopIfTrue="1" operator="between">
      <formula>79.1</formula>
      <formula>100</formula>
    </cfRule>
    <cfRule type="cellIs" dxfId="7992" priority="604" stopIfTrue="1" operator="between">
      <formula>34.1</formula>
      <formula>79</formula>
    </cfRule>
    <cfRule type="cellIs" dxfId="7991" priority="605" stopIfTrue="1" operator="between">
      <formula>13.1</formula>
      <formula>34</formula>
    </cfRule>
    <cfRule type="cellIs" dxfId="7990" priority="606" stopIfTrue="1" operator="between">
      <formula>5.1</formula>
      <formula>13</formula>
    </cfRule>
    <cfRule type="cellIs" dxfId="7989" priority="607" stopIfTrue="1" operator="between">
      <formula>0</formula>
      <formula>5</formula>
    </cfRule>
    <cfRule type="containsBlanks" dxfId="7988" priority="608" stopIfTrue="1">
      <formula>LEN(TRIM(M129))=0</formula>
    </cfRule>
  </conditionalFormatting>
  <conditionalFormatting sqref="E142:P142">
    <cfRule type="containsBlanks" dxfId="7987" priority="581" stopIfTrue="1">
      <formula>LEN(TRIM(E142))=0</formula>
    </cfRule>
    <cfRule type="cellIs" dxfId="7986" priority="582" stopIfTrue="1" operator="between">
      <formula>79.1</formula>
      <formula>100</formula>
    </cfRule>
    <cfRule type="cellIs" dxfId="7985" priority="583" stopIfTrue="1" operator="between">
      <formula>34.1</formula>
      <formula>79</formula>
    </cfRule>
    <cfRule type="cellIs" dxfId="7984" priority="584" stopIfTrue="1" operator="between">
      <formula>13.1</formula>
      <formula>34</formula>
    </cfRule>
    <cfRule type="cellIs" dxfId="7983" priority="585" stopIfTrue="1" operator="between">
      <formula>5.1</formula>
      <formula>13</formula>
    </cfRule>
    <cfRule type="cellIs" dxfId="7982" priority="586" stopIfTrue="1" operator="between">
      <formula>0</formula>
      <formula>5</formula>
    </cfRule>
    <cfRule type="containsBlanks" dxfId="7981" priority="587" stopIfTrue="1">
      <formula>LEN(TRIM(E142))=0</formula>
    </cfRule>
  </conditionalFormatting>
  <conditionalFormatting sqref="E141:P141">
    <cfRule type="containsBlanks" dxfId="7980" priority="574" stopIfTrue="1">
      <formula>LEN(TRIM(E141))=0</formula>
    </cfRule>
    <cfRule type="cellIs" dxfId="7979" priority="575" stopIfTrue="1" operator="between">
      <formula>79.1</formula>
      <formula>100</formula>
    </cfRule>
    <cfRule type="cellIs" dxfId="7978" priority="576" stopIfTrue="1" operator="between">
      <formula>34.1</formula>
      <formula>79</formula>
    </cfRule>
    <cfRule type="cellIs" dxfId="7977" priority="577" stopIfTrue="1" operator="between">
      <formula>13.1</formula>
      <formula>34</formula>
    </cfRule>
    <cfRule type="cellIs" dxfId="7976" priority="578" stopIfTrue="1" operator="between">
      <formula>5.1</formula>
      <formula>13</formula>
    </cfRule>
    <cfRule type="cellIs" dxfId="7975" priority="579" stopIfTrue="1" operator="between">
      <formula>0</formula>
      <formula>5</formula>
    </cfRule>
    <cfRule type="containsBlanks" dxfId="7974" priority="580" stopIfTrue="1">
      <formula>LEN(TRIM(E141))=0</formula>
    </cfRule>
  </conditionalFormatting>
  <conditionalFormatting sqref="E130:P130">
    <cfRule type="containsBlanks" dxfId="7973" priority="482" stopIfTrue="1">
      <formula>LEN(TRIM(E130))=0</formula>
    </cfRule>
    <cfRule type="cellIs" dxfId="7972" priority="483" stopIfTrue="1" operator="between">
      <formula>79.1</formula>
      <formula>100</formula>
    </cfRule>
    <cfRule type="cellIs" dxfId="7971" priority="484" stopIfTrue="1" operator="between">
      <formula>34.1</formula>
      <formula>79</formula>
    </cfRule>
    <cfRule type="cellIs" dxfId="7970" priority="485" stopIfTrue="1" operator="between">
      <formula>13.1</formula>
      <formula>34</formula>
    </cfRule>
    <cfRule type="cellIs" dxfId="7969" priority="486" stopIfTrue="1" operator="between">
      <formula>5.1</formula>
      <formula>13</formula>
    </cfRule>
    <cfRule type="cellIs" dxfId="7968" priority="487" stopIfTrue="1" operator="between">
      <formula>0</formula>
      <formula>5</formula>
    </cfRule>
    <cfRule type="containsBlanks" dxfId="7967" priority="488" stopIfTrue="1">
      <formula>LEN(TRIM(E130))=0</formula>
    </cfRule>
  </conditionalFormatting>
  <conditionalFormatting sqref="E140:P140">
    <cfRule type="containsBlanks" dxfId="7966" priority="553" stopIfTrue="1">
      <formula>LEN(TRIM(E140))=0</formula>
    </cfRule>
    <cfRule type="cellIs" dxfId="7965" priority="554" stopIfTrue="1" operator="between">
      <formula>79.1</formula>
      <formula>100</formula>
    </cfRule>
    <cfRule type="cellIs" dxfId="7964" priority="555" stopIfTrue="1" operator="between">
      <formula>34.1</formula>
      <formula>79</formula>
    </cfRule>
    <cfRule type="cellIs" dxfId="7963" priority="556" stopIfTrue="1" operator="between">
      <formula>13.1</formula>
      <formula>34</formula>
    </cfRule>
    <cfRule type="cellIs" dxfId="7962" priority="557" stopIfTrue="1" operator="between">
      <formula>5.1</formula>
      <formula>13</formula>
    </cfRule>
    <cfRule type="cellIs" dxfId="7961" priority="558" stopIfTrue="1" operator="between">
      <formula>0</formula>
      <formula>5</formula>
    </cfRule>
    <cfRule type="containsBlanks" dxfId="7960" priority="559" stopIfTrue="1">
      <formula>LEN(TRIM(E140))=0</formula>
    </cfRule>
  </conditionalFormatting>
  <conditionalFormatting sqref="E136:P136">
    <cfRule type="containsBlanks" dxfId="7959" priority="546" stopIfTrue="1">
      <formula>LEN(TRIM(E136))=0</formula>
    </cfRule>
    <cfRule type="cellIs" dxfId="7958" priority="547" stopIfTrue="1" operator="between">
      <formula>79.1</formula>
      <formula>100</formula>
    </cfRule>
    <cfRule type="cellIs" dxfId="7957" priority="548" stopIfTrue="1" operator="between">
      <formula>34.1</formula>
      <formula>79</formula>
    </cfRule>
    <cfRule type="cellIs" dxfId="7956" priority="549" stopIfTrue="1" operator="between">
      <formula>13.1</formula>
      <formula>34</formula>
    </cfRule>
    <cfRule type="cellIs" dxfId="7955" priority="550" stopIfTrue="1" operator="between">
      <formula>5.1</formula>
      <formula>13</formula>
    </cfRule>
    <cfRule type="cellIs" dxfId="7954" priority="551" stopIfTrue="1" operator="between">
      <formula>0</formula>
      <formula>5</formula>
    </cfRule>
    <cfRule type="containsBlanks" dxfId="7953" priority="552" stopIfTrue="1">
      <formula>LEN(TRIM(E136))=0</formula>
    </cfRule>
  </conditionalFormatting>
  <conditionalFormatting sqref="E134:P134">
    <cfRule type="containsBlanks" dxfId="7952" priority="532" stopIfTrue="1">
      <formula>LEN(TRIM(E134))=0</formula>
    </cfRule>
    <cfRule type="cellIs" dxfId="7951" priority="533" stopIfTrue="1" operator="between">
      <formula>79.1</formula>
      <formula>100</formula>
    </cfRule>
    <cfRule type="cellIs" dxfId="7950" priority="534" stopIfTrue="1" operator="between">
      <formula>34.1</formula>
      <formula>79</formula>
    </cfRule>
    <cfRule type="cellIs" dxfId="7949" priority="535" stopIfTrue="1" operator="between">
      <formula>13.1</formula>
      <formula>34</formula>
    </cfRule>
    <cfRule type="cellIs" dxfId="7948" priority="536" stopIfTrue="1" operator="between">
      <formula>5.1</formula>
      <formula>13</formula>
    </cfRule>
    <cfRule type="cellIs" dxfId="7947" priority="537" stopIfTrue="1" operator="between">
      <formula>0</formula>
      <formula>5</formula>
    </cfRule>
    <cfRule type="containsBlanks" dxfId="7946" priority="538" stopIfTrue="1">
      <formula>LEN(TRIM(E134))=0</formula>
    </cfRule>
  </conditionalFormatting>
  <conditionalFormatting sqref="E133:P133">
    <cfRule type="containsBlanks" dxfId="7945" priority="510" stopIfTrue="1">
      <formula>LEN(TRIM(E133))=0</formula>
    </cfRule>
    <cfRule type="cellIs" dxfId="7944" priority="511" stopIfTrue="1" operator="between">
      <formula>79.1</formula>
      <formula>100</formula>
    </cfRule>
    <cfRule type="cellIs" dxfId="7943" priority="512" stopIfTrue="1" operator="between">
      <formula>34.1</formula>
      <formula>79</formula>
    </cfRule>
    <cfRule type="cellIs" dxfId="7942" priority="513" stopIfTrue="1" operator="between">
      <formula>13.1</formula>
      <formula>34</formula>
    </cfRule>
    <cfRule type="cellIs" dxfId="7941" priority="514" stopIfTrue="1" operator="between">
      <formula>5.1</formula>
      <formula>13</formula>
    </cfRule>
    <cfRule type="cellIs" dxfId="7940" priority="515" stopIfTrue="1" operator="between">
      <formula>0</formula>
      <formula>5</formula>
    </cfRule>
    <cfRule type="containsBlanks" dxfId="7939" priority="516" stopIfTrue="1">
      <formula>LEN(TRIM(E133))=0</formula>
    </cfRule>
  </conditionalFormatting>
  <conditionalFormatting sqref="E132:P132">
    <cfRule type="containsBlanks" dxfId="7938" priority="503" stopIfTrue="1">
      <formula>LEN(TRIM(E132))=0</formula>
    </cfRule>
    <cfRule type="cellIs" dxfId="7937" priority="504" stopIfTrue="1" operator="between">
      <formula>79.1</formula>
      <formula>100</formula>
    </cfRule>
    <cfRule type="cellIs" dxfId="7936" priority="505" stopIfTrue="1" operator="between">
      <formula>34.1</formula>
      <formula>79</formula>
    </cfRule>
    <cfRule type="cellIs" dxfId="7935" priority="506" stopIfTrue="1" operator="between">
      <formula>13.1</formula>
      <formula>34</formula>
    </cfRule>
    <cfRule type="cellIs" dxfId="7934" priority="507" stopIfTrue="1" operator="between">
      <formula>5.1</formula>
      <formula>13</formula>
    </cfRule>
    <cfRule type="cellIs" dxfId="7933" priority="508" stopIfTrue="1" operator="between">
      <formula>0</formula>
      <formula>5</formula>
    </cfRule>
    <cfRule type="containsBlanks" dxfId="7932" priority="509" stopIfTrue="1">
      <formula>LEN(TRIM(E132))=0</formula>
    </cfRule>
  </conditionalFormatting>
  <conditionalFormatting sqref="E131:P131">
    <cfRule type="containsBlanks" dxfId="7931" priority="496" stopIfTrue="1">
      <formula>LEN(TRIM(E131))=0</formula>
    </cfRule>
    <cfRule type="cellIs" dxfId="7930" priority="497" stopIfTrue="1" operator="between">
      <formula>79.1</formula>
      <formula>100</formula>
    </cfRule>
    <cfRule type="cellIs" dxfId="7929" priority="498" stopIfTrue="1" operator="between">
      <formula>34.1</formula>
      <formula>79</formula>
    </cfRule>
    <cfRule type="cellIs" dxfId="7928" priority="499" stopIfTrue="1" operator="between">
      <formula>13.1</formula>
      <formula>34</formula>
    </cfRule>
    <cfRule type="cellIs" dxfId="7927" priority="500" stopIfTrue="1" operator="between">
      <formula>5.1</formula>
      <formula>13</formula>
    </cfRule>
    <cfRule type="cellIs" dxfId="7926" priority="501" stopIfTrue="1" operator="between">
      <formula>0</formula>
      <formula>5</formula>
    </cfRule>
    <cfRule type="containsBlanks" dxfId="7925" priority="502" stopIfTrue="1">
      <formula>LEN(TRIM(E131))=0</formula>
    </cfRule>
  </conditionalFormatting>
  <conditionalFormatting sqref="Q170">
    <cfRule type="containsBlanks" dxfId="7924" priority="475" stopIfTrue="1">
      <formula>LEN(TRIM(Q170))=0</formula>
    </cfRule>
    <cfRule type="cellIs" dxfId="7923" priority="476" stopIfTrue="1" operator="between">
      <formula>80.1</formula>
      <formula>100</formula>
    </cfRule>
    <cfRule type="cellIs" dxfId="7922" priority="477" stopIfTrue="1" operator="between">
      <formula>35.1</formula>
      <formula>80</formula>
    </cfRule>
    <cfRule type="cellIs" dxfId="7921" priority="478" stopIfTrue="1" operator="between">
      <formula>14.1</formula>
      <formula>35</formula>
    </cfRule>
    <cfRule type="cellIs" dxfId="7920" priority="479" stopIfTrue="1" operator="between">
      <formula>5.1</formula>
      <formula>14</formula>
    </cfRule>
    <cfRule type="cellIs" dxfId="7919" priority="480" stopIfTrue="1" operator="between">
      <formula>0</formula>
      <formula>5</formula>
    </cfRule>
    <cfRule type="containsBlanks" dxfId="7918" priority="481" stopIfTrue="1">
      <formula>LEN(TRIM(Q170))=0</formula>
    </cfRule>
  </conditionalFormatting>
  <conditionalFormatting sqref="R170:R176">
    <cfRule type="cellIs" dxfId="7917" priority="473" stopIfTrue="1" operator="equal">
      <formula>"NO"</formula>
    </cfRule>
  </conditionalFormatting>
  <conditionalFormatting sqref="E179:P179">
    <cfRule type="containsBlanks" dxfId="7916" priority="362" stopIfTrue="1">
      <formula>LEN(TRIM(E179))=0</formula>
    </cfRule>
    <cfRule type="cellIs" dxfId="7915" priority="363" stopIfTrue="1" operator="between">
      <formula>80.1</formula>
      <formula>100</formula>
    </cfRule>
    <cfRule type="cellIs" dxfId="7914" priority="364" stopIfTrue="1" operator="between">
      <formula>35.1</formula>
      <formula>80</formula>
    </cfRule>
    <cfRule type="cellIs" dxfId="7913" priority="365" stopIfTrue="1" operator="between">
      <formula>14.1</formula>
      <formula>35</formula>
    </cfRule>
    <cfRule type="cellIs" dxfId="7912" priority="366" stopIfTrue="1" operator="between">
      <formula>5.1</formula>
      <formula>14</formula>
    </cfRule>
    <cfRule type="cellIs" dxfId="7911" priority="367" stopIfTrue="1" operator="between">
      <formula>0</formula>
      <formula>5</formula>
    </cfRule>
    <cfRule type="containsBlanks" dxfId="7910" priority="368" stopIfTrue="1">
      <formula>LEN(TRIM(E179))=0</formula>
    </cfRule>
  </conditionalFormatting>
  <conditionalFormatting sqref="E181:P181">
    <cfRule type="containsBlanks" dxfId="7909" priority="460" stopIfTrue="1">
      <formula>LEN(TRIM(E181))=0</formula>
    </cfRule>
    <cfRule type="cellIs" dxfId="7908" priority="461" stopIfTrue="1" operator="between">
      <formula>80.1</formula>
      <formula>100</formula>
    </cfRule>
    <cfRule type="cellIs" dxfId="7907" priority="462" stopIfTrue="1" operator="between">
      <formula>35.1</formula>
      <formula>80</formula>
    </cfRule>
    <cfRule type="cellIs" dxfId="7906" priority="463" stopIfTrue="1" operator="between">
      <formula>14.1</formula>
      <formula>35</formula>
    </cfRule>
    <cfRule type="cellIs" dxfId="7905" priority="464" stopIfTrue="1" operator="between">
      <formula>5.1</formula>
      <formula>14</formula>
    </cfRule>
    <cfRule type="cellIs" dxfId="7904" priority="465" stopIfTrue="1" operator="between">
      <formula>0</formula>
      <formula>5</formula>
    </cfRule>
    <cfRule type="containsBlanks" dxfId="7903" priority="466" stopIfTrue="1">
      <formula>LEN(TRIM(E181))=0</formula>
    </cfRule>
  </conditionalFormatting>
  <conditionalFormatting sqref="E192:P192">
    <cfRule type="containsBlanks" dxfId="7902" priority="453" stopIfTrue="1">
      <formula>LEN(TRIM(E192))=0</formula>
    </cfRule>
    <cfRule type="cellIs" dxfId="7901" priority="454" stopIfTrue="1" operator="between">
      <formula>80.1</formula>
      <formula>100</formula>
    </cfRule>
    <cfRule type="cellIs" dxfId="7900" priority="455" stopIfTrue="1" operator="between">
      <formula>35.1</formula>
      <formula>80</formula>
    </cfRule>
    <cfRule type="cellIs" dxfId="7899" priority="456" stopIfTrue="1" operator="between">
      <formula>14.1</formula>
      <formula>35</formula>
    </cfRule>
    <cfRule type="cellIs" dxfId="7898" priority="457" stopIfTrue="1" operator="between">
      <formula>5.1</formula>
      <formula>14</formula>
    </cfRule>
    <cfRule type="cellIs" dxfId="7897" priority="458" stopIfTrue="1" operator="between">
      <formula>0</formula>
      <formula>5</formula>
    </cfRule>
    <cfRule type="containsBlanks" dxfId="7896" priority="459" stopIfTrue="1">
      <formula>LEN(TRIM(E192))=0</formula>
    </cfRule>
  </conditionalFormatting>
  <conditionalFormatting sqref="E193:P193">
    <cfRule type="containsBlanks" dxfId="7895" priority="446" stopIfTrue="1">
      <formula>LEN(TRIM(E193))=0</formula>
    </cfRule>
    <cfRule type="cellIs" dxfId="7894" priority="447" stopIfTrue="1" operator="between">
      <formula>80.1</formula>
      <formula>100</formula>
    </cfRule>
    <cfRule type="cellIs" dxfId="7893" priority="448" stopIfTrue="1" operator="between">
      <formula>35.1</formula>
      <formula>80</formula>
    </cfRule>
    <cfRule type="cellIs" dxfId="7892" priority="449" stopIfTrue="1" operator="between">
      <formula>14.1</formula>
      <formula>35</formula>
    </cfRule>
    <cfRule type="cellIs" dxfId="7891" priority="450" stopIfTrue="1" operator="between">
      <formula>5.1</formula>
      <formula>14</formula>
    </cfRule>
    <cfRule type="cellIs" dxfId="7890" priority="451" stopIfTrue="1" operator="between">
      <formula>0</formula>
      <formula>5</formula>
    </cfRule>
    <cfRule type="containsBlanks" dxfId="7889" priority="452" stopIfTrue="1">
      <formula>LEN(TRIM(E193))=0</formula>
    </cfRule>
  </conditionalFormatting>
  <conditionalFormatting sqref="E194:P194">
    <cfRule type="containsBlanks" dxfId="7888" priority="439" stopIfTrue="1">
      <formula>LEN(TRIM(E194))=0</formula>
    </cfRule>
    <cfRule type="cellIs" dxfId="7887" priority="440" stopIfTrue="1" operator="between">
      <formula>80.1</formula>
      <formula>100</formula>
    </cfRule>
    <cfRule type="cellIs" dxfId="7886" priority="441" stopIfTrue="1" operator="between">
      <formula>35.1</formula>
      <formula>80</formula>
    </cfRule>
    <cfRule type="cellIs" dxfId="7885" priority="442" stopIfTrue="1" operator="between">
      <formula>14.1</formula>
      <formula>35</formula>
    </cfRule>
    <cfRule type="cellIs" dxfId="7884" priority="443" stopIfTrue="1" operator="between">
      <formula>5.1</formula>
      <formula>14</formula>
    </cfRule>
    <cfRule type="cellIs" dxfId="7883" priority="444" stopIfTrue="1" operator="between">
      <formula>0</formula>
      <formula>5</formula>
    </cfRule>
    <cfRule type="containsBlanks" dxfId="7882" priority="445" stopIfTrue="1">
      <formula>LEN(TRIM(E194))=0</formula>
    </cfRule>
  </conditionalFormatting>
  <conditionalFormatting sqref="E184:P184">
    <cfRule type="containsBlanks" dxfId="7881" priority="425" stopIfTrue="1">
      <formula>LEN(TRIM(E184))=0</formula>
    </cfRule>
    <cfRule type="cellIs" dxfId="7880" priority="426" stopIfTrue="1" operator="between">
      <formula>80.1</formula>
      <formula>100</formula>
    </cfRule>
    <cfRule type="cellIs" dxfId="7879" priority="427" stopIfTrue="1" operator="between">
      <formula>35.1</formula>
      <formula>80</formula>
    </cfRule>
    <cfRule type="cellIs" dxfId="7878" priority="428" stopIfTrue="1" operator="between">
      <formula>14.1</formula>
      <formula>35</formula>
    </cfRule>
    <cfRule type="cellIs" dxfId="7877" priority="429" stopIfTrue="1" operator="between">
      <formula>5.1</formula>
      <formula>14</formula>
    </cfRule>
    <cfRule type="cellIs" dxfId="7876" priority="430" stopIfTrue="1" operator="between">
      <formula>0</formula>
      <formula>5</formula>
    </cfRule>
    <cfRule type="containsBlanks" dxfId="7875" priority="431" stopIfTrue="1">
      <formula>LEN(TRIM(E184))=0</formula>
    </cfRule>
  </conditionalFormatting>
  <conditionalFormatting sqref="E182:P182">
    <cfRule type="containsBlanks" dxfId="7874" priority="348" stopIfTrue="1">
      <formula>LEN(TRIM(E182))=0</formula>
    </cfRule>
    <cfRule type="cellIs" dxfId="7873" priority="349" stopIfTrue="1" operator="between">
      <formula>80.1</formula>
      <formula>100</formula>
    </cfRule>
    <cfRule type="cellIs" dxfId="7872" priority="350" stopIfTrue="1" operator="between">
      <formula>35.1</formula>
      <formula>80</formula>
    </cfRule>
    <cfRule type="cellIs" dxfId="7871" priority="351" stopIfTrue="1" operator="between">
      <formula>14.1</formula>
      <formula>35</formula>
    </cfRule>
    <cfRule type="cellIs" dxfId="7870" priority="352" stopIfTrue="1" operator="between">
      <formula>5.1</formula>
      <formula>14</formula>
    </cfRule>
    <cfRule type="cellIs" dxfId="7869" priority="353" stopIfTrue="1" operator="between">
      <formula>0</formula>
      <formula>5</formula>
    </cfRule>
    <cfRule type="containsBlanks" dxfId="7868" priority="354" stopIfTrue="1">
      <formula>LEN(TRIM(E182))=0</formula>
    </cfRule>
  </conditionalFormatting>
  <conditionalFormatting sqref="E185:P186">
    <cfRule type="containsBlanks" dxfId="7867" priority="418" stopIfTrue="1">
      <formula>LEN(TRIM(E185))=0</formula>
    </cfRule>
    <cfRule type="cellIs" dxfId="7866" priority="419" stopIfTrue="1" operator="between">
      <formula>80.1</formula>
      <formula>100</formula>
    </cfRule>
    <cfRule type="cellIs" dxfId="7865" priority="420" stopIfTrue="1" operator="between">
      <formula>35.1</formula>
      <formula>80</formula>
    </cfRule>
    <cfRule type="cellIs" dxfId="7864" priority="421" stopIfTrue="1" operator="between">
      <formula>14.1</formula>
      <formula>35</formula>
    </cfRule>
    <cfRule type="cellIs" dxfId="7863" priority="422" stopIfTrue="1" operator="between">
      <formula>5.1</formula>
      <formula>14</formula>
    </cfRule>
    <cfRule type="cellIs" dxfId="7862" priority="423" stopIfTrue="1" operator="between">
      <formula>0</formula>
      <formula>5</formula>
    </cfRule>
    <cfRule type="containsBlanks" dxfId="7861" priority="424" stopIfTrue="1">
      <formula>LEN(TRIM(E185))=0</formula>
    </cfRule>
  </conditionalFormatting>
  <conditionalFormatting sqref="E203:O203">
    <cfRule type="containsBlanks" dxfId="7860" priority="292" stopIfTrue="1">
      <formula>LEN(TRIM(E203))=0</formula>
    </cfRule>
    <cfRule type="cellIs" dxfId="7859" priority="293" stopIfTrue="1" operator="between">
      <formula>80.1</formula>
      <formula>100</formula>
    </cfRule>
    <cfRule type="cellIs" dxfId="7858" priority="294" stopIfTrue="1" operator="between">
      <formula>35.1</formula>
      <formula>80</formula>
    </cfRule>
    <cfRule type="cellIs" dxfId="7857" priority="295" stopIfTrue="1" operator="between">
      <formula>14.1</formula>
      <formula>35</formula>
    </cfRule>
    <cfRule type="cellIs" dxfId="7856" priority="296" stopIfTrue="1" operator="between">
      <formula>5.1</formula>
      <formula>14</formula>
    </cfRule>
    <cfRule type="cellIs" dxfId="7855" priority="297" stopIfTrue="1" operator="between">
      <formula>0</formula>
      <formula>5</formula>
    </cfRule>
    <cfRule type="containsBlanks" dxfId="7854" priority="298" stopIfTrue="1">
      <formula>LEN(TRIM(E203))=0</formula>
    </cfRule>
  </conditionalFormatting>
  <conditionalFormatting sqref="E191:P191">
    <cfRule type="containsBlanks" dxfId="7853" priority="397" stopIfTrue="1">
      <formula>LEN(TRIM(E191))=0</formula>
    </cfRule>
    <cfRule type="cellIs" dxfId="7852" priority="398" stopIfTrue="1" operator="between">
      <formula>80.1</formula>
      <formula>100</formula>
    </cfRule>
    <cfRule type="cellIs" dxfId="7851" priority="399" stopIfTrue="1" operator="between">
      <formula>35.1</formula>
      <formula>80</formula>
    </cfRule>
    <cfRule type="cellIs" dxfId="7850" priority="400" stopIfTrue="1" operator="between">
      <formula>14.1</formula>
      <formula>35</formula>
    </cfRule>
    <cfRule type="cellIs" dxfId="7849" priority="401" stopIfTrue="1" operator="between">
      <formula>5.1</formula>
      <formula>14</formula>
    </cfRule>
    <cfRule type="cellIs" dxfId="7848" priority="402" stopIfTrue="1" operator="between">
      <formula>0</formula>
      <formula>5</formula>
    </cfRule>
    <cfRule type="containsBlanks" dxfId="7847" priority="403" stopIfTrue="1">
      <formula>LEN(TRIM(E191))=0</formula>
    </cfRule>
  </conditionalFormatting>
  <conditionalFormatting sqref="E178:P178">
    <cfRule type="containsBlanks" dxfId="7846" priority="390" stopIfTrue="1">
      <formula>LEN(TRIM(E178))=0</formula>
    </cfRule>
    <cfRule type="cellIs" dxfId="7845" priority="391" stopIfTrue="1" operator="between">
      <formula>80.1</formula>
      <formula>100</formula>
    </cfRule>
    <cfRule type="cellIs" dxfId="7844" priority="392" stopIfTrue="1" operator="between">
      <formula>35.1</formula>
      <formula>80</formula>
    </cfRule>
    <cfRule type="cellIs" dxfId="7843" priority="393" stopIfTrue="1" operator="between">
      <formula>14.1</formula>
      <formula>35</formula>
    </cfRule>
    <cfRule type="cellIs" dxfId="7842" priority="394" stopIfTrue="1" operator="between">
      <formula>5.1</formula>
      <formula>14</formula>
    </cfRule>
    <cfRule type="cellIs" dxfId="7841" priority="395" stopIfTrue="1" operator="between">
      <formula>0</formula>
      <formula>5</formula>
    </cfRule>
    <cfRule type="containsBlanks" dxfId="7840" priority="396" stopIfTrue="1">
      <formula>LEN(TRIM(E178))=0</formula>
    </cfRule>
  </conditionalFormatting>
  <conditionalFormatting sqref="E176:Q176">
    <cfRule type="containsBlanks" dxfId="7839" priority="383" stopIfTrue="1">
      <formula>LEN(TRIM(E176))=0</formula>
    </cfRule>
    <cfRule type="cellIs" dxfId="7838" priority="384" stopIfTrue="1" operator="between">
      <formula>80.1</formula>
      <formula>100</formula>
    </cfRule>
    <cfRule type="cellIs" dxfId="7837" priority="385" stopIfTrue="1" operator="between">
      <formula>35.1</formula>
      <formula>80</formula>
    </cfRule>
    <cfRule type="cellIs" dxfId="7836" priority="386" stopIfTrue="1" operator="between">
      <formula>14.1</formula>
      <formula>35</formula>
    </cfRule>
    <cfRule type="cellIs" dxfId="7835" priority="387" stopIfTrue="1" operator="between">
      <formula>5.1</formula>
      <formula>14</formula>
    </cfRule>
    <cfRule type="cellIs" dxfId="7834" priority="388" stopIfTrue="1" operator="between">
      <formula>0</formula>
      <formula>5</formula>
    </cfRule>
    <cfRule type="containsBlanks" dxfId="7833" priority="389" stopIfTrue="1">
      <formula>LEN(TRIM(E176))=0</formula>
    </cfRule>
  </conditionalFormatting>
  <conditionalFormatting sqref="E189:P189">
    <cfRule type="containsBlanks" dxfId="7832" priority="369" stopIfTrue="1">
      <formula>LEN(TRIM(E189))=0</formula>
    </cfRule>
    <cfRule type="cellIs" dxfId="7831" priority="370" stopIfTrue="1" operator="between">
      <formula>80.1</formula>
      <formula>100</formula>
    </cfRule>
    <cfRule type="cellIs" dxfId="7830" priority="371" stopIfTrue="1" operator="between">
      <formula>35.1</formula>
      <formula>80</formula>
    </cfRule>
    <cfRule type="cellIs" dxfId="7829" priority="372" stopIfTrue="1" operator="between">
      <formula>14.1</formula>
      <formula>35</formula>
    </cfRule>
    <cfRule type="cellIs" dxfId="7828" priority="373" stopIfTrue="1" operator="between">
      <formula>5.1</formula>
      <formula>14</formula>
    </cfRule>
    <cfRule type="cellIs" dxfId="7827" priority="374" stopIfTrue="1" operator="between">
      <formula>0</formula>
      <formula>5</formula>
    </cfRule>
    <cfRule type="containsBlanks" dxfId="7826" priority="375" stopIfTrue="1">
      <formula>LEN(TRIM(E189))=0</formula>
    </cfRule>
  </conditionalFormatting>
  <conditionalFormatting sqref="E180:P180">
    <cfRule type="containsBlanks" dxfId="7825" priority="355" stopIfTrue="1">
      <formula>LEN(TRIM(E180))=0</formula>
    </cfRule>
    <cfRule type="cellIs" dxfId="7824" priority="356" stopIfTrue="1" operator="between">
      <formula>80.1</formula>
      <formula>100</formula>
    </cfRule>
    <cfRule type="cellIs" dxfId="7823" priority="357" stopIfTrue="1" operator="between">
      <formula>35.1</formula>
      <formula>80</formula>
    </cfRule>
    <cfRule type="cellIs" dxfId="7822" priority="358" stopIfTrue="1" operator="between">
      <formula>14.1</formula>
      <formula>35</formula>
    </cfRule>
    <cfRule type="cellIs" dxfId="7821" priority="359" stopIfTrue="1" operator="between">
      <formula>5.1</formula>
      <formula>14</formula>
    </cfRule>
    <cfRule type="cellIs" dxfId="7820" priority="360" stopIfTrue="1" operator="between">
      <formula>0</formula>
      <formula>5</formula>
    </cfRule>
    <cfRule type="containsBlanks" dxfId="7819" priority="361" stopIfTrue="1">
      <formula>LEN(TRIM(E180))=0</formula>
    </cfRule>
  </conditionalFormatting>
  <conditionalFormatting sqref="E188:P188">
    <cfRule type="containsBlanks" dxfId="7818" priority="341" stopIfTrue="1">
      <formula>LEN(TRIM(E188))=0</formula>
    </cfRule>
    <cfRule type="cellIs" dxfId="7817" priority="342" stopIfTrue="1" operator="between">
      <formula>80.1</formula>
      <formula>100</formula>
    </cfRule>
    <cfRule type="cellIs" dxfId="7816" priority="343" stopIfTrue="1" operator="between">
      <formula>35.1</formula>
      <formula>80</formula>
    </cfRule>
    <cfRule type="cellIs" dxfId="7815" priority="344" stopIfTrue="1" operator="between">
      <formula>14.1</formula>
      <formula>35</formula>
    </cfRule>
    <cfRule type="cellIs" dxfId="7814" priority="345" stopIfTrue="1" operator="between">
      <formula>5.1</formula>
      <formula>14</formula>
    </cfRule>
    <cfRule type="cellIs" dxfId="7813" priority="346" stopIfTrue="1" operator="between">
      <formula>0</formula>
      <formula>5</formula>
    </cfRule>
    <cfRule type="containsBlanks" dxfId="7812" priority="347" stopIfTrue="1">
      <formula>LEN(TRIM(E188))=0</formula>
    </cfRule>
  </conditionalFormatting>
  <conditionalFormatting sqref="E200:P200">
    <cfRule type="containsBlanks" dxfId="7811" priority="334" stopIfTrue="1">
      <formula>LEN(TRIM(E200))=0</formula>
    </cfRule>
    <cfRule type="cellIs" dxfId="7810" priority="335" stopIfTrue="1" operator="between">
      <formula>80.1</formula>
      <formula>100</formula>
    </cfRule>
    <cfRule type="cellIs" dxfId="7809" priority="336" stopIfTrue="1" operator="between">
      <formula>35.1</formula>
      <formula>80</formula>
    </cfRule>
    <cfRule type="cellIs" dxfId="7808" priority="337" stopIfTrue="1" operator="between">
      <formula>14.1</formula>
      <formula>35</formula>
    </cfRule>
    <cfRule type="cellIs" dxfId="7807" priority="338" stopIfTrue="1" operator="between">
      <formula>5.1</formula>
      <formula>14</formula>
    </cfRule>
    <cfRule type="cellIs" dxfId="7806" priority="339" stopIfTrue="1" operator="between">
      <formula>0</formula>
      <formula>5</formula>
    </cfRule>
    <cfRule type="containsBlanks" dxfId="7805" priority="340" stopIfTrue="1">
      <formula>LEN(TRIM(E200))=0</formula>
    </cfRule>
  </conditionalFormatting>
  <conditionalFormatting sqref="E204:P204">
    <cfRule type="containsBlanks" dxfId="7804" priority="327" stopIfTrue="1">
      <formula>LEN(TRIM(E204))=0</formula>
    </cfRule>
    <cfRule type="cellIs" dxfId="7803" priority="328" stopIfTrue="1" operator="between">
      <formula>80.1</formula>
      <formula>100</formula>
    </cfRule>
    <cfRule type="cellIs" dxfId="7802" priority="329" stopIfTrue="1" operator="between">
      <formula>35.1</formula>
      <formula>80</formula>
    </cfRule>
    <cfRule type="cellIs" dxfId="7801" priority="330" stopIfTrue="1" operator="between">
      <formula>14.1</formula>
      <formula>35</formula>
    </cfRule>
    <cfRule type="cellIs" dxfId="7800" priority="331" stopIfTrue="1" operator="between">
      <formula>5.1</formula>
      <formula>14</formula>
    </cfRule>
    <cfRule type="cellIs" dxfId="7799" priority="332" stopIfTrue="1" operator="between">
      <formula>0</formula>
      <formula>5</formula>
    </cfRule>
    <cfRule type="containsBlanks" dxfId="7798" priority="333" stopIfTrue="1">
      <formula>LEN(TRIM(E204))=0</formula>
    </cfRule>
  </conditionalFormatting>
  <conditionalFormatting sqref="E198:O198">
    <cfRule type="containsBlanks" dxfId="7797" priority="320" stopIfTrue="1">
      <formula>LEN(TRIM(E198))=0</formula>
    </cfRule>
    <cfRule type="cellIs" dxfId="7796" priority="321" stopIfTrue="1" operator="between">
      <formula>80.1</formula>
      <formula>100</formula>
    </cfRule>
    <cfRule type="cellIs" dxfId="7795" priority="322" stopIfTrue="1" operator="between">
      <formula>35.1</formula>
      <formula>80</formula>
    </cfRule>
    <cfRule type="cellIs" dxfId="7794" priority="323" stopIfTrue="1" operator="between">
      <formula>14.1</formula>
      <formula>35</formula>
    </cfRule>
    <cfRule type="cellIs" dxfId="7793" priority="324" stopIfTrue="1" operator="between">
      <formula>5.1</formula>
      <formula>14</formula>
    </cfRule>
    <cfRule type="cellIs" dxfId="7792" priority="325" stopIfTrue="1" operator="between">
      <formula>0</formula>
      <formula>5</formula>
    </cfRule>
    <cfRule type="containsBlanks" dxfId="7791" priority="326" stopIfTrue="1">
      <formula>LEN(TRIM(E198))=0</formula>
    </cfRule>
  </conditionalFormatting>
  <conditionalFormatting sqref="E197:N197">
    <cfRule type="containsBlanks" dxfId="7790" priority="313" stopIfTrue="1">
      <formula>LEN(TRIM(E197))=0</formula>
    </cfRule>
    <cfRule type="cellIs" dxfId="7789" priority="314" stopIfTrue="1" operator="between">
      <formula>80.1</formula>
      <formula>100</formula>
    </cfRule>
    <cfRule type="cellIs" dxfId="7788" priority="315" stopIfTrue="1" operator="between">
      <formula>35.1</formula>
      <formula>80</formula>
    </cfRule>
    <cfRule type="cellIs" dxfId="7787" priority="316" stopIfTrue="1" operator="between">
      <formula>14.1</formula>
      <formula>35</formula>
    </cfRule>
    <cfRule type="cellIs" dxfId="7786" priority="317" stopIfTrue="1" operator="between">
      <formula>5.1</formula>
      <formula>14</formula>
    </cfRule>
    <cfRule type="cellIs" dxfId="7785" priority="318" stopIfTrue="1" operator="between">
      <formula>0</formula>
      <formula>5</formula>
    </cfRule>
    <cfRule type="containsBlanks" dxfId="7784" priority="319" stopIfTrue="1">
      <formula>LEN(TRIM(E197))=0</formula>
    </cfRule>
  </conditionalFormatting>
  <conditionalFormatting sqref="E202:O202">
    <cfRule type="containsBlanks" dxfId="7783" priority="306" stopIfTrue="1">
      <formula>LEN(TRIM(E202))=0</formula>
    </cfRule>
    <cfRule type="cellIs" dxfId="7782" priority="307" stopIfTrue="1" operator="between">
      <formula>80.1</formula>
      <formula>100</formula>
    </cfRule>
    <cfRule type="cellIs" dxfId="7781" priority="308" stopIfTrue="1" operator="between">
      <formula>35.1</formula>
      <formula>80</formula>
    </cfRule>
    <cfRule type="cellIs" dxfId="7780" priority="309" stopIfTrue="1" operator="between">
      <formula>14.1</formula>
      <formula>35</formula>
    </cfRule>
    <cfRule type="cellIs" dxfId="7779" priority="310" stopIfTrue="1" operator="between">
      <formula>5.1</formula>
      <formula>14</formula>
    </cfRule>
    <cfRule type="cellIs" dxfId="7778" priority="311" stopIfTrue="1" operator="between">
      <formula>0</formula>
      <formula>5</formula>
    </cfRule>
    <cfRule type="containsBlanks" dxfId="7777" priority="312" stopIfTrue="1">
      <formula>LEN(TRIM(E202))=0</formula>
    </cfRule>
  </conditionalFormatting>
  <conditionalFormatting sqref="E199:P199">
    <cfRule type="containsBlanks" dxfId="7776" priority="299" stopIfTrue="1">
      <formula>LEN(TRIM(E199))=0</formula>
    </cfRule>
    <cfRule type="cellIs" dxfId="7775" priority="300" stopIfTrue="1" operator="between">
      <formula>80.1</formula>
      <formula>100</formula>
    </cfRule>
    <cfRule type="cellIs" dxfId="7774" priority="301" stopIfTrue="1" operator="between">
      <formula>35.1</formula>
      <formula>80</formula>
    </cfRule>
    <cfRule type="cellIs" dxfId="7773" priority="302" stopIfTrue="1" operator="between">
      <formula>14.1</formula>
      <formula>35</formula>
    </cfRule>
    <cfRule type="cellIs" dxfId="7772" priority="303" stopIfTrue="1" operator="between">
      <formula>5.1</formula>
      <formula>14</formula>
    </cfRule>
    <cfRule type="cellIs" dxfId="7771" priority="304" stopIfTrue="1" operator="between">
      <formula>0</formula>
      <formula>5</formula>
    </cfRule>
    <cfRule type="containsBlanks" dxfId="7770" priority="305" stopIfTrue="1">
      <formula>LEN(TRIM(E199))=0</formula>
    </cfRule>
  </conditionalFormatting>
  <conditionalFormatting sqref="Q224">
    <cfRule type="containsBlanks" dxfId="7769" priority="255" stopIfTrue="1">
      <formula>LEN(TRIM(Q224))=0</formula>
    </cfRule>
    <cfRule type="cellIs" dxfId="7768" priority="256" stopIfTrue="1" operator="between">
      <formula>80.1</formula>
      <formula>100</formula>
    </cfRule>
    <cfRule type="cellIs" dxfId="7767" priority="257" stopIfTrue="1" operator="between">
      <formula>35.1</formula>
      <formula>80</formula>
    </cfRule>
    <cfRule type="cellIs" dxfId="7766" priority="258" stopIfTrue="1" operator="between">
      <formula>14.1</formula>
      <formula>35</formula>
    </cfRule>
    <cfRule type="cellIs" dxfId="7765" priority="259" stopIfTrue="1" operator="between">
      <formula>5.1</formula>
      <formula>14</formula>
    </cfRule>
    <cfRule type="cellIs" dxfId="7764" priority="260" stopIfTrue="1" operator="between">
      <formula>0</formula>
      <formula>5</formula>
    </cfRule>
    <cfRule type="containsBlanks" dxfId="7763" priority="261" stopIfTrue="1">
      <formula>LEN(TRIM(Q224))=0</formula>
    </cfRule>
  </conditionalFormatting>
  <conditionalFormatting sqref="E137:Q137">
    <cfRule type="containsBlanks" dxfId="7762" priority="240" stopIfTrue="1">
      <formula>LEN(TRIM(E137))=0</formula>
    </cfRule>
    <cfRule type="cellIs" dxfId="7761" priority="241" stopIfTrue="1" operator="between">
      <formula>79.1</formula>
      <formula>100</formula>
    </cfRule>
    <cfRule type="cellIs" dxfId="7760" priority="242" stopIfTrue="1" operator="between">
      <formula>34.1</formula>
      <formula>79</formula>
    </cfRule>
    <cfRule type="cellIs" dxfId="7759" priority="243" stopIfTrue="1" operator="between">
      <formula>13.1</formula>
      <formula>34</formula>
    </cfRule>
    <cfRule type="cellIs" dxfId="7758" priority="244" stopIfTrue="1" operator="between">
      <formula>5.1</formula>
      <formula>13</formula>
    </cfRule>
    <cfRule type="cellIs" dxfId="7757" priority="245" stopIfTrue="1" operator="between">
      <formula>0</formula>
      <formula>5</formula>
    </cfRule>
    <cfRule type="containsBlanks" dxfId="7756" priority="246" stopIfTrue="1">
      <formula>LEN(TRIM(E137))=0</formula>
    </cfRule>
  </conditionalFormatting>
  <conditionalFormatting sqref="Q135">
    <cfRule type="containsBlanks" dxfId="7755" priority="233" stopIfTrue="1">
      <formula>LEN(TRIM(Q135))=0</formula>
    </cfRule>
    <cfRule type="cellIs" dxfId="7754" priority="234" stopIfTrue="1" operator="between">
      <formula>80.1</formula>
      <formula>100</formula>
    </cfRule>
    <cfRule type="cellIs" dxfId="7753" priority="235" stopIfTrue="1" operator="between">
      <formula>35.1</formula>
      <formula>80</formula>
    </cfRule>
    <cfRule type="cellIs" dxfId="7752" priority="236" stopIfTrue="1" operator="between">
      <formula>14.1</formula>
      <formula>35</formula>
    </cfRule>
    <cfRule type="cellIs" dxfId="7751" priority="237" stopIfTrue="1" operator="between">
      <formula>5.1</formula>
      <formula>14</formula>
    </cfRule>
    <cfRule type="cellIs" dxfId="7750" priority="238" stopIfTrue="1" operator="between">
      <formula>0</formula>
      <formula>5</formula>
    </cfRule>
    <cfRule type="containsBlanks" dxfId="7749" priority="239" stopIfTrue="1">
      <formula>LEN(TRIM(Q135))=0</formula>
    </cfRule>
  </conditionalFormatting>
  <conditionalFormatting sqref="E135:P135">
    <cfRule type="containsBlanks" dxfId="7748" priority="226" stopIfTrue="1">
      <formula>LEN(TRIM(E135))=0</formula>
    </cfRule>
    <cfRule type="cellIs" dxfId="7747" priority="227" stopIfTrue="1" operator="between">
      <formula>79.1</formula>
      <formula>100</formula>
    </cfRule>
    <cfRule type="cellIs" dxfId="7746" priority="228" stopIfTrue="1" operator="between">
      <formula>34.1</formula>
      <formula>79</formula>
    </cfRule>
    <cfRule type="cellIs" dxfId="7745" priority="229" stopIfTrue="1" operator="between">
      <formula>13.1</formula>
      <formula>34</formula>
    </cfRule>
    <cfRule type="cellIs" dxfId="7744" priority="230" stopIfTrue="1" operator="between">
      <formula>5.1</formula>
      <formula>13</formula>
    </cfRule>
    <cfRule type="cellIs" dxfId="7743" priority="231" stopIfTrue="1" operator="between">
      <formula>0</formula>
      <formula>5</formula>
    </cfRule>
    <cfRule type="containsBlanks" dxfId="7742" priority="232" stopIfTrue="1">
      <formula>LEN(TRIM(E135))=0</formula>
    </cfRule>
  </conditionalFormatting>
  <conditionalFormatting sqref="Q222">
    <cfRule type="containsBlanks" dxfId="7741" priority="212" stopIfTrue="1">
      <formula>LEN(TRIM(Q222))=0</formula>
    </cfRule>
    <cfRule type="cellIs" dxfId="7740" priority="213" stopIfTrue="1" operator="between">
      <formula>80.1</formula>
      <formula>100</formula>
    </cfRule>
    <cfRule type="cellIs" dxfId="7739" priority="214" stopIfTrue="1" operator="between">
      <formula>35.1</formula>
      <formula>80</formula>
    </cfRule>
    <cfRule type="cellIs" dxfId="7738" priority="215" stopIfTrue="1" operator="between">
      <formula>14.1</formula>
      <formula>35</formula>
    </cfRule>
    <cfRule type="cellIs" dxfId="7737" priority="216" stopIfTrue="1" operator="between">
      <formula>5.1</formula>
      <formula>14</formula>
    </cfRule>
    <cfRule type="cellIs" dxfId="7736" priority="217" stopIfTrue="1" operator="between">
      <formula>0</formula>
      <formula>5</formula>
    </cfRule>
    <cfRule type="containsBlanks" dxfId="7735" priority="218" stopIfTrue="1">
      <formula>LEN(TRIM(Q222))=0</formula>
    </cfRule>
  </conditionalFormatting>
  <conditionalFormatting sqref="Q214">
    <cfRule type="containsBlanks" dxfId="7734" priority="219" stopIfTrue="1">
      <formula>LEN(TRIM(Q214))=0</formula>
    </cfRule>
    <cfRule type="cellIs" dxfId="7733" priority="220" stopIfTrue="1" operator="between">
      <formula>80.1</formula>
      <formula>100</formula>
    </cfRule>
    <cfRule type="cellIs" dxfId="7732" priority="221" stopIfTrue="1" operator="between">
      <formula>35.1</formula>
      <formula>80</formula>
    </cfRule>
    <cfRule type="cellIs" dxfId="7731" priority="222" stopIfTrue="1" operator="between">
      <formula>14.1</formula>
      <formula>35</formula>
    </cfRule>
    <cfRule type="cellIs" dxfId="7730" priority="223" stopIfTrue="1" operator="between">
      <formula>5.1</formula>
      <formula>14</formula>
    </cfRule>
    <cfRule type="cellIs" dxfId="7729" priority="224" stopIfTrue="1" operator="between">
      <formula>0</formula>
      <formula>5</formula>
    </cfRule>
    <cfRule type="containsBlanks" dxfId="7728" priority="225" stopIfTrue="1">
      <formula>LEN(TRIM(Q214))=0</formula>
    </cfRule>
  </conditionalFormatting>
  <conditionalFormatting sqref="Q98">
    <cfRule type="containsBlanks" dxfId="7727" priority="205" stopIfTrue="1">
      <formula>LEN(TRIM(Q98))=0</formula>
    </cfRule>
    <cfRule type="cellIs" dxfId="7726" priority="206" stopIfTrue="1" operator="between">
      <formula>80.1</formula>
      <formula>100</formula>
    </cfRule>
    <cfRule type="cellIs" dxfId="7725" priority="207" stopIfTrue="1" operator="between">
      <formula>35.1</formula>
      <formula>80</formula>
    </cfRule>
    <cfRule type="cellIs" dxfId="7724" priority="208" stopIfTrue="1" operator="between">
      <formula>14.1</formula>
      <formula>35</formula>
    </cfRule>
    <cfRule type="cellIs" dxfId="7723" priority="209" stopIfTrue="1" operator="between">
      <formula>5.1</formula>
      <formula>14</formula>
    </cfRule>
    <cfRule type="cellIs" dxfId="7722" priority="210" stopIfTrue="1" operator="between">
      <formula>0</formula>
      <formula>5</formula>
    </cfRule>
    <cfRule type="containsBlanks" dxfId="7721" priority="211" stopIfTrue="1">
      <formula>LEN(TRIM(Q98))=0</formula>
    </cfRule>
  </conditionalFormatting>
  <conditionalFormatting sqref="Q98">
    <cfRule type="containsBlanks" dxfId="7720" priority="198" stopIfTrue="1">
      <formula>LEN(TRIM(Q98))=0</formula>
    </cfRule>
    <cfRule type="cellIs" dxfId="7719" priority="199" stopIfTrue="1" operator="between">
      <formula>80.1</formula>
      <formula>100</formula>
    </cfRule>
    <cfRule type="cellIs" dxfId="7718" priority="200" stopIfTrue="1" operator="between">
      <formula>35.1</formula>
      <formula>80</formula>
    </cfRule>
    <cfRule type="cellIs" dxfId="7717" priority="201" stopIfTrue="1" operator="between">
      <formula>14.1</formula>
      <formula>35</formula>
    </cfRule>
    <cfRule type="cellIs" dxfId="7716" priority="202" stopIfTrue="1" operator="between">
      <formula>5.1</formula>
      <formula>14</formula>
    </cfRule>
    <cfRule type="cellIs" dxfId="7715" priority="203" stopIfTrue="1" operator="between">
      <formula>0</formula>
      <formula>5</formula>
    </cfRule>
    <cfRule type="containsBlanks" dxfId="7714" priority="204" stopIfTrue="1">
      <formula>LEN(TRIM(Q98))=0</formula>
    </cfRule>
  </conditionalFormatting>
  <conditionalFormatting sqref="R98:R103">
    <cfRule type="cellIs" dxfId="7713" priority="197" stopIfTrue="1" operator="equal">
      <formula>"NO"</formula>
    </cfRule>
  </conditionalFormatting>
  <conditionalFormatting sqref="R98:R103">
    <cfRule type="cellIs" dxfId="7712" priority="196" stopIfTrue="1" operator="equal">
      <formula>"NO"</formula>
    </cfRule>
  </conditionalFormatting>
  <conditionalFormatting sqref="R98:R103">
    <cfRule type="cellIs" dxfId="7711" priority="195" stopIfTrue="1" operator="equal">
      <formula>"NO"</formula>
    </cfRule>
  </conditionalFormatting>
  <conditionalFormatting sqref="R146:R150">
    <cfRule type="cellIs" dxfId="7710" priority="177" stopIfTrue="1" operator="equal">
      <formula>"NO"</formula>
    </cfRule>
  </conditionalFormatting>
  <conditionalFormatting sqref="R146:R150">
    <cfRule type="cellIs" dxfId="7709" priority="176" stopIfTrue="1" operator="equal">
      <formula>"NO"</formula>
    </cfRule>
  </conditionalFormatting>
  <conditionalFormatting sqref="R146:R150">
    <cfRule type="cellIs" dxfId="7708" priority="175" stopIfTrue="1" operator="equal">
      <formula>"NO"</formula>
    </cfRule>
  </conditionalFormatting>
  <conditionalFormatting sqref="R152:R155">
    <cfRule type="cellIs" dxfId="7707" priority="174" stopIfTrue="1" operator="equal">
      <formula>"NO"</formula>
    </cfRule>
  </conditionalFormatting>
  <conditionalFormatting sqref="R152:R155">
    <cfRule type="cellIs" dxfId="7706" priority="173" stopIfTrue="1" operator="equal">
      <formula>"NO"</formula>
    </cfRule>
  </conditionalFormatting>
  <conditionalFormatting sqref="R152:R155">
    <cfRule type="cellIs" dxfId="7705" priority="172" stopIfTrue="1" operator="equal">
      <formula>"NO"</formula>
    </cfRule>
  </conditionalFormatting>
  <conditionalFormatting sqref="R157:R169">
    <cfRule type="cellIs" dxfId="7704" priority="171" stopIfTrue="1" operator="equal">
      <formula>"NO"</formula>
    </cfRule>
  </conditionalFormatting>
  <conditionalFormatting sqref="R157:R169">
    <cfRule type="cellIs" dxfId="7703" priority="170" stopIfTrue="1" operator="equal">
      <formula>"NO"</formula>
    </cfRule>
  </conditionalFormatting>
  <conditionalFormatting sqref="R157:R169">
    <cfRule type="cellIs" dxfId="7702" priority="169" stopIfTrue="1" operator="equal">
      <formula>"NO"</formula>
    </cfRule>
  </conditionalFormatting>
  <conditionalFormatting sqref="R197:R200">
    <cfRule type="cellIs" dxfId="7701" priority="160" stopIfTrue="1" operator="equal">
      <formula>"NO"</formula>
    </cfRule>
  </conditionalFormatting>
  <conditionalFormatting sqref="R202:R204">
    <cfRule type="cellIs" dxfId="7700" priority="159" stopIfTrue="1" operator="equal">
      <formula>"NO"</formula>
    </cfRule>
  </conditionalFormatting>
  <conditionalFormatting sqref="R218:R226 R228:R232">
    <cfRule type="cellIs" dxfId="7699" priority="157" stopIfTrue="1" operator="equal">
      <formula>"NO"</formula>
    </cfRule>
  </conditionalFormatting>
  <conditionalFormatting sqref="S139:S233 S11:S137">
    <cfRule type="containsText" dxfId="7698" priority="92" stopIfTrue="1" operator="containsText" text="INVIABLE SANITARIAMENTE">
      <formula>NOT(ISERROR(SEARCH("INVIABLE SANITARIAMENTE",S11)))</formula>
    </cfRule>
    <cfRule type="containsText" dxfId="7697" priority="93" stopIfTrue="1" operator="containsText" text="ALTO">
      <formula>NOT(ISERROR(SEARCH("ALTO",S11)))</formula>
    </cfRule>
    <cfRule type="containsText" dxfId="7696" priority="94" stopIfTrue="1" operator="containsText" text="MEDIO">
      <formula>NOT(ISERROR(SEARCH("MEDIO",S11)))</formula>
    </cfRule>
    <cfRule type="containsText" dxfId="7695" priority="95" stopIfTrue="1" operator="containsText" text="BAJO">
      <formula>NOT(ISERROR(SEARCH("BAJO",S11)))</formula>
    </cfRule>
    <cfRule type="containsText" dxfId="7694" priority="96" stopIfTrue="1" operator="containsText" text="SIN RIESGO">
      <formula>NOT(ISERROR(SEARCH("SIN RIESGO",S11)))</formula>
    </cfRule>
  </conditionalFormatting>
  <conditionalFormatting sqref="R138">
    <cfRule type="cellIs" dxfId="7693" priority="90" stopIfTrue="1" operator="equal">
      <formula>"NO"</formula>
    </cfRule>
  </conditionalFormatting>
  <conditionalFormatting sqref="E138:P138">
    <cfRule type="containsBlanks" dxfId="7692" priority="83" stopIfTrue="1">
      <formula>LEN(TRIM(E138))=0</formula>
    </cfRule>
    <cfRule type="cellIs" dxfId="7691" priority="84" stopIfTrue="1" operator="between">
      <formula>80.1</formula>
      <formula>100</formula>
    </cfRule>
    <cfRule type="cellIs" dxfId="7690" priority="85" stopIfTrue="1" operator="between">
      <formula>35.1</formula>
      <formula>80</formula>
    </cfRule>
    <cfRule type="cellIs" dxfId="7689" priority="86" stopIfTrue="1" operator="between">
      <formula>14.1</formula>
      <formula>35</formula>
    </cfRule>
    <cfRule type="cellIs" dxfId="7688" priority="87" stopIfTrue="1" operator="between">
      <formula>5.1</formula>
      <formula>14</formula>
    </cfRule>
    <cfRule type="cellIs" dxfId="7687" priority="88" stopIfTrue="1" operator="between">
      <formula>0</formula>
      <formula>5</formula>
    </cfRule>
    <cfRule type="containsBlanks" dxfId="7686" priority="89" stopIfTrue="1">
      <formula>LEN(TRIM(E138))=0</formula>
    </cfRule>
  </conditionalFormatting>
  <conditionalFormatting sqref="Q138">
    <cfRule type="containsBlanks" dxfId="7685" priority="76" stopIfTrue="1">
      <formula>LEN(TRIM(Q138))=0</formula>
    </cfRule>
    <cfRule type="cellIs" dxfId="7684" priority="77" stopIfTrue="1" operator="between">
      <formula>80.1</formula>
      <formula>100</formula>
    </cfRule>
    <cfRule type="cellIs" dxfId="7683" priority="78" stopIfTrue="1" operator="between">
      <formula>35.1</formula>
      <formula>80</formula>
    </cfRule>
    <cfRule type="cellIs" dxfId="7682" priority="79" stopIfTrue="1" operator="between">
      <formula>14.1</formula>
      <formula>35</formula>
    </cfRule>
    <cfRule type="cellIs" dxfId="7681" priority="80" stopIfTrue="1" operator="between">
      <formula>5.1</formula>
      <formula>14</formula>
    </cfRule>
    <cfRule type="cellIs" dxfId="7680" priority="81" stopIfTrue="1" operator="between">
      <formula>0</formula>
      <formula>5</formula>
    </cfRule>
    <cfRule type="containsBlanks" dxfId="7679" priority="82" stopIfTrue="1">
      <formula>LEN(TRIM(Q138))=0</formula>
    </cfRule>
  </conditionalFormatting>
  <conditionalFormatting sqref="E138:P138">
    <cfRule type="containsBlanks" dxfId="7678" priority="69" stopIfTrue="1">
      <formula>LEN(TRIM(E138))=0</formula>
    </cfRule>
    <cfRule type="cellIs" dxfId="7677" priority="70" stopIfTrue="1" operator="between">
      <formula>79.1</formula>
      <formula>100</formula>
    </cfRule>
    <cfRule type="cellIs" dxfId="7676" priority="71" stopIfTrue="1" operator="between">
      <formula>34.1</formula>
      <formula>79</formula>
    </cfRule>
    <cfRule type="cellIs" dxfId="7675" priority="72" stopIfTrue="1" operator="between">
      <formula>13.1</formula>
      <formula>34</formula>
    </cfRule>
    <cfRule type="cellIs" dxfId="7674" priority="73" stopIfTrue="1" operator="between">
      <formula>5.1</formula>
      <formula>13</formula>
    </cfRule>
    <cfRule type="cellIs" dxfId="7673" priority="74" stopIfTrue="1" operator="between">
      <formula>0</formula>
      <formula>5</formula>
    </cfRule>
    <cfRule type="containsBlanks" dxfId="7672" priority="75" stopIfTrue="1">
      <formula>LEN(TRIM(E138))=0</formula>
    </cfRule>
  </conditionalFormatting>
  <conditionalFormatting sqref="S138">
    <cfRule type="cellIs" dxfId="7671" priority="68" stopIfTrue="1" operator="equal">
      <formula>"INVIABLE SANITARIAMENTE"</formula>
    </cfRule>
  </conditionalFormatting>
  <conditionalFormatting sqref="S138">
    <cfRule type="containsText" dxfId="7670" priority="63" stopIfTrue="1" operator="containsText" text="INVIABLE SANITARIAMENTE">
      <formula>NOT(ISERROR(SEARCH("INVIABLE SANITARIAMENTE",S138)))</formula>
    </cfRule>
    <cfRule type="containsText" dxfId="7669" priority="64" stopIfTrue="1" operator="containsText" text="ALTO">
      <formula>NOT(ISERROR(SEARCH("ALTO",S138)))</formula>
    </cfRule>
    <cfRule type="containsText" dxfId="7668" priority="65" stopIfTrue="1" operator="containsText" text="MEDIO">
      <formula>NOT(ISERROR(SEARCH("MEDIO",S138)))</formula>
    </cfRule>
    <cfRule type="containsText" dxfId="7667" priority="66" stopIfTrue="1" operator="containsText" text="BAJO">
      <formula>NOT(ISERROR(SEARCH("BAJO",S138)))</formula>
    </cfRule>
    <cfRule type="containsText" dxfId="7666" priority="67" stopIfTrue="1" operator="containsText" text="SIN RIESGO">
      <formula>NOT(ISERROR(SEARCH("SIN RIESGO",S138)))</formula>
    </cfRule>
  </conditionalFormatting>
  <conditionalFormatting sqref="S138">
    <cfRule type="containsText" dxfId="7665" priority="62" stopIfTrue="1" operator="containsText" text="SIN RIESGO">
      <formula>NOT(ISERROR(SEARCH("SIN RIESGO",S138)))</formula>
    </cfRule>
  </conditionalFormatting>
  <conditionalFormatting sqref="R183">
    <cfRule type="cellIs" dxfId="7664" priority="61" stopIfTrue="1" operator="equal">
      <formula>"NO"</formula>
    </cfRule>
  </conditionalFormatting>
  <conditionalFormatting sqref="E183:Q183">
    <cfRule type="containsBlanks" dxfId="7663" priority="52" stopIfTrue="1">
      <formula>LEN(TRIM(E183))=0</formula>
    </cfRule>
    <cfRule type="cellIs" dxfId="7662" priority="53" stopIfTrue="1" operator="between">
      <formula>80.1</formula>
      <formula>100</formula>
    </cfRule>
    <cfRule type="cellIs" dxfId="7661" priority="54" stopIfTrue="1" operator="between">
      <formula>35.1</formula>
      <formula>80</formula>
    </cfRule>
    <cfRule type="cellIs" dxfId="7660" priority="55" stopIfTrue="1" operator="between">
      <formula>14.1</formula>
      <formula>35</formula>
    </cfRule>
    <cfRule type="cellIs" dxfId="7659" priority="56" stopIfTrue="1" operator="between">
      <formula>5.1</formula>
      <formula>14</formula>
    </cfRule>
    <cfRule type="cellIs" dxfId="7658" priority="57" stopIfTrue="1" operator="between">
      <formula>0</formula>
      <formula>5</formula>
    </cfRule>
    <cfRule type="containsBlanks" dxfId="7657" priority="58" stopIfTrue="1">
      <formula>LEN(TRIM(E183))=0</formula>
    </cfRule>
  </conditionalFormatting>
  <conditionalFormatting sqref="E183:P183">
    <cfRule type="containsBlanks" dxfId="7656" priority="45" stopIfTrue="1">
      <formula>LEN(TRIM(E183))=0</formula>
    </cfRule>
    <cfRule type="cellIs" dxfId="7655" priority="46" stopIfTrue="1" operator="between">
      <formula>80.1</formula>
      <formula>100</formula>
    </cfRule>
    <cfRule type="cellIs" dxfId="7654" priority="47" stopIfTrue="1" operator="between">
      <formula>35.1</formula>
      <formula>80</formula>
    </cfRule>
    <cfRule type="cellIs" dxfId="7653" priority="48" stopIfTrue="1" operator="between">
      <formula>14.1</formula>
      <formula>35</formula>
    </cfRule>
    <cfRule type="cellIs" dxfId="7652" priority="49" stopIfTrue="1" operator="between">
      <formula>5.1</formula>
      <formula>14</formula>
    </cfRule>
    <cfRule type="cellIs" dxfId="7651" priority="50" stopIfTrue="1" operator="between">
      <formula>0</formula>
      <formula>5</formula>
    </cfRule>
    <cfRule type="containsBlanks" dxfId="7650" priority="51" stopIfTrue="1">
      <formula>LEN(TRIM(E183))=0</formula>
    </cfRule>
  </conditionalFormatting>
  <conditionalFormatting sqref="E207:P207">
    <cfRule type="containsBlanks" dxfId="7649" priority="31" stopIfTrue="1">
      <formula>LEN(TRIM(E207))=0</formula>
    </cfRule>
    <cfRule type="cellIs" dxfId="7648" priority="32" stopIfTrue="1" operator="between">
      <formula>80.1</formula>
      <formula>100</formula>
    </cfRule>
    <cfRule type="cellIs" dxfId="7647" priority="33" stopIfTrue="1" operator="between">
      <formula>35.1</formula>
      <formula>80</formula>
    </cfRule>
    <cfRule type="cellIs" dxfId="7646" priority="34" stopIfTrue="1" operator="between">
      <formula>14.1</formula>
      <formula>35</formula>
    </cfRule>
    <cfRule type="cellIs" dxfId="7645" priority="35" stopIfTrue="1" operator="between">
      <formula>5.1</formula>
      <formula>14</formula>
    </cfRule>
    <cfRule type="cellIs" dxfId="7644" priority="36" stopIfTrue="1" operator="between">
      <formula>0</formula>
      <formula>5</formula>
    </cfRule>
    <cfRule type="containsBlanks" dxfId="7643" priority="37" stopIfTrue="1">
      <formula>LEN(TRIM(E207))=0</formula>
    </cfRule>
  </conditionalFormatting>
  <conditionalFormatting sqref="Q207">
    <cfRule type="containsBlanks" dxfId="7642" priority="24" stopIfTrue="1">
      <formula>LEN(TRIM(Q207))=0</formula>
    </cfRule>
    <cfRule type="cellIs" dxfId="7641" priority="25" stopIfTrue="1" operator="between">
      <formula>80.1</formula>
      <formula>100</formula>
    </cfRule>
    <cfRule type="cellIs" dxfId="7640" priority="26" stopIfTrue="1" operator="between">
      <formula>35.1</formula>
      <formula>80</formula>
    </cfRule>
    <cfRule type="cellIs" dxfId="7639" priority="27" stopIfTrue="1" operator="between">
      <formula>14.1</formula>
      <formula>35</formula>
    </cfRule>
    <cfRule type="cellIs" dxfId="7638" priority="28" stopIfTrue="1" operator="between">
      <formula>5.1</formula>
      <formula>14</formula>
    </cfRule>
    <cfRule type="cellIs" dxfId="7637" priority="29" stopIfTrue="1" operator="between">
      <formula>0</formula>
      <formula>5</formula>
    </cfRule>
    <cfRule type="containsBlanks" dxfId="7636" priority="30" stopIfTrue="1">
      <formula>LEN(TRIM(Q207))=0</formula>
    </cfRule>
  </conditionalFormatting>
  <conditionalFormatting sqref="R207">
    <cfRule type="cellIs" dxfId="7635" priority="23" stopIfTrue="1" operator="equal">
      <formula>"NO"</formula>
    </cfRule>
  </conditionalFormatting>
  <conditionalFormatting sqref="E227:Q227">
    <cfRule type="containsBlanks" dxfId="7634" priority="9" stopIfTrue="1">
      <formula>LEN(TRIM(E227))=0</formula>
    </cfRule>
    <cfRule type="cellIs" dxfId="7633" priority="10" stopIfTrue="1" operator="between">
      <formula>80.1</formula>
      <formula>100</formula>
    </cfRule>
    <cfRule type="cellIs" dxfId="7632" priority="11" stopIfTrue="1" operator="between">
      <formula>35.1</formula>
      <formula>80</formula>
    </cfRule>
    <cfRule type="cellIs" dxfId="7631" priority="12" stopIfTrue="1" operator="between">
      <formula>14.1</formula>
      <formula>35</formula>
    </cfRule>
    <cfRule type="cellIs" dxfId="7630" priority="13" stopIfTrue="1" operator="between">
      <formula>5.1</formula>
      <formula>14</formula>
    </cfRule>
    <cfRule type="cellIs" dxfId="7629" priority="14" stopIfTrue="1" operator="between">
      <formula>0</formula>
      <formula>5</formula>
    </cfRule>
    <cfRule type="containsBlanks" dxfId="7628" priority="15" stopIfTrue="1">
      <formula>LEN(TRIM(E227))=0</formula>
    </cfRule>
  </conditionalFormatting>
  <conditionalFormatting sqref="R227">
    <cfRule type="cellIs" dxfId="7627" priority="8" stopIfTrue="1" operator="equal">
      <formula>"NO"</formula>
    </cfRule>
  </conditionalFormatting>
  <conditionalFormatting sqref="S141:S233">
    <cfRule type="cellIs" dxfId="7626" priority="2" stopIfTrue="1" operator="equal">
      <formula>"INVIABLE SANITARIAMENTE"</formula>
    </cfRule>
  </conditionalFormatting>
  <conditionalFormatting sqref="S141:S233">
    <cfRule type="containsText" dxfId="7625" priority="1" stopIfTrue="1" operator="containsText" text="SIN RIESGO">
      <formula>NOT(ISERROR(SEARCH("SIN RIESGO",S141)))</formula>
    </cfRule>
  </conditionalFormatting>
  <printOptions horizontalCentered="1"/>
  <pageMargins left="0.28999999999999998" right="0.2" top="0.6692913385826772" bottom="0.9055118110236221" header="0.43" footer="0.59055118110236227"/>
  <pageSetup paperSize="14" scale="75" orientation="landscape" r:id="rId5"/>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drawing r:id="rId6"/>
  <legacy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I142"/>
  <sheetViews>
    <sheetView zoomScale="70" zoomScaleNormal="70" workbookViewId="0">
      <selection activeCell="B17" sqref="B17"/>
    </sheetView>
  </sheetViews>
  <sheetFormatPr baseColWidth="10" defaultRowHeight="12.75" x14ac:dyDescent="0.2"/>
  <cols>
    <col min="1" max="1" width="42.85546875" customWidth="1"/>
    <col min="2" max="2" width="29.5703125" bestFit="1" customWidth="1"/>
    <col min="3" max="3" width="25.140625" customWidth="1"/>
    <col min="4" max="4" width="28.42578125" customWidth="1"/>
    <col min="5" max="5" width="45.85546875" customWidth="1"/>
    <col min="6" max="6" width="25" style="4" customWidth="1"/>
  </cols>
  <sheetData>
    <row r="1" spans="1:6" ht="18" x14ac:dyDescent="0.25">
      <c r="B1" s="61" t="s">
        <v>254</v>
      </c>
      <c r="C1" s="60"/>
      <c r="D1" s="60"/>
    </row>
    <row r="2" spans="1:6" ht="18" x14ac:dyDescent="0.25">
      <c r="B2" s="61" t="s">
        <v>4587</v>
      </c>
      <c r="C2" s="60"/>
      <c r="D2" s="60"/>
    </row>
    <row r="3" spans="1:6" s="200" customFormat="1" ht="18" x14ac:dyDescent="0.25">
      <c r="B3" s="60" t="s">
        <v>4629</v>
      </c>
      <c r="C3" s="60"/>
      <c r="D3" s="60"/>
      <c r="F3" s="4"/>
    </row>
    <row r="4" spans="1:6" ht="18" x14ac:dyDescent="0.25">
      <c r="B4" s="60" t="s">
        <v>4120</v>
      </c>
      <c r="C4" s="312"/>
      <c r="D4" s="312"/>
    </row>
    <row r="5" spans="1:6" s="200" customFormat="1" ht="18" x14ac:dyDescent="0.25">
      <c r="B5" s="347" t="s">
        <v>4628</v>
      </c>
      <c r="C5" s="347"/>
      <c r="D5" s="347"/>
      <c r="F5" s="4"/>
    </row>
    <row r="6" spans="1:6" ht="20.25" customHeight="1" x14ac:dyDescent="0.2"/>
    <row r="7" spans="1:6" ht="54" customHeight="1" x14ac:dyDescent="0.2">
      <c r="A7" s="59" t="s">
        <v>99</v>
      </c>
      <c r="B7" s="295" t="s">
        <v>37</v>
      </c>
      <c r="C7" s="295" t="s">
        <v>100</v>
      </c>
      <c r="D7" s="295" t="s">
        <v>101</v>
      </c>
      <c r="E7" s="296" t="s">
        <v>4630</v>
      </c>
      <c r="F7" s="296" t="s">
        <v>4584</v>
      </c>
    </row>
    <row r="8" spans="1:6" ht="24.95" customHeight="1" x14ac:dyDescent="0.2">
      <c r="A8" s="348" t="s">
        <v>103</v>
      </c>
      <c r="B8" s="293" t="s">
        <v>104</v>
      </c>
      <c r="C8" s="55">
        <v>52</v>
      </c>
      <c r="D8" s="210">
        <f>COUNTIF('VALLE DE ABURRA'!A:A, "Medellín")-COUNTIFS('VALLE DE ABURRA'!A:A,"Medellín",'VALLE DE ABURRA'!C:C,"")</f>
        <v>29</v>
      </c>
      <c r="E8" s="291">
        <v>96965.433000000005</v>
      </c>
      <c r="F8" s="289">
        <v>96.3</v>
      </c>
    </row>
    <row r="9" spans="1:6" ht="24.95" customHeight="1" x14ac:dyDescent="0.2">
      <c r="A9" s="348"/>
      <c r="B9" s="293" t="s">
        <v>78</v>
      </c>
      <c r="C9" s="55">
        <v>56</v>
      </c>
      <c r="D9" s="55">
        <f>COUNTIF('VALLE DE ABURRA'!A:A, "Barbosa")-COUNTIFS('VALLE DE ABURRA'!A:A,"Barbosa",'VALLE DE ABURRA'!C:C,"")</f>
        <v>66</v>
      </c>
      <c r="E9" s="291">
        <v>6089.0017010418887</v>
      </c>
      <c r="F9" s="289">
        <v>54.752285775037215</v>
      </c>
    </row>
    <row r="10" spans="1:6" ht="24.95" customHeight="1" x14ac:dyDescent="0.2">
      <c r="A10" s="348"/>
      <c r="B10" s="293" t="s">
        <v>79</v>
      </c>
      <c r="C10" s="55">
        <v>20</v>
      </c>
      <c r="D10" s="55">
        <f>COUNTIF('VALLE DE ABURRA'!A:A, "Bello")-COUNTIFS('VALLE DE ABURRA'!A:A,"Bello",'VALLE DE ABURRA'!C:C,"")</f>
        <v>16</v>
      </c>
      <c r="E10" s="291">
        <v>3103.0293000000001</v>
      </c>
      <c r="F10" s="289">
        <v>44.31</v>
      </c>
    </row>
    <row r="11" spans="1:6" ht="24.95" customHeight="1" x14ac:dyDescent="0.2">
      <c r="A11" s="348"/>
      <c r="B11" s="293" t="s">
        <v>105</v>
      </c>
      <c r="C11" s="55">
        <v>20</v>
      </c>
      <c r="D11" s="55">
        <f>COUNTIF('VALLE DE ABURRA'!A:A, "Caldas")-COUNTIFS('VALLE DE ABURRA'!A:A,"Caldas",'VALLE DE ABURRA'!C:C,"")</f>
        <v>19</v>
      </c>
      <c r="E11" s="291">
        <v>3889.0676999999996</v>
      </c>
      <c r="F11" s="289">
        <v>77.209999999999994</v>
      </c>
    </row>
    <row r="12" spans="1:6" ht="24.95" customHeight="1" x14ac:dyDescent="0.2">
      <c r="A12" s="348"/>
      <c r="B12" s="293" t="s">
        <v>106</v>
      </c>
      <c r="C12" s="55">
        <v>15</v>
      </c>
      <c r="D12" s="55">
        <f>COUNTIF('VALLE DE ABURRA'!A:A, "Copacabana")-COUNTIFS('VALLE DE ABURRA'!A:A,"Copacabana",'VALLE DE ABURRA'!C:C,"")</f>
        <v>20</v>
      </c>
      <c r="E12" s="291">
        <v>3917.402</v>
      </c>
      <c r="F12" s="289">
        <v>81.8</v>
      </c>
    </row>
    <row r="13" spans="1:6" ht="24.95" customHeight="1" x14ac:dyDescent="0.2">
      <c r="A13" s="348"/>
      <c r="B13" s="293" t="s">
        <v>80</v>
      </c>
      <c r="C13" s="55">
        <v>25</v>
      </c>
      <c r="D13" s="55">
        <f>COUNTIF('VALLE DE ABURRA'!A:A, "Girardota")-COUNTIFS('VALLE DE ABURRA'!A:A,"Girardota",'VALLE DE ABURRA'!C:C,"")</f>
        <v>31</v>
      </c>
      <c r="E13" s="291">
        <v>2731.1718000000001</v>
      </c>
      <c r="F13" s="289">
        <v>78.89</v>
      </c>
    </row>
    <row r="14" spans="1:6" ht="24.95" customHeight="1" x14ac:dyDescent="0.2">
      <c r="A14" s="348"/>
      <c r="B14" s="293" t="s">
        <v>107</v>
      </c>
      <c r="C14" s="55">
        <v>8</v>
      </c>
      <c r="D14" s="55">
        <f>COUNTIF('VALLE DE ABURRA'!A:A, "Itagui")-COUNTIFS('VALLE DE ABURRA'!A:A,"Itagui",'VALLE DE ABURRA'!C:C,"")</f>
        <v>8</v>
      </c>
      <c r="E14" s="291">
        <v>5400.5713999999998</v>
      </c>
      <c r="F14" s="289">
        <v>77.14</v>
      </c>
    </row>
    <row r="15" spans="1:6" ht="24.95" customHeight="1" x14ac:dyDescent="0.2">
      <c r="A15" s="348"/>
      <c r="B15" s="293" t="s">
        <v>108</v>
      </c>
      <c r="C15" s="55">
        <v>6</v>
      </c>
      <c r="D15" s="55">
        <f>COUNTIF('VALLE DE ABURRA'!A:A, "Envigado")-COUNTIFS('VALLE DE ABURRA'!A:A,"Envigado",'VALLE DE ABURRA'!C:C,"")</f>
        <v>15</v>
      </c>
      <c r="E15" s="291">
        <v>7201.4968000000008</v>
      </c>
      <c r="F15" s="290">
        <v>89.26</v>
      </c>
    </row>
    <row r="16" spans="1:6" ht="24.95" customHeight="1" x14ac:dyDescent="0.2">
      <c r="A16" s="348"/>
      <c r="B16" s="293" t="s">
        <v>109</v>
      </c>
      <c r="C16" s="55">
        <v>6</v>
      </c>
      <c r="D16" s="55">
        <f>COUNTIF('VALLE DE ABURRA'!A:A, "Sabaneta")-COUNTIFS('VALLE DE ABURRA'!A:A,"Sabaneta",'VALLE DE ABURRA'!C:C,"")</f>
        <v>8</v>
      </c>
      <c r="E16" s="291">
        <v>3071.0611000000004</v>
      </c>
      <c r="F16" s="289">
        <v>86.29</v>
      </c>
    </row>
    <row r="17" spans="1:6" ht="24.95" customHeight="1" x14ac:dyDescent="0.2">
      <c r="A17" s="348"/>
      <c r="B17" s="293" t="s">
        <v>110</v>
      </c>
      <c r="C17" s="55">
        <v>14</v>
      </c>
      <c r="D17" s="55">
        <f>COUNTIF('VALLE DE ABURRA'!A:A, "La Estrella")-COUNTIFS('VALLE DE ABURRA'!A:A,"La Estrella",'VALLE DE ABURRA'!C:C,"")</f>
        <v>11</v>
      </c>
      <c r="E17" s="291">
        <v>3546.9989999999998</v>
      </c>
      <c r="F17" s="289">
        <v>98.94</v>
      </c>
    </row>
    <row r="18" spans="1:6" ht="24.95" customHeight="1" x14ac:dyDescent="0.2">
      <c r="A18" s="349"/>
      <c r="B18" s="294" t="s">
        <v>111</v>
      </c>
      <c r="C18" s="44">
        <f>SUM(C8:C17)</f>
        <v>222</v>
      </c>
      <c r="D18" s="44">
        <f>SUM(D8:D17)</f>
        <v>223</v>
      </c>
      <c r="E18" s="311">
        <f>SUM(E8:E17)</f>
        <v>135915.2338010419</v>
      </c>
      <c r="F18" s="508">
        <v>88.08</v>
      </c>
    </row>
    <row r="19" spans="1:6" ht="24.95" customHeight="1" x14ac:dyDescent="0.2">
      <c r="A19" s="348" t="s">
        <v>112</v>
      </c>
      <c r="B19" s="293" t="s">
        <v>3935</v>
      </c>
      <c r="C19" s="55">
        <v>50</v>
      </c>
      <c r="D19" s="210">
        <f>COUNTIF(URABA!A:A, "Apartadó")-COUNTIFS(URABA!A:A,"Apartadó",URABA!C:C,"")</f>
        <v>10</v>
      </c>
      <c r="E19" s="291">
        <v>4291.5904</v>
      </c>
      <c r="F19" s="292">
        <v>69.13</v>
      </c>
    </row>
    <row r="20" spans="1:6" ht="24.95" customHeight="1" x14ac:dyDescent="0.2">
      <c r="A20" s="348"/>
      <c r="B20" s="293" t="s">
        <v>114</v>
      </c>
      <c r="C20" s="55">
        <v>62</v>
      </c>
      <c r="D20" s="55">
        <f>COUNTIF(URABA!A:A, "Arboletes")-COUNTIFS(URABA!A:A,"Arboletes",URABA!C:C,"")</f>
        <v>25</v>
      </c>
      <c r="E20" s="291">
        <v>1865.2031999999997</v>
      </c>
      <c r="F20" s="292">
        <v>35.979999999999997</v>
      </c>
    </row>
    <row r="21" spans="1:6" ht="24.95" customHeight="1" x14ac:dyDescent="0.2">
      <c r="A21" s="348"/>
      <c r="B21" s="293" t="s">
        <v>115</v>
      </c>
      <c r="C21" s="55">
        <v>31</v>
      </c>
      <c r="D21" s="55">
        <f>COUNTIF(URABA!A:A, "Carepa")-COUNTIFS(URABA!A:A,"Carepa",URABA!C:C,"")</f>
        <v>17</v>
      </c>
      <c r="E21" s="291">
        <v>1961.34</v>
      </c>
      <c r="F21" s="292">
        <v>50.55</v>
      </c>
    </row>
    <row r="22" spans="1:6" ht="24.95" customHeight="1" x14ac:dyDescent="0.2">
      <c r="A22" s="348"/>
      <c r="B22" s="293" t="s">
        <v>3937</v>
      </c>
      <c r="C22" s="55">
        <v>30</v>
      </c>
      <c r="D22" s="213">
        <f>COUNTIF(URABA!A:A, "Chigorodó")-COUNTIFS(URABA!A:A,"Chigorodó",URABA!C:C,"")</f>
        <v>4</v>
      </c>
      <c r="E22" s="291">
        <v>359</v>
      </c>
      <c r="F22" s="292">
        <v>13.702290076335878</v>
      </c>
    </row>
    <row r="23" spans="1:6" ht="24.95" customHeight="1" x14ac:dyDescent="0.2">
      <c r="A23" s="348"/>
      <c r="B23" s="293" t="s">
        <v>82</v>
      </c>
      <c r="C23" s="55">
        <v>20</v>
      </c>
      <c r="D23" s="213">
        <f>COUNTIF(URABA!A:A, "Murindo")-COUNTIFS(URABA!A:A,"Murindo",URABA!C:C,"")</f>
        <v>0</v>
      </c>
      <c r="E23" s="291">
        <v>12.716763005780344</v>
      </c>
      <c r="F23" s="292">
        <v>1.9267822736030826</v>
      </c>
    </row>
    <row r="24" spans="1:6" ht="24.95" customHeight="1" x14ac:dyDescent="0.2">
      <c r="A24" s="348"/>
      <c r="B24" s="293" t="s">
        <v>3936</v>
      </c>
      <c r="C24" s="55">
        <v>38</v>
      </c>
      <c r="D24" s="213">
        <f>COUNTIF(URABA!A:A, "Mutatá")-COUNTIFS(URABA!A:A,"Mutatá",URABA!C:C,"")</f>
        <v>14</v>
      </c>
      <c r="E24" s="291">
        <v>569.74</v>
      </c>
      <c r="F24" s="292">
        <v>24.4</v>
      </c>
    </row>
    <row r="25" spans="1:6" ht="24.95" customHeight="1" x14ac:dyDescent="0.2">
      <c r="A25" s="348"/>
      <c r="B25" s="293" t="s">
        <v>3938</v>
      </c>
      <c r="C25" s="55">
        <v>105</v>
      </c>
      <c r="D25" s="213">
        <f>COUNTIF(URABA!A:A, "Necoclí")-COUNTIFS(URABA!A:A,"Necoclí",URABA!C:C,"")</f>
        <v>23</v>
      </c>
      <c r="E25" s="291">
        <v>1571.0936000000002</v>
      </c>
      <c r="F25" s="292">
        <v>18.82</v>
      </c>
    </row>
    <row r="26" spans="1:6" ht="24.95" customHeight="1" x14ac:dyDescent="0.2">
      <c r="A26" s="348"/>
      <c r="B26" s="293" t="s">
        <v>119</v>
      </c>
      <c r="C26" s="55">
        <v>36</v>
      </c>
      <c r="D26" s="213">
        <f>COUNTIF(URABA!A:A, "San Juan De Urabá")-COUNTIFS(URABA!A:A,"San Juan De Urabá",URABA!C:C,"")</f>
        <v>4</v>
      </c>
      <c r="E26" s="291">
        <v>443.01690000000002</v>
      </c>
      <c r="F26" s="292">
        <v>12.33</v>
      </c>
    </row>
    <row r="27" spans="1:6" ht="24.95" customHeight="1" x14ac:dyDescent="0.2">
      <c r="A27" s="348"/>
      <c r="B27" s="293" t="s">
        <v>120</v>
      </c>
      <c r="C27" s="55">
        <v>59</v>
      </c>
      <c r="D27" s="213">
        <f>COUNTIF(URABA!A:A, "San Pedro de Urabá")-COUNTIFS(URABA!A:A,"San Pedro de Urabá",URABA!C:C,"")</f>
        <v>6</v>
      </c>
      <c r="E27" s="291">
        <v>379.06119999999993</v>
      </c>
      <c r="F27" s="292">
        <v>8.18</v>
      </c>
    </row>
    <row r="28" spans="1:6" ht="24.95" customHeight="1" x14ac:dyDescent="0.2">
      <c r="A28" s="348"/>
      <c r="B28" s="293" t="s">
        <v>121</v>
      </c>
      <c r="C28" s="55">
        <v>29</v>
      </c>
      <c r="D28" s="55">
        <f>COUNTIF(URABA!A:A,"Vigia del Fuerte")-COUNTIFS(URABA!A:A,"Vigia del fuerte",URABA!C:C,"")</f>
        <v>0</v>
      </c>
      <c r="E28" s="291">
        <v>10474.9737</v>
      </c>
      <c r="F28" s="292">
        <v>51.27</v>
      </c>
    </row>
    <row r="29" spans="1:6" ht="24.95" customHeight="1" x14ac:dyDescent="0.2">
      <c r="A29" s="348"/>
      <c r="B29" s="293" t="s">
        <v>122</v>
      </c>
      <c r="C29" s="55">
        <v>219</v>
      </c>
      <c r="D29" s="213">
        <f>COUNTIF(URABA!A:A,"Turbo")-COUNTIFS(URABA!A:A,"Turbo",URABA!C:C,"")</f>
        <v>14</v>
      </c>
      <c r="E29" s="291">
        <v>130.33439999999999</v>
      </c>
      <c r="F29" s="292">
        <v>8.6199999999999992</v>
      </c>
    </row>
    <row r="30" spans="1:6" ht="24.95" customHeight="1" x14ac:dyDescent="0.2">
      <c r="A30" s="349"/>
      <c r="B30" s="294" t="s">
        <v>111</v>
      </c>
      <c r="C30" s="44">
        <f>SUM(C19:C29)</f>
        <v>679</v>
      </c>
      <c r="D30" s="44">
        <f>SUM(D19:D29)</f>
        <v>117</v>
      </c>
      <c r="E30" s="311">
        <f>SUM(E19:E29)</f>
        <v>22058.070163005781</v>
      </c>
      <c r="F30" s="508">
        <v>37.130000000000003</v>
      </c>
    </row>
    <row r="31" spans="1:6" ht="24.95" customHeight="1" x14ac:dyDescent="0.2">
      <c r="A31" s="348" t="s">
        <v>123</v>
      </c>
      <c r="B31" s="293" t="s">
        <v>124</v>
      </c>
      <c r="C31" s="55">
        <v>46</v>
      </c>
      <c r="D31" s="55">
        <f>COUNTIF(NORTE!A:A,"Angostura")-COUNTIFS(NORTE!A:A,"Angostura",NORTE!C:C,"")</f>
        <v>24</v>
      </c>
      <c r="E31" s="291">
        <v>1604.4477999999999</v>
      </c>
      <c r="F31" s="292">
        <v>65.81</v>
      </c>
    </row>
    <row r="32" spans="1:6" ht="24.95" customHeight="1" x14ac:dyDescent="0.2">
      <c r="A32" s="348"/>
      <c r="B32" s="293" t="s">
        <v>125</v>
      </c>
      <c r="C32" s="55">
        <v>15</v>
      </c>
      <c r="D32" s="55">
        <f>COUNTIF(NORTE!A:A,"Belmira")-COUNTIFS(NORTE!A:A,"Belmira",NORTE!C:C,"")</f>
        <v>9</v>
      </c>
      <c r="E32" s="291">
        <v>466.2</v>
      </c>
      <c r="F32" s="292">
        <v>38.85</v>
      </c>
    </row>
    <row r="33" spans="1:9" ht="24.95" customHeight="1" x14ac:dyDescent="0.2">
      <c r="A33" s="348"/>
      <c r="B33" s="293" t="s">
        <v>126</v>
      </c>
      <c r="C33" s="55">
        <v>38</v>
      </c>
      <c r="D33" s="55">
        <f>COUNTIF(NORTE!A:A,"Briceño")-COUNTIFS(NORTE!A:A,"Briceño",NORTE!C:C,"")</f>
        <v>13</v>
      </c>
      <c r="E33" s="291">
        <v>465.11479999999995</v>
      </c>
      <c r="F33" s="292">
        <v>28.43</v>
      </c>
    </row>
    <row r="34" spans="1:9" ht="24.95" customHeight="1" x14ac:dyDescent="0.2">
      <c r="A34" s="348"/>
      <c r="B34" s="293" t="s">
        <v>127</v>
      </c>
      <c r="C34" s="55">
        <v>43</v>
      </c>
      <c r="D34" s="55">
        <f>COUNTIF(NORTE!A:A,"Campamento")-COUNTIFS(NORTE!A:A,"Campamento",NORTE!C:C,"")</f>
        <v>17</v>
      </c>
      <c r="E34" s="291">
        <v>522.23339999999996</v>
      </c>
      <c r="F34" s="292">
        <v>29.11</v>
      </c>
    </row>
    <row r="35" spans="1:9" ht="24.95" customHeight="1" x14ac:dyDescent="0.2">
      <c r="A35" s="348"/>
      <c r="B35" s="293" t="s">
        <v>128</v>
      </c>
      <c r="C35" s="55">
        <v>6</v>
      </c>
      <c r="D35" s="213">
        <f>COUNTIF(NORTE!A:A,"Carolina del Príncipe")-COUNTIFS(NORTE!A:A,"Carolina del Príncipe",NORTE!C:C,"")</f>
        <v>7</v>
      </c>
      <c r="E35" s="291">
        <v>125.9263</v>
      </c>
      <c r="F35" s="292">
        <v>36.29</v>
      </c>
    </row>
    <row r="36" spans="1:9" ht="24.95" customHeight="1" x14ac:dyDescent="0.2">
      <c r="A36" s="348"/>
      <c r="B36" s="293" t="s">
        <v>129</v>
      </c>
      <c r="C36" s="55">
        <v>19</v>
      </c>
      <c r="D36" s="213">
        <f>COUNTIF(NORTE!A:A,"Don Matías")-COUNTIFS(NORTE!A:A,"Don Matías",NORTE!C:C,"")</f>
        <v>5</v>
      </c>
      <c r="E36" s="291">
        <v>1107.0178000000001</v>
      </c>
      <c r="F36" s="292">
        <v>52.54</v>
      </c>
    </row>
    <row r="37" spans="1:9" ht="24.95" customHeight="1" x14ac:dyDescent="0.2">
      <c r="A37" s="348"/>
      <c r="B37" s="293" t="s">
        <v>3939</v>
      </c>
      <c r="C37" s="55">
        <v>11</v>
      </c>
      <c r="D37" s="213">
        <f>COUNTIF(NORTE!A:A,"Entrerríos")-COUNTIFS(NORTE!A:A,"Entrerríos",NORTE!C:C,"")</f>
        <v>11</v>
      </c>
      <c r="E37" s="291">
        <v>986.34949999999992</v>
      </c>
      <c r="F37" s="292">
        <v>61.15</v>
      </c>
    </row>
    <row r="38" spans="1:9" ht="24.95" customHeight="1" x14ac:dyDescent="0.2">
      <c r="A38" s="348"/>
      <c r="B38" s="293" t="s">
        <v>130</v>
      </c>
      <c r="C38" s="55">
        <v>28</v>
      </c>
      <c r="D38" s="213">
        <f>COUNTIF(NORTE!A:A,"Gómez Plata")-COUNTIFS(NORTE!A:A,"Gómez Plata",NORTE!C:C,"")</f>
        <v>21</v>
      </c>
      <c r="E38" s="291">
        <v>783.77190000000007</v>
      </c>
      <c r="F38" s="292">
        <v>49.89</v>
      </c>
    </row>
    <row r="39" spans="1:9" ht="24.95" customHeight="1" x14ac:dyDescent="0.2">
      <c r="A39" s="348"/>
      <c r="B39" s="293" t="s">
        <v>131</v>
      </c>
      <c r="C39" s="55">
        <v>21</v>
      </c>
      <c r="D39" s="213">
        <f>COUNTIF(NORTE!A:A,"Guadalupe")-COUNTIFS(NORTE!A:A,"Guadalupe",NORTE!C:C,"")</f>
        <v>14</v>
      </c>
      <c r="E39" s="291">
        <v>446.589</v>
      </c>
      <c r="F39" s="292">
        <v>34.700000000000003</v>
      </c>
    </row>
    <row r="40" spans="1:9" ht="24.95" customHeight="1" x14ac:dyDescent="0.2">
      <c r="A40" s="348"/>
      <c r="B40" s="293" t="s">
        <v>132</v>
      </c>
      <c r="C40" s="55">
        <v>101</v>
      </c>
      <c r="D40" s="205">
        <f>COUNTIF(NORTE!A:A,"Ituango")-COUNTIFS(NORTE!A:A,"Ituango",NORTE!C:C,"")</f>
        <v>38</v>
      </c>
      <c r="E40" s="291">
        <v>1600.3970000000002</v>
      </c>
      <c r="F40" s="292">
        <v>40.06</v>
      </c>
    </row>
    <row r="41" spans="1:9" ht="24.95" customHeight="1" x14ac:dyDescent="0.2">
      <c r="A41" s="348"/>
      <c r="B41" s="293" t="s">
        <v>133</v>
      </c>
      <c r="C41" s="55">
        <v>33</v>
      </c>
      <c r="D41" s="213">
        <f>COUNTIF(NORTE!A:A,"San Andrés de Cuerquia")-COUNTIFS(NORTE!A:A,"San Andrés de Cuerquia",NORTE!C:C,"")</f>
        <v>20</v>
      </c>
      <c r="E41" s="291">
        <v>187.792</v>
      </c>
      <c r="F41" s="292">
        <v>15.52</v>
      </c>
    </row>
    <row r="42" spans="1:9" ht="24.95" customHeight="1" x14ac:dyDescent="0.2">
      <c r="A42" s="348"/>
      <c r="B42" s="293" t="s">
        <v>134</v>
      </c>
      <c r="C42" s="55">
        <v>8</v>
      </c>
      <c r="D42" s="213">
        <f>COUNTIF(NORTE!A:A,"San José de la Montaña")-COUNTIFS(NORTE!A:A,"San José de la Montaña",NORTE!C:C,"")</f>
        <v>4</v>
      </c>
      <c r="E42" s="291">
        <v>80.94319999999999</v>
      </c>
      <c r="F42" s="292">
        <v>22.36</v>
      </c>
    </row>
    <row r="43" spans="1:9" ht="24.95" customHeight="1" x14ac:dyDescent="0.2">
      <c r="A43" s="348"/>
      <c r="B43" s="293" t="s">
        <v>135</v>
      </c>
      <c r="C43" s="55">
        <v>20</v>
      </c>
      <c r="D43" s="205">
        <f>COUNTIF(NORTE!A:A,"San Pedro De Los Milagros")-COUNTIFS(NORTE!A:A,"San Pedro De Los Milagros",NORTE!C:C,"")</f>
        <v>16</v>
      </c>
      <c r="E43" s="291">
        <v>1861.2958000000001</v>
      </c>
      <c r="F43" s="292">
        <v>65.98</v>
      </c>
    </row>
    <row r="44" spans="1:9" ht="24.95" customHeight="1" x14ac:dyDescent="0.2">
      <c r="A44" s="348"/>
      <c r="B44" s="293" t="s">
        <v>136</v>
      </c>
      <c r="C44" s="55">
        <v>73</v>
      </c>
      <c r="D44" s="205">
        <f>COUNTIF(NORTE!A:A,"Santa Rosa De Osos")-COUNTIFS(NORTE!A:A,"Santa Rosa De Osos",NORTE!C:C,"")</f>
        <v>30</v>
      </c>
      <c r="E44" s="291">
        <v>1773.9103275957802</v>
      </c>
      <c r="F44" s="292">
        <v>38.173237090505275</v>
      </c>
    </row>
    <row r="45" spans="1:9" ht="24.95" customHeight="1" x14ac:dyDescent="0.2">
      <c r="A45" s="348"/>
      <c r="B45" s="293" t="s">
        <v>137</v>
      </c>
      <c r="C45" s="55">
        <v>20</v>
      </c>
      <c r="D45" s="205">
        <f>COUNTIF(NORTE!A:A,"Toledo")-COUNTIFS(NORTE!A:A,"Toledo",NORTE!C:C,"")</f>
        <v>12</v>
      </c>
      <c r="E45" s="291">
        <v>654</v>
      </c>
      <c r="F45" s="292">
        <v>67.214799588900306</v>
      </c>
    </row>
    <row r="46" spans="1:9" ht="24.95" customHeight="1" x14ac:dyDescent="0.2">
      <c r="A46" s="348"/>
      <c r="B46" s="293" t="s">
        <v>138</v>
      </c>
      <c r="C46" s="55">
        <v>36</v>
      </c>
      <c r="D46" s="205">
        <f>COUNTIF(NORTE!A:A,"Valdivia")-COUNTIFS(NORTE!A:A,"Valdivia",NORTE!C:C,"")</f>
        <v>8</v>
      </c>
      <c r="E46" s="291">
        <v>1377.4332000000002</v>
      </c>
      <c r="F46" s="292">
        <v>41.88</v>
      </c>
    </row>
    <row r="47" spans="1:9" ht="24.95" customHeight="1" x14ac:dyDescent="0.2">
      <c r="A47" s="348"/>
      <c r="B47" s="293" t="s">
        <v>139</v>
      </c>
      <c r="C47" s="55">
        <v>52</v>
      </c>
      <c r="D47" s="213">
        <f>COUNTIF(NORTE!A:A,"Yarumal")-COUNTIFS(NORTE!A:A,"Yarumal",NORTE!C:C,"")</f>
        <v>12</v>
      </c>
      <c r="E47" s="291">
        <v>1527.7847999999999</v>
      </c>
      <c r="F47" s="292">
        <v>43.44</v>
      </c>
    </row>
    <row r="48" spans="1:9" ht="24.95" customHeight="1" x14ac:dyDescent="0.2">
      <c r="A48" s="349"/>
      <c r="B48" s="294" t="s">
        <v>111</v>
      </c>
      <c r="C48" s="44">
        <f>SUM(C31:C47)</f>
        <v>570</v>
      </c>
      <c r="D48" s="44">
        <f>SUM(D31:D47)</f>
        <v>261</v>
      </c>
      <c r="E48" s="311">
        <f>SUM(E31:E47)</f>
        <v>15571.206827595779</v>
      </c>
      <c r="F48" s="508">
        <v>44.74</v>
      </c>
      <c r="I48" s="200">
        <f>COUNTIF(NORTE!A:A,"Don Matias")-COUNTIFS(NORTE!A:A,"Don Matias",NORTE!C:C,"")</f>
        <v>0</v>
      </c>
    </row>
    <row r="49" spans="1:6" ht="24.95" customHeight="1" x14ac:dyDescent="0.2">
      <c r="A49" s="348" t="s">
        <v>140</v>
      </c>
      <c r="B49" s="293" t="s">
        <v>3940</v>
      </c>
      <c r="C49" s="55">
        <v>12</v>
      </c>
      <c r="D49" s="213">
        <f>COUNTIF(OCCIDENTE!A:A, "Abriaquí")-COUNTIFS(OCCIDENTE!A:A,"Abriaquí",OCCIDENTE!C:C,"")</f>
        <v>7</v>
      </c>
      <c r="E49" s="291">
        <v>254.2936</v>
      </c>
      <c r="F49" s="292">
        <v>44.77</v>
      </c>
    </row>
    <row r="50" spans="1:6" ht="24.95" customHeight="1" x14ac:dyDescent="0.2">
      <c r="A50" s="348"/>
      <c r="B50" s="293" t="s">
        <v>3941</v>
      </c>
      <c r="C50" s="55">
        <v>17</v>
      </c>
      <c r="D50" s="213">
        <f>COUNTIF(OCCIDENTE!A:A, "Anzá")-COUNTIFS(OCCIDENTE!A:A,"Anzá",OCCIDENTE!C:C,"")</f>
        <v>18</v>
      </c>
      <c r="E50" s="291">
        <v>1208.6484</v>
      </c>
      <c r="F50" s="292">
        <v>67.56</v>
      </c>
    </row>
    <row r="51" spans="1:6" ht="24.95" customHeight="1" x14ac:dyDescent="0.2">
      <c r="A51" s="348"/>
      <c r="B51" s="293" t="s">
        <v>86</v>
      </c>
      <c r="C51" s="55">
        <v>10</v>
      </c>
      <c r="D51" s="55">
        <f>COUNTIF(OCCIDENTE!A:A, "Armenia")-COUNTIFS(OCCIDENTE!A:A,"Armenia",OCCIDENTE!C:C,"")</f>
        <v>4</v>
      </c>
      <c r="E51" s="291">
        <v>659.73959999999988</v>
      </c>
      <c r="F51" s="292">
        <v>57.72</v>
      </c>
    </row>
    <row r="52" spans="1:6" ht="24.95" customHeight="1" x14ac:dyDescent="0.2">
      <c r="A52" s="348"/>
      <c r="B52" s="293" t="s">
        <v>2650</v>
      </c>
      <c r="C52" s="55">
        <v>36</v>
      </c>
      <c r="D52" s="210">
        <f>COUNTIF(OCCIDENTE!A:A, "Buriticá")-COUNTIFS(OCCIDENTE!A:A,"Buriticá",OCCIDENTE!C:C,"")</f>
        <v>38</v>
      </c>
      <c r="E52" s="291">
        <v>1563.5790000000002</v>
      </c>
      <c r="F52" s="292">
        <v>77.790000000000006</v>
      </c>
    </row>
    <row r="53" spans="1:6" ht="24.95" customHeight="1" x14ac:dyDescent="0.2">
      <c r="A53" s="348"/>
      <c r="B53" s="293" t="s">
        <v>148</v>
      </c>
      <c r="C53" s="55">
        <v>61</v>
      </c>
      <c r="D53" s="210">
        <f>COUNTIF(OCCIDENTE!A:A, "Caicedo")-COUNTIFS(OCCIDENTE!A:A,"Caicedo",OCCIDENTE!C:C,"")</f>
        <v>18</v>
      </c>
      <c r="E53" s="291">
        <v>1382.6709000000001</v>
      </c>
      <c r="F53" s="292">
        <v>69.03</v>
      </c>
    </row>
    <row r="54" spans="1:6" ht="24.95" customHeight="1" x14ac:dyDescent="0.2">
      <c r="A54" s="348"/>
      <c r="B54" s="293" t="s">
        <v>231</v>
      </c>
      <c r="C54" s="55">
        <v>98</v>
      </c>
      <c r="D54" s="210">
        <f>COUNTIF(OCCIDENTE!A:A, "Cañasgordas")-COUNTIFS(OCCIDENTE!A:A,"Cañasgordas",OCCIDENTE!C:C,"")</f>
        <v>70</v>
      </c>
      <c r="E54" s="291">
        <v>1541.875</v>
      </c>
      <c r="F54" s="292">
        <v>49.34</v>
      </c>
    </row>
    <row r="55" spans="1:6" ht="24.95" customHeight="1" x14ac:dyDescent="0.2">
      <c r="A55" s="348"/>
      <c r="B55" s="293" t="s">
        <v>145</v>
      </c>
      <c r="C55" s="55">
        <v>33</v>
      </c>
      <c r="D55" s="213">
        <f>COUNTIF(OCCIDENTE!A:A, "Dabeiba")-COUNTIFS(OCCIDENTE!A:A,"Dabeiba",OCCIDENTE!C:C,"")</f>
        <v>29</v>
      </c>
      <c r="E55" s="291">
        <v>612.23399999999992</v>
      </c>
      <c r="F55" s="292">
        <v>16.95</v>
      </c>
    </row>
    <row r="56" spans="1:6" ht="24.95" customHeight="1" x14ac:dyDescent="0.2">
      <c r="A56" s="348"/>
      <c r="B56" s="293" t="s">
        <v>3942</v>
      </c>
      <c r="C56" s="55">
        <v>52</v>
      </c>
      <c r="D56" s="213">
        <f>COUNTIF(OCCIDENTE!A:A, "Ebéjico")-COUNTIFS(OCCIDENTE!A:A,"Ebéjico",OCCIDENTE!C:C,"")</f>
        <v>45</v>
      </c>
      <c r="E56" s="291">
        <v>3077.8403999999996</v>
      </c>
      <c r="F56" s="292">
        <v>88.52</v>
      </c>
    </row>
    <row r="57" spans="1:6" ht="24.95" customHeight="1" x14ac:dyDescent="0.2">
      <c r="A57" s="348"/>
      <c r="B57" s="293" t="s">
        <v>147</v>
      </c>
      <c r="C57" s="55">
        <v>19</v>
      </c>
      <c r="D57" s="213">
        <f>COUNTIF(OCCIDENTE!A:A, "Frontino")-COUNTIFS(OCCIDENTE!A:A,"Frontino",OCCIDENTE!C:C,"")</f>
        <v>46</v>
      </c>
      <c r="E57" s="291">
        <v>1435.9675</v>
      </c>
      <c r="F57" s="292">
        <v>47.47</v>
      </c>
    </row>
    <row r="58" spans="1:6" ht="24.95" customHeight="1" x14ac:dyDescent="0.2">
      <c r="A58" s="348"/>
      <c r="B58" s="293" t="s">
        <v>149</v>
      </c>
      <c r="C58" s="55">
        <v>15</v>
      </c>
      <c r="D58" s="55">
        <f>COUNTIF(OCCIDENTE!A:A, "Giraldo")-COUNTIFS(OCCIDENTE!A:A,"Giraldo",OCCIDENTE!C:C,"")</f>
        <v>22</v>
      </c>
      <c r="E58" s="291">
        <v>824.34260000000006</v>
      </c>
      <c r="F58" s="292">
        <v>79.34</v>
      </c>
    </row>
    <row r="59" spans="1:6" ht="24.95" customHeight="1" x14ac:dyDescent="0.2">
      <c r="A59" s="348"/>
      <c r="B59" s="293" t="s">
        <v>150</v>
      </c>
      <c r="C59" s="55">
        <v>18</v>
      </c>
      <c r="D59" s="55">
        <f>COUNTIF(OCCIDENTE!A:A, "Heliconia")-COUNTIFS(OCCIDENTE!A:A,"Heliconia",OCCIDENTE!C:C,"")</f>
        <v>13</v>
      </c>
      <c r="E59" s="291">
        <v>899.47500000000002</v>
      </c>
      <c r="F59" s="292">
        <v>89.5</v>
      </c>
    </row>
    <row r="60" spans="1:6" ht="24.95" customHeight="1" x14ac:dyDescent="0.2">
      <c r="A60" s="348"/>
      <c r="B60" s="293" t="s">
        <v>151</v>
      </c>
      <c r="C60" s="55">
        <v>37</v>
      </c>
      <c r="D60" s="232">
        <f>COUNTIF(OCCIDENTE!A:A, "Liborina")-COUNTIFS(OCCIDENTE!A:A,"Liborina",OCCIDENTE!C:C,"")</f>
        <v>34</v>
      </c>
      <c r="E60" s="291">
        <v>1950.6518000000003</v>
      </c>
      <c r="F60" s="292">
        <v>83.29</v>
      </c>
    </row>
    <row r="61" spans="1:6" ht="24.95" customHeight="1" x14ac:dyDescent="0.2">
      <c r="A61" s="348"/>
      <c r="B61" s="293" t="s">
        <v>3152</v>
      </c>
      <c r="C61" s="55">
        <v>11</v>
      </c>
      <c r="D61" s="213">
        <f>COUNTIF(OCCIDENTE!A:A, "Olaya")-COUNTIFS(OCCIDENTE!A:A,"Olaya",OCCIDENTE!C:C,"")</f>
        <v>8</v>
      </c>
      <c r="E61" s="291">
        <v>890.24299999999994</v>
      </c>
      <c r="F61" s="292">
        <v>90.38</v>
      </c>
    </row>
    <row r="62" spans="1:6" ht="24.95" customHeight="1" x14ac:dyDescent="0.2">
      <c r="A62" s="348"/>
      <c r="B62" s="293" t="s">
        <v>153</v>
      </c>
      <c r="C62" s="55">
        <v>36</v>
      </c>
      <c r="D62" s="55">
        <f>COUNTIF(OCCIDENTE!A:A, "Peque")-COUNTIFS(OCCIDENTE!A:A,"Peque",OCCIDENTE!C:C,"")</f>
        <v>35</v>
      </c>
      <c r="E62" s="291">
        <v>1481.604</v>
      </c>
      <c r="F62" s="292">
        <v>93.3</v>
      </c>
    </row>
    <row r="63" spans="1:6" ht="24.95" customHeight="1" x14ac:dyDescent="0.2">
      <c r="A63" s="348"/>
      <c r="B63" s="293" t="s">
        <v>154</v>
      </c>
      <c r="C63" s="55">
        <v>32</v>
      </c>
      <c r="D63" s="55">
        <f>COUNTIF(OCCIDENTE!A:A, "Sabanalarga")-COUNTIFS(OCCIDENTE!A:A,"Sabanalarga",OCCIDENTE!C:C,"")</f>
        <v>26</v>
      </c>
      <c r="E63" s="291">
        <v>1082.7739999999999</v>
      </c>
      <c r="F63" s="292">
        <v>60.83</v>
      </c>
    </row>
    <row r="64" spans="1:6" ht="24.95" customHeight="1" x14ac:dyDescent="0.2">
      <c r="A64" s="348"/>
      <c r="B64" s="293" t="s">
        <v>155</v>
      </c>
      <c r="C64" s="55">
        <v>37</v>
      </c>
      <c r="D64" s="213">
        <f>COUNTIF(OCCIDENTE!A:A, "San Jerónimo")-COUNTIFS(OCCIDENTE!A:A,"San Jerónimo",OCCIDENTE!C:C,"")</f>
        <v>28</v>
      </c>
      <c r="E64" s="291">
        <v>1848.2752000000003</v>
      </c>
      <c r="F64" s="292">
        <v>68.48</v>
      </c>
    </row>
    <row r="65" spans="1:6" ht="24.95" customHeight="1" x14ac:dyDescent="0.2">
      <c r="A65" s="348"/>
      <c r="B65" s="293" t="s">
        <v>3285</v>
      </c>
      <c r="C65" s="55">
        <v>42</v>
      </c>
      <c r="D65" s="213">
        <f>COUNTIF(OCCIDENTE!A:A, "Santafe de Antioquia")-COUNTIFS(OCCIDENTE!A:A,"Santafe de Antioquia",OCCIDENTE!C:C,"")</f>
        <v>37</v>
      </c>
      <c r="E65" s="291">
        <v>2071.0653000000002</v>
      </c>
      <c r="F65" s="292">
        <v>71.489999999999995</v>
      </c>
    </row>
    <row r="66" spans="1:6" ht="24.95" customHeight="1" x14ac:dyDescent="0.2">
      <c r="A66" s="348"/>
      <c r="B66" s="293" t="s">
        <v>4069</v>
      </c>
      <c r="C66" s="55">
        <v>31</v>
      </c>
      <c r="D66" s="213">
        <f>COUNTIF(OCCIDENTE!A:A, "Sopetrán")-COUNTIFS(OCCIDENTE!A:A,"Sopetrán",OCCIDENTE!C:C,"")</f>
        <v>27</v>
      </c>
      <c r="E66" s="291">
        <v>2292.1390000000001</v>
      </c>
      <c r="F66" s="292">
        <v>78.23</v>
      </c>
    </row>
    <row r="67" spans="1:6" ht="24.95" customHeight="1" x14ac:dyDescent="0.2">
      <c r="A67" s="349"/>
      <c r="B67" s="293" t="s">
        <v>158</v>
      </c>
      <c r="C67" s="55">
        <v>42</v>
      </c>
      <c r="D67" s="213">
        <f>COUNTIF(OCCIDENTE!A:A, "Uramita")-COUNTIFS(OCCIDENTE!A:A,"Uramita",OCCIDENTE!C:C,"")</f>
        <v>17</v>
      </c>
      <c r="E67" s="291">
        <v>350.8614</v>
      </c>
      <c r="F67" s="292">
        <v>25.26</v>
      </c>
    </row>
    <row r="68" spans="1:6" ht="24.95" customHeight="1" x14ac:dyDescent="0.2">
      <c r="A68" s="349"/>
      <c r="B68" s="294" t="s">
        <v>111</v>
      </c>
      <c r="C68" s="44">
        <f>SUM(C49:C67)</f>
        <v>639</v>
      </c>
      <c r="D68" s="44">
        <f>SUM(D49:D67)</f>
        <v>522</v>
      </c>
      <c r="E68" s="311">
        <f>SUM(E49:E67)</f>
        <v>25428.279700000003</v>
      </c>
      <c r="F68" s="508">
        <v>64.53</v>
      </c>
    </row>
    <row r="69" spans="1:6" ht="24.95" customHeight="1" x14ac:dyDescent="0.2">
      <c r="A69" s="348" t="s">
        <v>159</v>
      </c>
      <c r="B69" s="293" t="s">
        <v>3943</v>
      </c>
      <c r="C69" s="55">
        <v>21</v>
      </c>
      <c r="D69" s="213">
        <f>COUNTIF(SUROESTE!A:A, "Amagá")-COUNTIFS(SUROESTE!A:A,"Amagá",SUROESTE!C:C,"")</f>
        <v>34</v>
      </c>
      <c r="E69" s="291">
        <v>4737.1444000000001</v>
      </c>
      <c r="F69" s="291">
        <v>92.36</v>
      </c>
    </row>
    <row r="70" spans="1:6" ht="24.95" customHeight="1" x14ac:dyDescent="0.2">
      <c r="A70" s="348"/>
      <c r="B70" s="293" t="s">
        <v>161</v>
      </c>
      <c r="C70" s="55">
        <v>62</v>
      </c>
      <c r="D70" s="55">
        <f>COUNTIF(SUROESTE!A:A, "Andes")-COUNTIFS(SUROESTE!A:A,"Andes",SUROESTE!C:C,"")</f>
        <v>59</v>
      </c>
      <c r="E70" s="291">
        <v>2588.7004000000002</v>
      </c>
      <c r="F70" s="291">
        <v>36.74</v>
      </c>
    </row>
    <row r="71" spans="1:6" ht="24.95" customHeight="1" x14ac:dyDescent="0.2">
      <c r="A71" s="348"/>
      <c r="B71" s="293" t="s">
        <v>3944</v>
      </c>
      <c r="C71" s="55">
        <v>12</v>
      </c>
      <c r="D71" s="213">
        <f>COUNTIF(SUROESTE!A:A, "Angelópolis")-COUNTIFS(SUROESTE!A:A,"Angelópolis",SUROESTE!C:C,"")</f>
        <v>12</v>
      </c>
      <c r="E71" s="291">
        <v>935.88479999999993</v>
      </c>
      <c r="F71" s="291">
        <v>81.239999999999995</v>
      </c>
    </row>
    <row r="72" spans="1:6" ht="24.95" customHeight="1" x14ac:dyDescent="0.2">
      <c r="A72" s="348"/>
      <c r="B72" s="293" t="s">
        <v>162</v>
      </c>
      <c r="C72" s="55">
        <v>27</v>
      </c>
      <c r="D72" s="55">
        <f>COUNTIF(SUROESTE!A:A, "Betania")-COUNTIFS(SUROESTE!A:A,"Betania",SUROESTE!C:C,"")</f>
        <v>12</v>
      </c>
      <c r="E72" s="291">
        <v>441.63080000000002</v>
      </c>
      <c r="F72" s="291">
        <v>24.44</v>
      </c>
    </row>
    <row r="73" spans="1:6" ht="24.95" customHeight="1" x14ac:dyDescent="0.2">
      <c r="A73" s="348"/>
      <c r="B73" s="293" t="s">
        <v>46</v>
      </c>
      <c r="C73" s="55">
        <v>41</v>
      </c>
      <c r="D73" s="55">
        <f>COUNTIF(SUROESTE!A:A, "Betulia")-COUNTIFS(SUROESTE!A:A,"Betulia",SUROESTE!C:C,"")</f>
        <v>28</v>
      </c>
      <c r="E73" s="291">
        <v>2097.942</v>
      </c>
      <c r="F73" s="291">
        <v>62.7</v>
      </c>
    </row>
    <row r="74" spans="1:6" ht="24.95" customHeight="1" x14ac:dyDescent="0.2">
      <c r="A74" s="348"/>
      <c r="B74" s="293" t="s">
        <v>163</v>
      </c>
      <c r="C74" s="55">
        <v>23</v>
      </c>
      <c r="D74" s="213">
        <f>COUNTIF(SUROESTE!A:A, "Caramanta")-COUNTIFS(SUROESTE!A:A,"Caramanta",SUROESTE!C:C,"")</f>
        <v>16</v>
      </c>
      <c r="E74" s="291">
        <v>498.39300000000003</v>
      </c>
      <c r="F74" s="291">
        <v>61.53</v>
      </c>
    </row>
    <row r="75" spans="1:6" ht="24.95" customHeight="1" x14ac:dyDescent="0.2">
      <c r="A75" s="348"/>
      <c r="B75" s="293" t="s">
        <v>164</v>
      </c>
      <c r="C75" s="55">
        <v>18</v>
      </c>
      <c r="D75" s="213">
        <f>COUNTIF(SUROESTE!A:A, "Ciudad Bolívar")-COUNTIFS(SUROESTE!A:A,"Ciudad Bolívar",SUROESTE!C:C,"")</f>
        <v>17</v>
      </c>
      <c r="E75" s="291">
        <v>1229</v>
      </c>
      <c r="F75" s="291">
        <v>43.047285464098074</v>
      </c>
    </row>
    <row r="76" spans="1:6" ht="24.95" customHeight="1" x14ac:dyDescent="0.2">
      <c r="A76" s="348"/>
      <c r="B76" s="293" t="s">
        <v>165</v>
      </c>
      <c r="C76" s="55">
        <v>24</v>
      </c>
      <c r="D76" s="55">
        <f>COUNTIF(SUROESTE!A:A, "Concordia")-COUNTIFS(SUROESTE!A:A,"Concordia",SUROESTE!C:C,"")</f>
        <v>21</v>
      </c>
      <c r="E76" s="291">
        <v>1479</v>
      </c>
      <c r="F76" s="291">
        <v>35.510204081632651</v>
      </c>
    </row>
    <row r="77" spans="1:6" ht="24.95" customHeight="1" x14ac:dyDescent="0.2">
      <c r="A77" s="348"/>
      <c r="B77" s="293" t="s">
        <v>166</v>
      </c>
      <c r="C77" s="55">
        <v>36</v>
      </c>
      <c r="D77" s="55">
        <f>COUNTIF(SUROESTE!A:A, "Fredonia")-COUNTIFS(SUROESTE!A:A,"Fredonia",SUROESTE!C:C,"")</f>
        <v>36</v>
      </c>
      <c r="E77" s="291">
        <v>4093.9391999999998</v>
      </c>
      <c r="F77" s="291">
        <v>72.28</v>
      </c>
    </row>
    <row r="78" spans="1:6" ht="24.95" customHeight="1" x14ac:dyDescent="0.2">
      <c r="A78" s="348"/>
      <c r="B78" s="293" t="s">
        <v>167</v>
      </c>
      <c r="C78" s="55">
        <v>11</v>
      </c>
      <c r="D78" s="55">
        <f>COUNTIF(SUROESTE!A:A, "Hispania")-COUNTIFS(SUROESTE!A:A,"Hispania",SUROESTE!C:C,"")</f>
        <v>9</v>
      </c>
      <c r="E78" s="291">
        <v>127.25359999999999</v>
      </c>
      <c r="F78" s="291">
        <v>21.79</v>
      </c>
    </row>
    <row r="79" spans="1:6" ht="24.95" customHeight="1" x14ac:dyDescent="0.2">
      <c r="A79" s="348"/>
      <c r="B79" s="293" t="s">
        <v>168</v>
      </c>
      <c r="C79" s="55">
        <v>21</v>
      </c>
      <c r="D79" s="213">
        <f>COUNTIF(SUROESTE!A:A, "Jardín")-COUNTIFS(SUROESTE!A:A,"Jardín",SUROESTE!C:C,"")</f>
        <v>23</v>
      </c>
      <c r="E79" s="291">
        <v>1063.4739999999999</v>
      </c>
      <c r="F79" s="291">
        <v>56.12</v>
      </c>
    </row>
    <row r="80" spans="1:6" ht="24.95" customHeight="1" x14ac:dyDescent="0.2">
      <c r="A80" s="348"/>
      <c r="B80" s="293" t="s">
        <v>169</v>
      </c>
      <c r="C80" s="55">
        <v>31</v>
      </c>
      <c r="D80" s="213">
        <f>COUNTIF(SUROESTE!A:A, "Jericó")-COUNTIFS(SUROESTE!A:A,"Jericó",SUROESTE!C:C,"")</f>
        <v>25</v>
      </c>
      <c r="E80" s="291">
        <v>1128.52</v>
      </c>
      <c r="F80" s="291">
        <v>63.4</v>
      </c>
    </row>
    <row r="81" spans="1:6" ht="24.95" customHeight="1" x14ac:dyDescent="0.2">
      <c r="A81" s="348"/>
      <c r="B81" s="293" t="s">
        <v>170</v>
      </c>
      <c r="C81" s="55">
        <v>3</v>
      </c>
      <c r="D81" s="213">
        <f>COUNTIF(SUROESTE!A:A, "La Pintada")-COUNTIFS(SUROESTE!A:A,"La Pintada",SUROESTE!C:C,"")</f>
        <v>0</v>
      </c>
      <c r="E81" s="291">
        <v>206.91</v>
      </c>
      <c r="F81" s="291">
        <v>72.599999999999994</v>
      </c>
    </row>
    <row r="82" spans="1:6" ht="24.95" customHeight="1" x14ac:dyDescent="0.2">
      <c r="A82" s="348"/>
      <c r="B82" s="293" t="s">
        <v>171</v>
      </c>
      <c r="C82" s="55">
        <v>24</v>
      </c>
      <c r="D82" s="213">
        <f>COUNTIF(SUROESTE!A:A, "Montebello")-COUNTIFS(SUROESTE!A:A,"Montebello",SUROESTE!C:C,"")</f>
        <v>19</v>
      </c>
      <c r="E82" s="291">
        <v>619.14560000000006</v>
      </c>
      <c r="F82" s="291">
        <v>40.520000000000003</v>
      </c>
    </row>
    <row r="83" spans="1:6" ht="24.95" customHeight="1" x14ac:dyDescent="0.2">
      <c r="A83" s="348"/>
      <c r="B83" s="293" t="s">
        <v>172</v>
      </c>
      <c r="C83" s="55">
        <v>20</v>
      </c>
      <c r="D83" s="55">
        <f>COUNTIF(SUROESTE!A:A, "Pueblorrico")-COUNTIFS(SUROESTE!A:A,"Pueblorrico",SUROESTE!C:C,"")</f>
        <v>6</v>
      </c>
      <c r="E83" s="291">
        <v>221</v>
      </c>
      <c r="F83" s="291">
        <v>18.856655290102388</v>
      </c>
    </row>
    <row r="84" spans="1:6" ht="24.95" customHeight="1" x14ac:dyDescent="0.2">
      <c r="A84" s="348"/>
      <c r="B84" s="293" t="s">
        <v>173</v>
      </c>
      <c r="C84" s="55">
        <v>32</v>
      </c>
      <c r="D84" s="213">
        <f>COUNTIF(SUROESTE!A:A, "Salgar")-COUNTIFS(SUROESTE!A:A,"Salgar",SUROESTE!C:C,"")</f>
        <v>28</v>
      </c>
      <c r="E84" s="291">
        <v>1212.3161361141601</v>
      </c>
      <c r="F84" s="291">
        <v>34.687156970362238</v>
      </c>
    </row>
    <row r="85" spans="1:6" ht="24.95" customHeight="1" x14ac:dyDescent="0.2">
      <c r="A85" s="348"/>
      <c r="B85" s="293" t="s">
        <v>174</v>
      </c>
      <c r="C85" s="55">
        <v>42</v>
      </c>
      <c r="D85" s="213">
        <f>COUNTIF(SUROESTE!A:A, "Santa Bárbara")-COUNTIFS(SUROESTE!A:A,"Santa Bárbara",SUROESTE!C:C,"")</f>
        <v>41</v>
      </c>
      <c r="E85" s="291">
        <v>3545.0622000000003</v>
      </c>
      <c r="F85" s="291">
        <v>74.180000000000007</v>
      </c>
    </row>
    <row r="86" spans="1:6" ht="24.95" customHeight="1" x14ac:dyDescent="0.2">
      <c r="A86" s="348"/>
      <c r="B86" s="293" t="s">
        <v>175</v>
      </c>
      <c r="C86" s="55">
        <v>37</v>
      </c>
      <c r="D86" s="213">
        <f>COUNTIF(SUROESTE!A:A, "Támesis")-COUNTIFS(SUROESTE!A:A,"Támesis",SUROESTE!C:C,"")</f>
        <v>33</v>
      </c>
      <c r="E86" s="291">
        <v>1958.0668000000003</v>
      </c>
      <c r="F86" s="291">
        <v>68.680000000000007</v>
      </c>
    </row>
    <row r="87" spans="1:6" ht="24.95" customHeight="1" x14ac:dyDescent="0.2">
      <c r="A87" s="348"/>
      <c r="B87" s="293" t="s">
        <v>176</v>
      </c>
      <c r="C87" s="55">
        <v>16</v>
      </c>
      <c r="D87" s="55">
        <f>COUNTIF(SUROESTE!A:A, "Tarso")-COUNTIFS(SUROESTE!A:A,"Tarso",SUROESTE!C:C,"")</f>
        <v>13</v>
      </c>
      <c r="E87" s="291">
        <v>139.25867507886437</v>
      </c>
      <c r="F87" s="291">
        <v>17.19242902208202</v>
      </c>
    </row>
    <row r="88" spans="1:6" ht="24.95" customHeight="1" x14ac:dyDescent="0.2">
      <c r="A88" s="348"/>
      <c r="B88" s="293" t="s">
        <v>177</v>
      </c>
      <c r="C88" s="55">
        <v>18</v>
      </c>
      <c r="D88" s="213">
        <f>COUNTIF(SUROESTE!A:A, "Titiribí")-COUNTIFS(SUROESTE!A:A,"Titiribí",SUROESTE!C:C,"")</f>
        <v>23</v>
      </c>
      <c r="E88" s="291">
        <v>1528.8064952638701</v>
      </c>
      <c r="F88" s="291">
        <v>80.378890392422193</v>
      </c>
    </row>
    <row r="89" spans="1:6" ht="24.95" customHeight="1" x14ac:dyDescent="0.2">
      <c r="A89" s="348"/>
      <c r="B89" s="293" t="s">
        <v>178</v>
      </c>
      <c r="C89" s="55">
        <v>55</v>
      </c>
      <c r="D89" s="55">
        <f>COUNTIF(SUROESTE!A:A, "Urrao")-COUNTIFS(SUROESTE!A:A,"Urrao",SUROESTE!C:C,"")</f>
        <v>31</v>
      </c>
      <c r="E89" s="291">
        <v>1522.1282000000001</v>
      </c>
      <c r="F89" s="291">
        <v>38.81</v>
      </c>
    </row>
    <row r="90" spans="1:6" ht="24.95" customHeight="1" x14ac:dyDescent="0.2">
      <c r="A90" s="348"/>
      <c r="B90" s="293" t="s">
        <v>179</v>
      </c>
      <c r="C90" s="55">
        <v>22</v>
      </c>
      <c r="D90" s="213">
        <f>COUNTIF(SUROESTE!A:A, "Valparaíso")-COUNTIFS(SUROESTE!A:A,"Valparaíso",SUROESTE!C:C,"")</f>
        <v>16</v>
      </c>
      <c r="E90" s="291">
        <v>703.43700000000013</v>
      </c>
      <c r="F90" s="291">
        <v>77.900000000000006</v>
      </c>
    </row>
    <row r="91" spans="1:6" ht="24.95" customHeight="1" x14ac:dyDescent="0.2">
      <c r="A91" s="348"/>
      <c r="B91" s="293" t="s">
        <v>180</v>
      </c>
      <c r="C91" s="55">
        <v>17</v>
      </c>
      <c r="D91" s="213">
        <f>COUNTIF(SUROESTE!A:A, "Venecia")-COUNTIFS(SUROESTE!A:A,"Venecia",SUROESTE!C:C,"")</f>
        <v>11</v>
      </c>
      <c r="E91" s="291">
        <v>1798.9619999999998</v>
      </c>
      <c r="F91" s="291">
        <v>84.3</v>
      </c>
    </row>
    <row r="92" spans="1:6" ht="24.95" customHeight="1" x14ac:dyDescent="0.2">
      <c r="A92" s="349"/>
      <c r="B92" s="294" t="s">
        <v>111</v>
      </c>
      <c r="C92" s="44">
        <f>SUM(C69:C91)</f>
        <v>613</v>
      </c>
      <c r="D92" s="44">
        <f>SUM(D69:D91)</f>
        <v>513</v>
      </c>
      <c r="E92" s="311">
        <f>SUM(E69:E91)</f>
        <v>33875.975306456901</v>
      </c>
      <c r="F92" s="508">
        <v>56.45</v>
      </c>
    </row>
    <row r="93" spans="1:6" ht="24.95" customHeight="1" x14ac:dyDescent="0.2">
      <c r="A93" s="348" t="s">
        <v>181</v>
      </c>
      <c r="B93" s="293" t="s">
        <v>183</v>
      </c>
      <c r="C93" s="55">
        <v>45</v>
      </c>
      <c r="D93" s="213">
        <f>COUNTIF('BAJO CAUCA'!A:A, "Caceres")-COUNTIFS('BAJO CAUCA'!A:A,"Caceres",'BAJO CAUCA'!C:C,"")</f>
        <v>8</v>
      </c>
      <c r="E93" s="288">
        <v>1346.0722000000001</v>
      </c>
      <c r="F93" s="289">
        <v>19.93</v>
      </c>
    </row>
    <row r="94" spans="1:6" ht="24.95" customHeight="1" x14ac:dyDescent="0.2">
      <c r="A94" s="348"/>
      <c r="B94" s="293" t="s">
        <v>182</v>
      </c>
      <c r="C94" s="55">
        <v>44</v>
      </c>
      <c r="D94" s="213">
        <f>COUNTIF('BAJO CAUCA'!A:A, "Caucasia")-COUNTIFS('BAJO CAUCA'!A:A,"Caucasia",'BAJO CAUCA'!C:C,"")</f>
        <v>20</v>
      </c>
      <c r="E94" s="288">
        <v>1025.444</v>
      </c>
      <c r="F94" s="289">
        <v>29.68</v>
      </c>
    </row>
    <row r="95" spans="1:6" ht="24.95" customHeight="1" x14ac:dyDescent="0.2">
      <c r="A95" s="348"/>
      <c r="B95" s="293" t="s">
        <v>184</v>
      </c>
      <c r="C95" s="55">
        <v>53</v>
      </c>
      <c r="D95" s="55">
        <f>COUNTIF('BAJO CAUCA'!A:A, "El Bagre")-COUNTIFS('BAJO CAUCA'!A:A,"El Bagre",'BAJO CAUCA'!C:C,"")</f>
        <v>4</v>
      </c>
      <c r="E95" s="288">
        <v>1883.8374000000001</v>
      </c>
      <c r="F95" s="289">
        <v>38.81</v>
      </c>
    </row>
    <row r="96" spans="1:6" ht="24.95" customHeight="1" x14ac:dyDescent="0.2">
      <c r="A96" s="348"/>
      <c r="B96" s="293" t="s">
        <v>3946</v>
      </c>
      <c r="C96" s="55">
        <v>52</v>
      </c>
      <c r="D96" s="213">
        <f>COUNTIF('BAJO CAUCA'!A:A, "Nechí")-COUNTIFS('BAJO CAUCA'!A:A,"Nechí",'BAJO CAUCA'!C:C,"")</f>
        <v>5</v>
      </c>
      <c r="E96" s="288">
        <v>452.73200000000003</v>
      </c>
      <c r="F96" s="289">
        <v>13.3</v>
      </c>
    </row>
    <row r="97" spans="1:6" ht="24.95" customHeight="1" x14ac:dyDescent="0.2">
      <c r="A97" s="348"/>
      <c r="B97" s="293" t="s">
        <v>185</v>
      </c>
      <c r="C97" s="55">
        <v>42</v>
      </c>
      <c r="D97" s="213">
        <f>COUNTIF('BAJO CAUCA'!A:A, "Tarazá")-COUNTIFS('BAJO CAUCA'!A:A,"Tarazá",'BAJO CAUCA'!C:C,"")</f>
        <v>9</v>
      </c>
      <c r="E97" s="288">
        <v>2647.8449999999998</v>
      </c>
      <c r="F97" s="289">
        <v>60.87</v>
      </c>
    </row>
    <row r="98" spans="1:6" ht="24.95" customHeight="1" x14ac:dyDescent="0.2">
      <c r="A98" s="348"/>
      <c r="B98" s="293" t="s">
        <v>186</v>
      </c>
      <c r="C98" s="55">
        <v>66</v>
      </c>
      <c r="D98" s="213">
        <f>COUNTIF('BAJO CAUCA'!A:A, "Zaragoza")-COUNTIFS('BAJO CAUCA'!A:A,"Zaragoza",'BAJO CAUCA'!C:C,"")</f>
        <v>16</v>
      </c>
      <c r="E98" s="288">
        <v>588.67368421052629</v>
      </c>
      <c r="F98" s="289">
        <v>14.835526315789474</v>
      </c>
    </row>
    <row r="99" spans="1:6" ht="24.95" customHeight="1" x14ac:dyDescent="0.2">
      <c r="A99" s="349"/>
      <c r="B99" s="294" t="s">
        <v>111</v>
      </c>
      <c r="C99" s="44">
        <f>SUM(C93:C98)</f>
        <v>302</v>
      </c>
      <c r="D99" s="44">
        <f>SUM(D93:D98)</f>
        <v>62</v>
      </c>
      <c r="E99" s="311">
        <f>SUM(E93:E98)</f>
        <v>7944.6042842105262</v>
      </c>
      <c r="F99" s="508">
        <v>29.66</v>
      </c>
    </row>
    <row r="100" spans="1:6" ht="24.95" customHeight="1" x14ac:dyDescent="0.2">
      <c r="A100" s="348" t="s">
        <v>187</v>
      </c>
      <c r="B100" s="293" t="s">
        <v>188</v>
      </c>
      <c r="C100" s="55">
        <v>15</v>
      </c>
      <c r="D100" s="213">
        <f>COUNTIF('MAGDALENA MEDIO'!A:A, "Caracolí")-COUNTIFS('MAGDALENA MEDIO'!A:A,"Caracolí",'MAGDALENA MEDIO'!C:C,"")</f>
        <v>9</v>
      </c>
      <c r="E100" s="292">
        <v>365.05260000000004</v>
      </c>
      <c r="F100" s="292">
        <v>59.07</v>
      </c>
    </row>
    <row r="101" spans="1:6" ht="24.95" customHeight="1" x14ac:dyDescent="0.2">
      <c r="A101" s="348"/>
      <c r="B101" s="293" t="s">
        <v>189</v>
      </c>
      <c r="C101" s="55">
        <v>23</v>
      </c>
      <c r="D101" s="55">
        <f>COUNTIF('MAGDALENA MEDIO'!A:A, "Maceo")-COUNTIFS('MAGDALENA MEDIO'!A:A,"Maceo",'MAGDALENA MEDIO'!C:C,"")</f>
        <v>8</v>
      </c>
      <c r="E101" s="292">
        <v>857.11199999999997</v>
      </c>
      <c r="F101" s="292">
        <v>50.3</v>
      </c>
    </row>
    <row r="102" spans="1:6" ht="24.95" customHeight="1" x14ac:dyDescent="0.2">
      <c r="A102" s="348"/>
      <c r="B102" s="293" t="s">
        <v>3947</v>
      </c>
      <c r="C102" s="55">
        <v>21</v>
      </c>
      <c r="D102" s="213">
        <f>COUNTIF('MAGDALENA MEDIO'!A:A, "Puerto Berrío")-COUNTIFS('MAGDALENA MEDIO'!A:A,"Puerto Berrío",'MAGDALENA MEDIO'!C:C,"")</f>
        <v>15</v>
      </c>
      <c r="E102" s="292">
        <v>1229.0531999999998</v>
      </c>
      <c r="F102" s="292">
        <v>61.33</v>
      </c>
    </row>
    <row r="103" spans="1:6" ht="24.95" customHeight="1" x14ac:dyDescent="0.2">
      <c r="A103" s="348"/>
      <c r="B103" s="293" t="s">
        <v>191</v>
      </c>
      <c r="C103" s="55">
        <v>25</v>
      </c>
      <c r="D103" s="55">
        <f>COUNTIF('MAGDALENA MEDIO'!A:A, "Puerto Nare")-COUNTIFS('MAGDALENA MEDIO'!A:A,"Puerto Nare",'MAGDALENA MEDIO'!C:C,"")</f>
        <v>7</v>
      </c>
      <c r="E103" s="292">
        <v>2658.1873999999998</v>
      </c>
      <c r="F103" s="292">
        <v>79.42</v>
      </c>
    </row>
    <row r="104" spans="1:6" ht="24.95" customHeight="1" x14ac:dyDescent="0.2">
      <c r="A104" s="348"/>
      <c r="B104" s="293" t="s">
        <v>55</v>
      </c>
      <c r="C104" s="55">
        <v>12</v>
      </c>
      <c r="D104" s="55">
        <f>COUNTIF('MAGDALENA MEDIO'!A:A, "Puerto Triunfo")-COUNTIFS('MAGDALENA MEDIO'!A:A,"Puerto Triunfo",'MAGDALENA MEDIO'!C:C,"")</f>
        <v>11</v>
      </c>
      <c r="E104" s="292">
        <v>4092.9913132345428</v>
      </c>
      <c r="F104" s="292">
        <v>95.452222789984674</v>
      </c>
    </row>
    <row r="105" spans="1:6" ht="24.95" customHeight="1" x14ac:dyDescent="0.2">
      <c r="A105" s="348"/>
      <c r="B105" s="293" t="s">
        <v>3948</v>
      </c>
      <c r="C105" s="55">
        <v>60</v>
      </c>
      <c r="D105" s="213">
        <f>COUNTIF('MAGDALENA MEDIO'!A:A, "Yondó")-COUNTIFS('MAGDALENA MEDIO'!A:A,"Yondó",'MAGDALENA MEDIO'!C:C,"")</f>
        <v>22</v>
      </c>
      <c r="E105" s="292">
        <v>1430.9123000000002</v>
      </c>
      <c r="F105" s="292">
        <v>52.09</v>
      </c>
    </row>
    <row r="106" spans="1:6" ht="24.95" customHeight="1" x14ac:dyDescent="0.2">
      <c r="A106" s="349"/>
      <c r="B106" s="294" t="s">
        <v>111</v>
      </c>
      <c r="C106" s="44">
        <f>SUM(C100:C105)</f>
        <v>156</v>
      </c>
      <c r="D106" s="44">
        <f>SUM(D100:D105)</f>
        <v>72</v>
      </c>
      <c r="E106" s="311">
        <f>SUM(E100:E105)</f>
        <v>10633.308813234542</v>
      </c>
      <c r="F106" s="508">
        <v>72.3</v>
      </c>
    </row>
    <row r="107" spans="1:6" ht="24.95" customHeight="1" x14ac:dyDescent="0.2">
      <c r="A107" s="348" t="s">
        <v>193</v>
      </c>
      <c r="B107" s="293" t="s">
        <v>194</v>
      </c>
      <c r="C107" s="55">
        <v>52</v>
      </c>
      <c r="D107" s="55">
        <f>COUNTIF(NORDESTE!A:A, "Amalfi")-COUNTIFS(NORDESTE!A:A,"Amalfi",NORDESTE!C:C,"")</f>
        <v>6</v>
      </c>
      <c r="E107" s="291">
        <v>228</v>
      </c>
      <c r="F107" s="291">
        <v>6.2809917355371905</v>
      </c>
    </row>
    <row r="108" spans="1:6" ht="24.95" customHeight="1" x14ac:dyDescent="0.2">
      <c r="A108" s="348"/>
      <c r="B108" s="293" t="s">
        <v>3949</v>
      </c>
      <c r="C108" s="55">
        <v>52</v>
      </c>
      <c r="D108" s="213">
        <f>COUNTIF(NORDESTE!A:A, "Anorí")-COUNTIFS(NORDESTE!A:A,"Anorí",NORDESTE!C:C,"")</f>
        <v>4</v>
      </c>
      <c r="E108" s="291">
        <v>544.89160000000004</v>
      </c>
      <c r="F108" s="291">
        <v>16.28</v>
      </c>
    </row>
    <row r="109" spans="1:6" ht="24.95" customHeight="1" x14ac:dyDescent="0.2">
      <c r="A109" s="348"/>
      <c r="B109" s="293" t="s">
        <v>196</v>
      </c>
      <c r="C109" s="55">
        <v>14</v>
      </c>
      <c r="D109" s="55">
        <f>COUNTIF(NORDESTE!A:A, "Cisneros")-COUNTIFS(NORDESTE!A:A,"Cisneros",NORDESTE!C:C,"")</f>
        <v>3</v>
      </c>
      <c r="E109" s="291">
        <v>159.12449999999998</v>
      </c>
      <c r="F109" s="291">
        <v>39.29</v>
      </c>
    </row>
    <row r="110" spans="1:6" ht="24.95" customHeight="1" x14ac:dyDescent="0.2">
      <c r="A110" s="348"/>
      <c r="B110" s="293" t="s">
        <v>197</v>
      </c>
      <c r="C110" s="55">
        <v>52</v>
      </c>
      <c r="D110" s="55">
        <f>COUNTIF(NORDESTE!A:A, "Remedios")-COUNTIFS(NORDESTE!A:A,"Remedios",NORDESTE!C:C,"")</f>
        <v>7</v>
      </c>
      <c r="E110" s="291">
        <v>2364.1379999999999</v>
      </c>
      <c r="F110" s="291">
        <v>45.29</v>
      </c>
    </row>
    <row r="111" spans="1:6" ht="24.95" customHeight="1" x14ac:dyDescent="0.2">
      <c r="A111" s="348"/>
      <c r="B111" s="293" t="s">
        <v>198</v>
      </c>
      <c r="C111" s="55">
        <v>50</v>
      </c>
      <c r="D111" s="55">
        <f>COUNTIF(NORDESTE!A:A, "San Roque")-COUNTIFS(NORDESTE!A:A,"San Roque",NORDESTE!C:C,"")</f>
        <v>34</v>
      </c>
      <c r="E111" s="291">
        <v>2989.156346749226</v>
      </c>
      <c r="F111" s="291">
        <v>60.023219814241493</v>
      </c>
    </row>
    <row r="112" spans="1:6" ht="24.95" customHeight="1" x14ac:dyDescent="0.2">
      <c r="A112" s="348"/>
      <c r="B112" s="293" t="s">
        <v>7</v>
      </c>
      <c r="C112" s="55">
        <v>44</v>
      </c>
      <c r="D112" s="55">
        <f>COUNTIF(NORDESTE!A:A, "Santo Domingo")-COUNTIFS(NORDESTE!A:A,"Santo Domingo",NORDESTE!C:C,"")</f>
        <v>17</v>
      </c>
      <c r="E112" s="291">
        <v>1141.1972000000001</v>
      </c>
      <c r="F112" s="291">
        <v>36.53</v>
      </c>
    </row>
    <row r="113" spans="1:6" ht="24.95" customHeight="1" x14ac:dyDescent="0.2">
      <c r="A113" s="348"/>
      <c r="B113" s="293" t="s">
        <v>199</v>
      </c>
      <c r="C113" s="55">
        <v>22</v>
      </c>
      <c r="D113" s="55">
        <f>COUNTIF(NORDESTE!A:A, "Segovia")-COUNTIFS(NORDESTE!A:A,"Segovia",NORDESTE!C:C,"")</f>
        <v>12</v>
      </c>
      <c r="E113" s="291">
        <v>906.73059999999998</v>
      </c>
      <c r="F113" s="291">
        <v>42.73</v>
      </c>
    </row>
    <row r="114" spans="1:6" ht="24.95" customHeight="1" x14ac:dyDescent="0.2">
      <c r="A114" s="348"/>
      <c r="B114" s="293" t="s">
        <v>3950</v>
      </c>
      <c r="C114" s="55">
        <v>24</v>
      </c>
      <c r="D114" s="213">
        <f>COUNTIF(NORDESTE!A:A, "Vegachí")-COUNTIFS(NORDESTE!A:A,"Vegachí",NORDESTE!C:C,"")</f>
        <v>4</v>
      </c>
      <c r="E114" s="291">
        <v>478.48080000000004</v>
      </c>
      <c r="F114" s="291">
        <v>44.97</v>
      </c>
    </row>
    <row r="115" spans="1:6" ht="24.95" customHeight="1" x14ac:dyDescent="0.2">
      <c r="A115" s="348"/>
      <c r="B115" s="293" t="s">
        <v>3951</v>
      </c>
      <c r="C115" s="55">
        <v>27</v>
      </c>
      <c r="D115" s="213">
        <f>COUNTIF(NORDESTE!A:A, "Yalí")-COUNTIFS(NORDESTE!A:A,"Yalí",NORDESTE!C:C,"")</f>
        <v>10</v>
      </c>
      <c r="E115" s="291">
        <v>408.84480000000002</v>
      </c>
      <c r="F115" s="291">
        <v>30.42</v>
      </c>
    </row>
    <row r="116" spans="1:6" ht="24.95" customHeight="1" x14ac:dyDescent="0.2">
      <c r="A116" s="348"/>
      <c r="B116" s="293" t="s">
        <v>3952</v>
      </c>
      <c r="C116" s="55">
        <v>74</v>
      </c>
      <c r="D116" s="213">
        <f>COUNTIF(NORDESTE!A:A, "Yolombó")-COUNTIFS(NORDESTE!A:A,"Yolombó",NORDESTE!C:C,"")</f>
        <v>15</v>
      </c>
      <c r="E116" s="291">
        <v>1512</v>
      </c>
      <c r="F116" s="291">
        <v>29.893238434163699</v>
      </c>
    </row>
    <row r="117" spans="1:6" ht="24.95" customHeight="1" x14ac:dyDescent="0.2">
      <c r="A117" s="349"/>
      <c r="B117" s="294" t="s">
        <v>111</v>
      </c>
      <c r="C117" s="44">
        <f>SUM(C107:C116)</f>
        <v>411</v>
      </c>
      <c r="D117" s="44">
        <f>SUM(D107:D116)</f>
        <v>112</v>
      </c>
      <c r="E117" s="311">
        <f>SUM(E107:E116)</f>
        <v>10732.563846749226</v>
      </c>
      <c r="F117" s="508">
        <v>35.43</v>
      </c>
    </row>
    <row r="118" spans="1:6" ht="24.95" customHeight="1" x14ac:dyDescent="0.2">
      <c r="A118" s="348" t="s">
        <v>203</v>
      </c>
      <c r="B118" s="293" t="s">
        <v>204</v>
      </c>
      <c r="C118" s="55">
        <v>64</v>
      </c>
      <c r="D118" s="210">
        <f>COUNTIF(ORIENTE!A:A, "Abejorral")-COUNTIFS(ORIENTE!A:A,"Abejorral",ORIENTE!C:C,"")</f>
        <v>50</v>
      </c>
      <c r="E118" s="291">
        <v>1856.682</v>
      </c>
      <c r="F118" s="291">
        <v>47.1</v>
      </c>
    </row>
    <row r="119" spans="1:6" ht="24.95" customHeight="1" x14ac:dyDescent="0.2">
      <c r="A119" s="348"/>
      <c r="B119" s="293" t="s">
        <v>205</v>
      </c>
      <c r="C119" s="55">
        <v>14</v>
      </c>
      <c r="D119" s="55">
        <f>COUNTIF(ORIENTE!A:A, "Alejandría")-COUNTIFS(ORIENTE!A:A,"Alejandría",ORIENTE!C:C,"")</f>
        <v>10</v>
      </c>
      <c r="E119" s="291">
        <v>250.75679999999997</v>
      </c>
      <c r="F119" s="291">
        <v>35.119999999999997</v>
      </c>
    </row>
    <row r="120" spans="1:6" ht="24.95" customHeight="1" x14ac:dyDescent="0.2">
      <c r="A120" s="348"/>
      <c r="B120" s="293" t="s">
        <v>206</v>
      </c>
      <c r="C120" s="55">
        <v>49</v>
      </c>
      <c r="D120" s="55">
        <f>COUNTIF(ORIENTE!A:A, "Argelia")-COUNTIFS(ORIENTE!A:A,"Argelia",ORIENTE!C:C,"")</f>
        <v>19</v>
      </c>
      <c r="E120" s="291">
        <v>512.5548</v>
      </c>
      <c r="F120" s="291">
        <v>42.29</v>
      </c>
    </row>
    <row r="121" spans="1:6" ht="24.95" customHeight="1" x14ac:dyDescent="0.2">
      <c r="A121" s="348"/>
      <c r="B121" s="293" t="s">
        <v>207</v>
      </c>
      <c r="C121" s="55">
        <v>78</v>
      </c>
      <c r="D121" s="210">
        <f>COUNTIF(ORIENTE!A:A, "Cocorná")-COUNTIFS(ORIENTE!A:A,"Cocorná",ORIENTE!C:C,"")</f>
        <v>23</v>
      </c>
      <c r="E121" s="291">
        <v>1269.2850000000001</v>
      </c>
      <c r="F121" s="291">
        <v>45.74</v>
      </c>
    </row>
    <row r="122" spans="1:6" ht="24.95" customHeight="1" x14ac:dyDescent="0.2">
      <c r="A122" s="348"/>
      <c r="B122" s="293" t="s">
        <v>208</v>
      </c>
      <c r="C122" s="55">
        <v>24</v>
      </c>
      <c r="D122" s="213">
        <f>COUNTIF(ORIENTE!A:A, "Concepción")-COUNTIFS(ORIENTE!A:A,"Concepción",ORIENTE!C:C,"")</f>
        <v>4</v>
      </c>
      <c r="E122" s="291">
        <v>97.937226277372261</v>
      </c>
      <c r="F122" s="291">
        <v>10.656934306569344</v>
      </c>
    </row>
    <row r="123" spans="1:6" ht="24.95" customHeight="1" x14ac:dyDescent="0.2">
      <c r="A123" s="348"/>
      <c r="B123" s="293" t="s">
        <v>209</v>
      </c>
      <c r="C123" s="55">
        <v>55</v>
      </c>
      <c r="D123" s="55">
        <f>COUNTIF(ORIENTE!A:A, "Carmen De Viboral")-COUNTIFS(ORIENTE!A:A,"Carmen De Viboral",ORIENTE!C:C,"")</f>
        <v>36</v>
      </c>
      <c r="E123" s="291">
        <v>6323.4336000000003</v>
      </c>
      <c r="F123" s="291">
        <v>84.81</v>
      </c>
    </row>
    <row r="124" spans="1:6" ht="24.95" customHeight="1" x14ac:dyDescent="0.2">
      <c r="A124" s="348"/>
      <c r="B124" s="293" t="s">
        <v>210</v>
      </c>
      <c r="C124" s="55">
        <v>24</v>
      </c>
      <c r="D124" s="55">
        <f>COUNTIF(ORIENTE!A:A, "El Peñol")-COUNTIFS(ORIENTE!A:A,"El Peñol",ORIENTE!C:C,"")</f>
        <v>28</v>
      </c>
      <c r="E124" s="291">
        <v>2655.3530999999998</v>
      </c>
      <c r="F124" s="291">
        <v>82.49</v>
      </c>
    </row>
    <row r="125" spans="1:6" ht="24.95" customHeight="1" x14ac:dyDescent="0.2">
      <c r="A125" s="348"/>
      <c r="B125" s="293" t="s">
        <v>211</v>
      </c>
      <c r="C125" s="55">
        <v>20</v>
      </c>
      <c r="D125" s="213">
        <f>COUNTIF(ORIENTE!A:A, "El Retiro")-COUNTIFS(ORIENTE!A:A,"El Retiro",ORIENTE!C:C,"")</f>
        <v>22</v>
      </c>
      <c r="E125" s="291">
        <v>2565.9499999999998</v>
      </c>
      <c r="F125" s="291">
        <v>73</v>
      </c>
    </row>
    <row r="126" spans="1:6" ht="24.95" customHeight="1" x14ac:dyDescent="0.2">
      <c r="A126" s="348"/>
      <c r="B126" s="293" t="s">
        <v>212</v>
      </c>
      <c r="C126" s="55">
        <v>36</v>
      </c>
      <c r="D126" s="213">
        <f>COUNTIF(ORIENTE!A:A, "El Santuario")-COUNTIFS(ORIENTE!A:A,"El Santuario",ORIENTE!C:C,"")</f>
        <v>37</v>
      </c>
      <c r="E126" s="291">
        <v>2448.3552</v>
      </c>
      <c r="F126" s="291">
        <v>82.27</v>
      </c>
    </row>
    <row r="127" spans="1:6" ht="24.95" customHeight="1" x14ac:dyDescent="0.2">
      <c r="A127" s="348"/>
      <c r="B127" s="293" t="s">
        <v>213</v>
      </c>
      <c r="C127" s="55">
        <v>51</v>
      </c>
      <c r="D127" s="55">
        <f>COUNTIF(ORIENTE!A:A, "Granada")-COUNTIFS(ORIENTE!A:A,"Granada",ORIENTE!C:C,"")</f>
        <v>25</v>
      </c>
      <c r="E127" s="291">
        <v>1170.693</v>
      </c>
      <c r="F127" s="291">
        <v>78.569999999999993</v>
      </c>
    </row>
    <row r="128" spans="1:6" ht="24.95" customHeight="1" x14ac:dyDescent="0.2">
      <c r="A128" s="348"/>
      <c r="B128" s="293" t="s">
        <v>214</v>
      </c>
      <c r="C128" s="55">
        <v>35</v>
      </c>
      <c r="D128" s="55">
        <f>COUNTIF(ORIENTE!A:A, "Guarne")-COUNTIFS(ORIENTE!A:A,"Guarne",ORIENTE!C:C,"")</f>
        <v>80</v>
      </c>
      <c r="E128" s="291">
        <v>9265.8012999999992</v>
      </c>
      <c r="F128" s="291">
        <v>82.37</v>
      </c>
    </row>
    <row r="129" spans="1:6" ht="24.95" customHeight="1" x14ac:dyDescent="0.2">
      <c r="A129" s="348"/>
      <c r="B129" s="293" t="s">
        <v>215</v>
      </c>
      <c r="C129" s="55">
        <v>9</v>
      </c>
      <c r="D129" s="55">
        <f>COUNTIF(ORIENTE!A:A, "Guatapé")-COUNTIFS(ORIENTE!A:A,"Guatapé",ORIENTE!C:C,"")</f>
        <v>6</v>
      </c>
      <c r="E129" s="291">
        <v>948.93119999999999</v>
      </c>
      <c r="F129" s="291">
        <v>90.72</v>
      </c>
    </row>
    <row r="130" spans="1:6" ht="24.95" customHeight="1" x14ac:dyDescent="0.2">
      <c r="A130" s="348"/>
      <c r="B130" s="293" t="s">
        <v>44</v>
      </c>
      <c r="C130" s="55">
        <v>17</v>
      </c>
      <c r="D130" s="55">
        <f>COUNTIF(ORIENTE!A:A, "La Ceja")-COUNTIFS(ORIENTE!A:A,"La Ceja",ORIENTE!C:C,"")</f>
        <v>18</v>
      </c>
      <c r="E130" s="291">
        <v>1639.8185000000001</v>
      </c>
      <c r="F130" s="291">
        <v>59.05</v>
      </c>
    </row>
    <row r="131" spans="1:6" ht="24.95" customHeight="1" x14ac:dyDescent="0.2">
      <c r="A131" s="348"/>
      <c r="B131" s="293" t="s">
        <v>216</v>
      </c>
      <c r="C131" s="55">
        <v>26</v>
      </c>
      <c r="D131" s="213">
        <f>COUNTIF(ORIENTE!A:A, "La Unión")-COUNTIFS(ORIENTE!A:A,"LLa Unión",ORIENTE!C:C,"")</f>
        <v>18</v>
      </c>
      <c r="E131" s="291">
        <v>1604.0265832681785</v>
      </c>
      <c r="F131" s="291">
        <v>66.145426114151689</v>
      </c>
    </row>
    <row r="132" spans="1:6" ht="24.95" customHeight="1" x14ac:dyDescent="0.2">
      <c r="A132" s="348"/>
      <c r="B132" s="293" t="s">
        <v>217</v>
      </c>
      <c r="C132" s="55">
        <v>30</v>
      </c>
      <c r="D132" s="55">
        <f>COUNTIF(ORIENTE!A:A, "Marinilla")-COUNTIFS(ORIENTE!A:A,"Marinilla",ORIENTE!C:C,"")</f>
        <v>38</v>
      </c>
      <c r="E132" s="291">
        <v>5655.5183999999999</v>
      </c>
      <c r="F132" s="291">
        <v>95.84</v>
      </c>
    </row>
    <row r="133" spans="1:6" ht="24.95" customHeight="1" x14ac:dyDescent="0.2">
      <c r="A133" s="348"/>
      <c r="B133" s="293" t="s">
        <v>218</v>
      </c>
      <c r="C133" s="55">
        <v>49</v>
      </c>
      <c r="D133" s="213">
        <f>COUNTIF(ORIENTE!A:A, "Nariño")-COUNTIFS(ORIENTE!A:A,"Nariño",ORIENTE!C:C,"")</f>
        <v>11</v>
      </c>
      <c r="E133" s="291">
        <v>357.245</v>
      </c>
      <c r="F133" s="291">
        <v>17.3</v>
      </c>
    </row>
    <row r="134" spans="1:6" ht="24.95" customHeight="1" x14ac:dyDescent="0.2">
      <c r="A134" s="348"/>
      <c r="B134" s="293" t="s">
        <v>81</v>
      </c>
      <c r="C134" s="55">
        <v>35</v>
      </c>
      <c r="D134" s="55">
        <f>COUNTIF(ORIENTE!A:A, "Rionegro")-COUNTIFS(ORIENTE!A:A,"Rionegro",ORIENTE!C:C,"")</f>
        <v>24</v>
      </c>
      <c r="E134" s="291">
        <v>16118.611699999999</v>
      </c>
      <c r="F134" s="291">
        <v>97.27</v>
      </c>
    </row>
    <row r="135" spans="1:6" ht="24.95" customHeight="1" x14ac:dyDescent="0.2">
      <c r="A135" s="348"/>
      <c r="B135" s="293" t="s">
        <v>53</v>
      </c>
      <c r="C135" s="55">
        <v>78</v>
      </c>
      <c r="D135" s="55">
        <f>COUNTIF(ORIENTE!A:A, "San Carlos")-COUNTIFS(ORIENTE!A:A,"San Carlos",ORIENTE!C:C,"")</f>
        <v>15</v>
      </c>
      <c r="E135" s="291">
        <v>2684.5158000000001</v>
      </c>
      <c r="F135" s="291">
        <v>86.43</v>
      </c>
    </row>
    <row r="136" spans="1:6" ht="24.95" customHeight="1" x14ac:dyDescent="0.2">
      <c r="A136" s="348"/>
      <c r="B136" s="293" t="s">
        <v>219</v>
      </c>
      <c r="C136" s="55">
        <v>42</v>
      </c>
      <c r="D136" s="213">
        <f>COUNTIF(ORIENTE!A:A, "San Francisco")-COUNTIFS(ORIENTE!A:A,"San Francisco",ORIENTE!C:C,"")</f>
        <v>7</v>
      </c>
      <c r="E136" s="291">
        <v>411.9024</v>
      </c>
      <c r="F136" s="291">
        <v>43.68</v>
      </c>
    </row>
    <row r="137" spans="1:6" ht="24.95" customHeight="1" x14ac:dyDescent="0.2">
      <c r="A137" s="348"/>
      <c r="B137" s="293" t="s">
        <v>74</v>
      </c>
      <c r="C137" s="55">
        <v>48</v>
      </c>
      <c r="D137" s="213">
        <f>COUNTIF(ORIENTE!A:A, "San Luis")-COUNTIFS(ORIENTE!A:A,"San Luis",ORIENTE!C:C,"")</f>
        <v>9</v>
      </c>
      <c r="E137" s="291">
        <v>391.56397515527948</v>
      </c>
      <c r="F137" s="291">
        <v>23.788819875776397</v>
      </c>
    </row>
    <row r="138" spans="1:6" ht="24.95" customHeight="1" x14ac:dyDescent="0.2">
      <c r="A138" s="348"/>
      <c r="B138" s="293" t="s">
        <v>94</v>
      </c>
      <c r="C138" s="55">
        <v>56</v>
      </c>
      <c r="D138" s="213">
        <f>COUNTIF(ORIENTE!A:A, "San Rafael")-COUNTIFS(ORIENTE!A:A,"San Rafael",ORIENTE!C:C,"")</f>
        <v>17</v>
      </c>
      <c r="E138" s="291">
        <v>573.52410000000009</v>
      </c>
      <c r="F138" s="291">
        <v>23.67</v>
      </c>
    </row>
    <row r="139" spans="1:6" ht="24.95" customHeight="1" x14ac:dyDescent="0.2">
      <c r="A139" s="348"/>
      <c r="B139" s="293" t="s">
        <v>220</v>
      </c>
      <c r="C139" s="55">
        <v>39</v>
      </c>
      <c r="D139" s="55">
        <f>COUNTIF(ORIENTE!A:A, "San Vicente")-COUNTIFS(ORIENTE!A:A,"San Vicente",ORIENTE!C:C,"")</f>
        <v>47</v>
      </c>
      <c r="E139" s="291">
        <v>4053.7359999999999</v>
      </c>
      <c r="F139" s="291">
        <v>80.8</v>
      </c>
    </row>
    <row r="140" spans="1:6" ht="24.95" customHeight="1" x14ac:dyDescent="0.2">
      <c r="A140" s="348"/>
      <c r="B140" s="293" t="s">
        <v>221</v>
      </c>
      <c r="C140" s="55">
        <v>101</v>
      </c>
      <c r="D140" s="213">
        <f>COUNTIF(ORIENTE!A:A, "Sonsón")-COUNTIFS(ORIENTE!A:A,"Sonsón",ORIENTE!C:C,"")</f>
        <v>17</v>
      </c>
      <c r="E140" s="291">
        <v>1885.3650999999998</v>
      </c>
      <c r="F140" s="291">
        <v>33.47</v>
      </c>
    </row>
    <row r="141" spans="1:6" ht="24.95" customHeight="1" x14ac:dyDescent="0.2">
      <c r="A141" s="349"/>
      <c r="B141" s="294" t="s">
        <v>111</v>
      </c>
      <c r="C141" s="44">
        <f>SUM(C118:C140)</f>
        <v>980</v>
      </c>
      <c r="D141" s="44">
        <f>SUM(D118:D140)</f>
        <v>561</v>
      </c>
      <c r="E141" s="311">
        <f>SUM(E118:E140)</f>
        <v>64741.560784700836</v>
      </c>
      <c r="F141" s="508">
        <v>72.73</v>
      </c>
    </row>
    <row r="142" spans="1:6" ht="27.75" customHeight="1" x14ac:dyDescent="0.2">
      <c r="A142" s="348" t="s">
        <v>222</v>
      </c>
      <c r="B142" s="348"/>
      <c r="C142" s="44">
        <f>SUM(C18,C30,C48,C68,C92,C99,C106,C117,C141)</f>
        <v>4572</v>
      </c>
      <c r="D142" s="44">
        <f>SUM(D18,D30,D48,D68,D92,D99,D106,D117,D141)</f>
        <v>2443</v>
      </c>
      <c r="E142" s="311">
        <f>SUM(E141,E117,E106,E99,E92,E68,E48,E30,E18)</f>
        <v>326900.80352699547</v>
      </c>
      <c r="F142" s="508">
        <v>64.260000000000005</v>
      </c>
    </row>
  </sheetData>
  <customSheetViews>
    <customSheetView guid="{45C8AF51-29EC-46A5-AB7F-1F0634E55D82}" scale="55" topLeftCell="A4">
      <pane xSplit="1" ySplit="2" topLeftCell="B127" activePane="bottomRight" state="frozen"/>
      <selection pane="bottomRight" activeCell="D140" sqref="D140"/>
      <pageMargins left="0.7" right="0.7" top="0.75" bottom="0.75" header="0.3" footer="0.3"/>
      <pageSetup orientation="portrait" horizontalDpi="4294967295" verticalDpi="4294967295" r:id="rId1"/>
    </customSheetView>
    <customSheetView guid="{FCC3B493-4306-43B2-9C73-76324485DD47}" scale="60" topLeftCell="A115">
      <selection activeCell="G133" sqref="G133"/>
      <pageMargins left="0.7" right="0.7" top="0.75" bottom="0.75" header="0.3" footer="0.3"/>
      <pageSetup orientation="portrait" horizontalDpi="4294967295" verticalDpi="4294967295" r:id="rId2"/>
    </customSheetView>
    <customSheetView guid="{AEDE1BDB-8710-4CDA-8488-31F49D423ACE}" scale="60" topLeftCell="A43">
      <selection activeCell="L75" sqref="L75"/>
      <pageMargins left="0.7" right="0.7" top="0.75" bottom="0.75" header="0.3" footer="0.3"/>
      <pageSetup orientation="portrait" horizontalDpi="4294967295" verticalDpi="4294967295" r:id="rId3"/>
    </customSheetView>
    <customSheetView guid="{75DD7674-E7DE-4BB1-A36D-76AA33452CB3}" scale="60" topLeftCell="A23">
      <selection activeCell="I113" sqref="I113"/>
      <pageMargins left="0.7" right="0.7" top="0.75" bottom="0.75" header="0.3" footer="0.3"/>
      <pageSetup orientation="portrait" horizontalDpi="4294967295" verticalDpi="4294967295" r:id="rId4"/>
    </customSheetView>
  </customSheetViews>
  <mergeCells count="11">
    <mergeCell ref="A93:A99"/>
    <mergeCell ref="A142:B142"/>
    <mergeCell ref="A100:A106"/>
    <mergeCell ref="A107:A117"/>
    <mergeCell ref="A118:A141"/>
    <mergeCell ref="A31:A48"/>
    <mergeCell ref="A49:A68"/>
    <mergeCell ref="A69:A92"/>
    <mergeCell ref="A8:A18"/>
    <mergeCell ref="A19:A30"/>
    <mergeCell ref="B5:D5"/>
  </mergeCells>
  <pageMargins left="0.7" right="0.7" top="0.75" bottom="0.75" header="0.3" footer="0.3"/>
  <pageSetup orientation="portrait" horizontalDpi="4294967295" verticalDpi="4294967295" r:id="rId5"/>
  <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P208"/>
  <sheetViews>
    <sheetView tabSelected="1" zoomScale="60" zoomScaleNormal="60" workbookViewId="0">
      <selection activeCell="A8" sqref="A8"/>
    </sheetView>
  </sheetViews>
  <sheetFormatPr baseColWidth="10" defaultRowHeight="12.75" x14ac:dyDescent="0.2"/>
  <cols>
    <col min="1" max="1" width="29.42578125" bestFit="1" customWidth="1"/>
    <col min="2" max="2" width="14.28515625" style="23" customWidth="1"/>
    <col min="3" max="3" width="11.7109375" customWidth="1"/>
    <col min="4" max="4" width="11.7109375" style="23" customWidth="1"/>
    <col min="5" max="5" width="11.7109375" customWidth="1"/>
    <col min="6" max="6" width="11.7109375" style="23" customWidth="1"/>
    <col min="7" max="7" width="11.7109375" customWidth="1"/>
    <col min="8" max="8" width="11.7109375" style="23" customWidth="1"/>
    <col min="9" max="9" width="11.7109375" customWidth="1"/>
    <col min="10" max="10" width="11.7109375" style="23" customWidth="1"/>
    <col min="11" max="11" width="11.7109375" customWidth="1"/>
    <col min="12" max="12" width="11.7109375" style="23" customWidth="1"/>
    <col min="13" max="13" width="11.7109375" customWidth="1"/>
    <col min="14" max="14" width="11.7109375" style="23" customWidth="1"/>
    <col min="15" max="15" width="11.7109375" customWidth="1"/>
  </cols>
  <sheetData>
    <row r="1" spans="1:15" ht="18" x14ac:dyDescent="0.25">
      <c r="A1" s="4"/>
      <c r="C1" s="351" t="s">
        <v>254</v>
      </c>
      <c r="D1" s="351"/>
      <c r="E1" s="351"/>
      <c r="F1" s="351"/>
      <c r="G1" s="351"/>
      <c r="H1" s="351"/>
      <c r="I1" s="351"/>
      <c r="J1" s="351"/>
      <c r="K1" s="351"/>
      <c r="L1" s="351"/>
      <c r="M1" s="351"/>
      <c r="N1" s="351"/>
      <c r="O1" s="351"/>
    </row>
    <row r="2" spans="1:15" ht="18" x14ac:dyDescent="0.2">
      <c r="A2" s="4"/>
      <c r="C2" s="326" t="s">
        <v>4587</v>
      </c>
      <c r="D2" s="326"/>
      <c r="E2" s="326"/>
      <c r="F2" s="326"/>
      <c r="G2" s="326"/>
      <c r="H2" s="326"/>
      <c r="I2" s="326"/>
      <c r="J2" s="326"/>
      <c r="K2" s="326"/>
      <c r="L2" s="326"/>
      <c r="M2" s="326"/>
      <c r="N2" s="326"/>
      <c r="O2" s="326"/>
    </row>
    <row r="3" spans="1:15" ht="20.25" customHeight="1" x14ac:dyDescent="0.2">
      <c r="A3" s="4"/>
      <c r="C3" s="327" t="s">
        <v>4631</v>
      </c>
      <c r="D3" s="327"/>
      <c r="E3" s="327"/>
      <c r="F3" s="327"/>
      <c r="G3" s="327"/>
      <c r="H3" s="327"/>
      <c r="I3" s="327"/>
      <c r="J3" s="327"/>
      <c r="K3" s="327"/>
      <c r="L3" s="327"/>
      <c r="M3" s="327"/>
      <c r="N3" s="327"/>
      <c r="O3" s="327"/>
    </row>
    <row r="4" spans="1:15" ht="24.75" customHeight="1" x14ac:dyDescent="0.2">
      <c r="A4" s="65"/>
      <c r="B4" s="66"/>
      <c r="C4" s="327" t="s">
        <v>4120</v>
      </c>
      <c r="D4" s="327"/>
      <c r="E4" s="327"/>
      <c r="F4" s="327"/>
      <c r="G4" s="327"/>
      <c r="H4" s="327"/>
      <c r="I4" s="327"/>
      <c r="J4" s="327"/>
      <c r="K4" s="327"/>
      <c r="L4" s="327"/>
      <c r="M4" s="327"/>
      <c r="N4" s="327"/>
      <c r="O4" s="327"/>
    </row>
    <row r="5" spans="1:15" ht="22.5" customHeight="1" x14ac:dyDescent="0.2">
      <c r="A5" s="65"/>
      <c r="B5" s="66"/>
      <c r="C5" s="326" t="s">
        <v>4554</v>
      </c>
      <c r="D5" s="326"/>
      <c r="E5" s="326"/>
      <c r="F5" s="326"/>
      <c r="G5" s="326"/>
      <c r="H5" s="326"/>
      <c r="I5" s="326"/>
      <c r="J5" s="326"/>
      <c r="K5" s="326"/>
      <c r="L5" s="326"/>
      <c r="M5" s="326"/>
      <c r="N5" s="326"/>
      <c r="O5" s="326"/>
    </row>
    <row r="6" spans="1:15" ht="27" customHeight="1" x14ac:dyDescent="0.2">
      <c r="A6" s="350" t="s">
        <v>4555</v>
      </c>
      <c r="B6" s="350"/>
      <c r="C6" s="350"/>
      <c r="D6" s="350"/>
      <c r="E6" s="350"/>
      <c r="F6" s="350"/>
      <c r="G6" s="350"/>
      <c r="H6" s="350"/>
      <c r="I6" s="350"/>
      <c r="J6" s="350"/>
      <c r="K6" s="350"/>
      <c r="L6" s="350"/>
      <c r="M6" s="350"/>
      <c r="N6" s="350"/>
      <c r="O6" s="350"/>
    </row>
    <row r="7" spans="1:15" ht="114.75" customHeight="1" x14ac:dyDescent="0.2">
      <c r="A7" s="252" t="s">
        <v>253</v>
      </c>
      <c r="B7" s="68" t="s">
        <v>252</v>
      </c>
      <c r="C7" s="252" t="s">
        <v>102</v>
      </c>
      <c r="D7" s="255" t="s">
        <v>246</v>
      </c>
      <c r="E7" s="252" t="s">
        <v>102</v>
      </c>
      <c r="F7" s="256" t="s">
        <v>247</v>
      </c>
      <c r="G7" s="252" t="s">
        <v>102</v>
      </c>
      <c r="H7" s="257" t="s">
        <v>248</v>
      </c>
      <c r="I7" s="252" t="s">
        <v>102</v>
      </c>
      <c r="J7" s="258" t="s">
        <v>249</v>
      </c>
      <c r="K7" s="252" t="s">
        <v>102</v>
      </c>
      <c r="L7" s="259" t="s">
        <v>250</v>
      </c>
      <c r="M7" s="252" t="s">
        <v>102</v>
      </c>
      <c r="N7" s="68" t="s">
        <v>251</v>
      </c>
      <c r="O7" s="252" t="s">
        <v>102</v>
      </c>
    </row>
    <row r="8" spans="1:15" ht="15.75" customHeight="1" x14ac:dyDescent="0.2">
      <c r="A8" s="74" t="s">
        <v>245</v>
      </c>
      <c r="B8" s="44">
        <f>'CONSOLIDADO-ACUEDUCTOSRURALES1'!D18</f>
        <v>223</v>
      </c>
      <c r="C8" s="54">
        <f t="shared" ref="C8:C16" si="0">(B8/$B$17)*100</f>
        <v>9.1281211625051171</v>
      </c>
      <c r="D8" s="44">
        <f>COUNTIF('VALLE DE ABURRA'!S:S,"SIN RIESGO")</f>
        <v>54</v>
      </c>
      <c r="E8" s="54">
        <f>(D8/$B$8)*100</f>
        <v>24.215246636771301</v>
      </c>
      <c r="F8" s="44">
        <f>COUNTIF('VALLE DE ABURRA'!S:S,"BAJO")</f>
        <v>28</v>
      </c>
      <c r="G8" s="54">
        <f>(F8/$B$8)*100</f>
        <v>12.556053811659194</v>
      </c>
      <c r="H8" s="44">
        <f>COUNTIF('VALLE DE ABURRA'!S:S,"MEDIO")</f>
        <v>46</v>
      </c>
      <c r="I8" s="54">
        <f>(H8/$B$8)*100</f>
        <v>20.627802690582961</v>
      </c>
      <c r="J8" s="44">
        <f>COUNTIF('VALLE DE ABURRA'!S:S,"ALTO")</f>
        <v>41</v>
      </c>
      <c r="K8" s="54">
        <f>(J8/$B$8)*100</f>
        <v>18.385650224215247</v>
      </c>
      <c r="L8" s="44">
        <f>COUNTIF('VALLE DE ABURRA'!S:S,"INVIABLE SANITARIAMENTE")</f>
        <v>39</v>
      </c>
      <c r="M8" s="54">
        <f>(L8/$B$8)*100</f>
        <v>17.488789237668161</v>
      </c>
      <c r="N8" s="44">
        <f>B8-(D8+F8+H8+J8+L8)</f>
        <v>15</v>
      </c>
      <c r="O8" s="54">
        <f>(N8/$B$8)*100</f>
        <v>6.7264573991031389</v>
      </c>
    </row>
    <row r="9" spans="1:15" ht="15.75" x14ac:dyDescent="0.2">
      <c r="A9" s="45" t="s">
        <v>223</v>
      </c>
      <c r="B9" s="44">
        <f>'CONSOLIDADO-ACUEDUCTOSRURALES1'!D30</f>
        <v>117</v>
      </c>
      <c r="C9" s="54">
        <f t="shared" si="0"/>
        <v>4.7891936144085143</v>
      </c>
      <c r="D9" s="44">
        <f>COUNTIF(URABA!S:S,"SIN RIESGO")</f>
        <v>13</v>
      </c>
      <c r="E9" s="54">
        <f>(D9/$B$9)*100</f>
        <v>11.111111111111111</v>
      </c>
      <c r="F9" s="44">
        <f>COUNTIF(URABA!S:S,"BAJO")</f>
        <v>0</v>
      </c>
      <c r="G9" s="54">
        <f>(F9/$B$9)*100</f>
        <v>0</v>
      </c>
      <c r="H9" s="44">
        <f>COUNTIF(URABA!S:S,"MEDIO")</f>
        <v>6</v>
      </c>
      <c r="I9" s="54">
        <f>(H9/$B$9)*100</f>
        <v>5.1282051282051277</v>
      </c>
      <c r="J9" s="44">
        <f>COUNTIF(URABA!S:S,"ALTO")</f>
        <v>25</v>
      </c>
      <c r="K9" s="54">
        <f>(J9/$B$9)*100</f>
        <v>21.367521367521366</v>
      </c>
      <c r="L9" s="44">
        <f>COUNTIF(URABA!S:S,"INVIABLE SANITARIAMENTE")</f>
        <v>59</v>
      </c>
      <c r="M9" s="54">
        <f>(L9/$B$9)*100</f>
        <v>50.427350427350426</v>
      </c>
      <c r="N9" s="204">
        <f>B9-(D9+F9+H9+J9+L9)</f>
        <v>14</v>
      </c>
      <c r="O9" s="54">
        <f>(N9/$B$9)*100</f>
        <v>11.965811965811966</v>
      </c>
    </row>
    <row r="10" spans="1:15" s="33" customFormat="1" ht="15.75" x14ac:dyDescent="0.2">
      <c r="A10" s="45" t="s">
        <v>224</v>
      </c>
      <c r="B10" s="231">
        <f>'CONSOLIDADO-ACUEDUCTOSRURALES1'!D48</f>
        <v>261</v>
      </c>
      <c r="C10" s="54">
        <f t="shared" si="0"/>
        <v>10.683585755218992</v>
      </c>
      <c r="D10" s="231">
        <f>+COUNTIFS(NORTE!S11:S271,"Sin Riesgo")</f>
        <v>24</v>
      </c>
      <c r="E10" s="54">
        <f>(D10/$B$10)*100</f>
        <v>9.1954022988505741</v>
      </c>
      <c r="F10" s="231">
        <f>+COUNTIFS(NORTE!S11:S271,"Bajo")</f>
        <v>1</v>
      </c>
      <c r="G10" s="54">
        <f>(F10/$B$10)*100</f>
        <v>0.38314176245210724</v>
      </c>
      <c r="H10" s="231">
        <f>+COUNTIFS(NORTE!S11:S271,"Medio")</f>
        <v>13</v>
      </c>
      <c r="I10" s="54">
        <f>(H10/$B$10)*100</f>
        <v>4.980842911877394</v>
      </c>
      <c r="J10" s="231">
        <f>+COUNTIFS(NORTE!S11:S271,"Alto")</f>
        <v>64</v>
      </c>
      <c r="K10" s="54">
        <f>(J10/$B$10)*100</f>
        <v>24.521072796934863</v>
      </c>
      <c r="L10" s="231">
        <f>+COUNTIFS(NORTE!S11:S271,"Inviable Sanitariamente")</f>
        <v>86</v>
      </c>
      <c r="M10" s="54">
        <f>(L10/$B$10)*100</f>
        <v>32.950191570881223</v>
      </c>
      <c r="N10" s="231">
        <f>B10-(D10+F10+H10+J10+L10)</f>
        <v>73</v>
      </c>
      <c r="O10" s="54">
        <f>(N10/$B$10)*100</f>
        <v>27.969348659003828</v>
      </c>
    </row>
    <row r="11" spans="1:15" s="28" customFormat="1" ht="15.75" x14ac:dyDescent="0.2">
      <c r="A11" s="234" t="s">
        <v>225</v>
      </c>
      <c r="B11" s="235">
        <f>'CONSOLIDADO-ACUEDUCTOSRURALES1'!D68</f>
        <v>522</v>
      </c>
      <c r="C11" s="236">
        <f t="shared" si="0"/>
        <v>21.367171510437984</v>
      </c>
      <c r="D11" s="235">
        <f>+COUNTIFS(OCCIDENTE!S11:S532,"SIN RIESGO")</f>
        <v>22</v>
      </c>
      <c r="E11" s="236">
        <f>(D11/$B$11)*100</f>
        <v>4.2145593869731801</v>
      </c>
      <c r="F11" s="235">
        <f>+COUNTIFS(OCCIDENTE!S11:S532,"Bajo")</f>
        <v>3</v>
      </c>
      <c r="G11" s="236">
        <f>(F11/$B$11)*100</f>
        <v>0.57471264367816088</v>
      </c>
      <c r="H11" s="235">
        <f>+COUNTIFS(OCCIDENTE!S11:S532,"Medio")</f>
        <v>3</v>
      </c>
      <c r="I11" s="236">
        <f>(H11/$B$11)*100</f>
        <v>0.57471264367816088</v>
      </c>
      <c r="J11" s="235">
        <f>+COUNTIFS(OCCIDENTE!S11:S532,"Alto")</f>
        <v>64</v>
      </c>
      <c r="K11" s="236">
        <f>(J11/$B$11)*100</f>
        <v>12.260536398467432</v>
      </c>
      <c r="L11" s="235">
        <f>+COUNTIFS(OCCIDENTE!S11:S532,"Inviable Sanitariamente")</f>
        <v>318</v>
      </c>
      <c r="M11" s="236">
        <f>(L11/$B$11)*100</f>
        <v>60.919540229885058</v>
      </c>
      <c r="N11" s="235">
        <f t="shared" ref="N11:N16" si="1">B11-(D11+F11+H11+J11+L11)</f>
        <v>112</v>
      </c>
      <c r="O11" s="236">
        <f>(N11/$B$11)*100</f>
        <v>21.455938697318008</v>
      </c>
    </row>
    <row r="12" spans="1:15" s="28" customFormat="1" ht="15.75" x14ac:dyDescent="0.2">
      <c r="A12" s="234" t="s">
        <v>226</v>
      </c>
      <c r="B12" s="235">
        <f>'CONSOLIDADO-ACUEDUCTOSRURALES1'!D92</f>
        <v>513</v>
      </c>
      <c r="C12" s="236">
        <f t="shared" si="0"/>
        <v>20.998772001637331</v>
      </c>
      <c r="D12" s="235">
        <f>COUNTIF(SUROESTE!S:S,"SIN RIESGO")</f>
        <v>77</v>
      </c>
      <c r="E12" s="236">
        <f>(D12/$B$12)*100</f>
        <v>15.009746588693956</v>
      </c>
      <c r="F12" s="235">
        <f>COUNTIF(SUROESTE!S:S,"BAJO")</f>
        <v>7</v>
      </c>
      <c r="G12" s="236">
        <f>(F12/$B$12)*100</f>
        <v>1.364522417153996</v>
      </c>
      <c r="H12" s="235">
        <f>COUNTIF(SUROESTE!S:S,"MEDIO")</f>
        <v>27</v>
      </c>
      <c r="I12" s="236">
        <f>(H12/$B$12)*100</f>
        <v>5.2631578947368416</v>
      </c>
      <c r="J12" s="235">
        <f>COUNTIF(SUROESTE!S:S,"ALTO")</f>
        <v>148</v>
      </c>
      <c r="K12" s="236">
        <f>(J12/$B$12)*100</f>
        <v>28.84990253411306</v>
      </c>
      <c r="L12" s="235">
        <f>COUNTIF(SUROESTE!S:S,"INVIABLE SANITARIAMENTE")</f>
        <v>205</v>
      </c>
      <c r="M12" s="236">
        <f>(L12/$B$12)*100</f>
        <v>39.96101364522417</v>
      </c>
      <c r="N12" s="235">
        <f t="shared" si="1"/>
        <v>49</v>
      </c>
      <c r="O12" s="236">
        <f>(N12/$B$12)*100</f>
        <v>9.5516569200779724</v>
      </c>
    </row>
    <row r="13" spans="1:15" s="28" customFormat="1" ht="15.75" x14ac:dyDescent="0.2">
      <c r="A13" s="234" t="s">
        <v>227</v>
      </c>
      <c r="B13" s="235">
        <f>'CONSOLIDADO-ACUEDUCTOSRURALES1'!D99</f>
        <v>62</v>
      </c>
      <c r="C13" s="236">
        <f t="shared" si="0"/>
        <v>2.5378632828489565</v>
      </c>
      <c r="D13" s="235">
        <f>COUNTIF('BAJO CAUCA'!S:S,"SIN RIESGO")</f>
        <v>1</v>
      </c>
      <c r="E13" s="236">
        <f>(D13/$B$8)*100</f>
        <v>0.44843049327354262</v>
      </c>
      <c r="F13" s="235">
        <f>COUNTIF('BAJO CAUCA'!S:S,"BAJO")</f>
        <v>1</v>
      </c>
      <c r="G13" s="236">
        <f>(F13/$B$8)*100</f>
        <v>0.44843049327354262</v>
      </c>
      <c r="H13" s="235">
        <f>COUNTIF('BAJO CAUCA'!S:S,"MEDIO")</f>
        <v>1</v>
      </c>
      <c r="I13" s="236">
        <f>(H13/$B$8)*100</f>
        <v>0.44843049327354262</v>
      </c>
      <c r="J13" s="235">
        <f>COUNTIF('BAJO CAUCA'!S:S,"ALTO")</f>
        <v>4</v>
      </c>
      <c r="K13" s="236">
        <f>(J13/$B$8)*100</f>
        <v>1.7937219730941705</v>
      </c>
      <c r="L13" s="235">
        <f>+COUNTIFS('BAJO CAUCA'!S11:S71,"Inviable sanitariamente")</f>
        <v>36</v>
      </c>
      <c r="M13" s="236">
        <f>(L13/$B$8)*100</f>
        <v>16.143497757847534</v>
      </c>
      <c r="N13" s="235">
        <f t="shared" si="1"/>
        <v>19</v>
      </c>
      <c r="O13" s="236">
        <f>(N13/$B$8)*100</f>
        <v>8.5201793721973083</v>
      </c>
    </row>
    <row r="14" spans="1:15" s="28" customFormat="1" ht="15.75" x14ac:dyDescent="0.2">
      <c r="A14" s="234" t="s">
        <v>228</v>
      </c>
      <c r="B14" s="235">
        <f>'CONSOLIDADO-ACUEDUCTOSRURALES1'!D106</f>
        <v>72</v>
      </c>
      <c r="C14" s="236">
        <f t="shared" si="0"/>
        <v>2.9471960704052393</v>
      </c>
      <c r="D14" s="235">
        <f>COUNTIF('MAGDALENA MEDIO'!S:S,"SIN RIESGO")</f>
        <v>7</v>
      </c>
      <c r="E14" s="236">
        <f>(D14/$B$14)*100</f>
        <v>9.7222222222222232</v>
      </c>
      <c r="F14" s="235">
        <f>COUNTIF('MAGDALENA MEDIO'!S:S,"BAJO")</f>
        <v>4</v>
      </c>
      <c r="G14" s="236">
        <f>(F14/$B$14)*100</f>
        <v>5.5555555555555554</v>
      </c>
      <c r="H14" s="235">
        <f>COUNTIF('MAGDALENA MEDIO'!S:S,"MEDIO")</f>
        <v>2</v>
      </c>
      <c r="I14" s="236">
        <f>(H14/$B$14)*100</f>
        <v>2.7777777777777777</v>
      </c>
      <c r="J14" s="235">
        <f>COUNTIF('MAGDALENA MEDIO'!S:S,"ALTO")</f>
        <v>28</v>
      </c>
      <c r="K14" s="236">
        <f>(J14/$B$14)*100</f>
        <v>38.888888888888893</v>
      </c>
      <c r="L14" s="235">
        <f>COUNTIF('MAGDALENA MEDIO'!S:S,"INVIABLE SANITARIAMENTE")</f>
        <v>12</v>
      </c>
      <c r="M14" s="236">
        <f>(L14/$B$14)*100</f>
        <v>16.666666666666664</v>
      </c>
      <c r="N14" s="235">
        <f t="shared" si="1"/>
        <v>19</v>
      </c>
      <c r="O14" s="236">
        <f>(N14/$B$14)*100</f>
        <v>26.388888888888889</v>
      </c>
    </row>
    <row r="15" spans="1:15" s="28" customFormat="1" ht="15.75" x14ac:dyDescent="0.2">
      <c r="A15" s="234" t="s">
        <v>229</v>
      </c>
      <c r="B15" s="235">
        <f>'CONSOLIDADO-ACUEDUCTOSRURALES1'!D117</f>
        <v>112</v>
      </c>
      <c r="C15" s="236">
        <f t="shared" si="0"/>
        <v>4.5845272206303722</v>
      </c>
      <c r="D15" s="235">
        <f>COUNTIF(NORDESTE!S:S,"SIN RIESGO")</f>
        <v>6</v>
      </c>
      <c r="E15" s="236">
        <f>(D15/$B$15)*100</f>
        <v>5.3571428571428568</v>
      </c>
      <c r="F15" s="235">
        <f>COUNTIF(NORDESTE!S:S,"BAJO")</f>
        <v>4</v>
      </c>
      <c r="G15" s="236">
        <f>(F15/$B$15)*100</f>
        <v>3.5714285714285712</v>
      </c>
      <c r="H15" s="235">
        <f>COUNTIF(NORDESTE!S:S,"MEDIO")</f>
        <v>4</v>
      </c>
      <c r="I15" s="236">
        <f>(H15/$B$15)*100</f>
        <v>3.5714285714285712</v>
      </c>
      <c r="J15" s="235">
        <f>COUNTIF(NORDESTE!S:S,"ALTO")</f>
        <v>13</v>
      </c>
      <c r="K15" s="236">
        <f>(J15/$B$15)*100</f>
        <v>11.607142857142858</v>
      </c>
      <c r="L15" s="235">
        <f>COUNTIF(NORDESTE!S:S,"INVIABLE SANITARIAMENTE")</f>
        <v>75</v>
      </c>
      <c r="M15" s="236">
        <f>(L15/$B$15)*100</f>
        <v>66.964285714285708</v>
      </c>
      <c r="N15" s="235">
        <f t="shared" si="1"/>
        <v>10</v>
      </c>
      <c r="O15" s="236">
        <f>(N15/$B$15)*100</f>
        <v>8.9285714285714288</v>
      </c>
    </row>
    <row r="16" spans="1:15" s="28" customFormat="1" ht="15.75" x14ac:dyDescent="0.2">
      <c r="A16" s="234" t="s">
        <v>230</v>
      </c>
      <c r="B16" s="235">
        <f>'CONSOLIDADO-ACUEDUCTOSRURALES1'!D141</f>
        <v>561</v>
      </c>
      <c r="C16" s="236">
        <f t="shared" si="0"/>
        <v>22.963569381907494</v>
      </c>
      <c r="D16" s="235">
        <f>COUNTIF(ORIENTE!S:S,"SIN RIESGO")</f>
        <v>195</v>
      </c>
      <c r="E16" s="236">
        <f>(D16/$B$16)*100</f>
        <v>34.759358288770052</v>
      </c>
      <c r="F16" s="235">
        <f>COUNTIF(ORIENTE!S:S,"BAJO")</f>
        <v>34</v>
      </c>
      <c r="G16" s="236">
        <f>(F16/$B$16)*100</f>
        <v>6.0606060606060606</v>
      </c>
      <c r="H16" s="235">
        <f>COUNTIF(ORIENTE!S:S,"MEDIO")</f>
        <v>32</v>
      </c>
      <c r="I16" s="236">
        <f>(H16/$B$16)*100</f>
        <v>5.7040998217468806</v>
      </c>
      <c r="J16" s="235">
        <f>COUNTIF(ORIENTE!S:S,"ALTO")</f>
        <v>67</v>
      </c>
      <c r="K16" s="236">
        <f>(J16/$B$16)*100</f>
        <v>11.942959001782532</v>
      </c>
      <c r="L16" s="235">
        <f>COUNTIF(ORIENTE!S:S,"INVIABLE SANITARIAMENTE")</f>
        <v>150</v>
      </c>
      <c r="M16" s="236">
        <f>(L16/$B$16)*100</f>
        <v>26.737967914438503</v>
      </c>
      <c r="N16" s="235">
        <f t="shared" si="1"/>
        <v>83</v>
      </c>
      <c r="O16" s="236">
        <f>(N16/$B$16)*100</f>
        <v>14.795008912655971</v>
      </c>
    </row>
    <row r="17" spans="1:16" ht="24.75" customHeight="1" x14ac:dyDescent="0.2">
      <c r="A17" s="70" t="s">
        <v>222</v>
      </c>
      <c r="B17" s="67">
        <f>SUM(B8:B16)</f>
        <v>2443</v>
      </c>
      <c r="C17" s="69">
        <f>SUM(C8:C16)</f>
        <v>100.00000000000001</v>
      </c>
      <c r="D17" s="67">
        <f>SUM(D8:D16)</f>
        <v>399</v>
      </c>
      <c r="E17" s="69">
        <f>(D17/$B$17)*100</f>
        <v>16.332378223495702</v>
      </c>
      <c r="F17" s="67">
        <f>SUM(F8:F16)</f>
        <v>82</v>
      </c>
      <c r="G17" s="69">
        <f>(F17/$B$17)*100</f>
        <v>3.3565288579615231</v>
      </c>
      <c r="H17" s="67">
        <f>SUM(H8:H16)</f>
        <v>134</v>
      </c>
      <c r="I17" s="69">
        <f>(H17/$B$17)*100</f>
        <v>5.4850593532541954</v>
      </c>
      <c r="J17" s="67">
        <f>SUM(J8:J16)</f>
        <v>454</v>
      </c>
      <c r="K17" s="69">
        <f>(J17/$B$17)*100</f>
        <v>18.58370855505526</v>
      </c>
      <c r="L17" s="67">
        <f>SUM(L8:L16)</f>
        <v>980</v>
      </c>
      <c r="M17" s="69">
        <f>(L17/$B$17)*100</f>
        <v>40.114613180515754</v>
      </c>
      <c r="N17" s="67">
        <f>SUM(N8:N16)</f>
        <v>394</v>
      </c>
      <c r="O17" s="69">
        <f>(N17/$B$17)*100</f>
        <v>16.127711829717562</v>
      </c>
    </row>
    <row r="18" spans="1:16" x14ac:dyDescent="0.2">
      <c r="A18" s="33"/>
      <c r="B18" s="62"/>
      <c r="C18" s="33"/>
      <c r="D18" s="62"/>
      <c r="E18" s="33"/>
      <c r="F18" s="62"/>
      <c r="G18" s="33"/>
      <c r="H18" s="62"/>
      <c r="I18" s="33"/>
      <c r="J18" s="62"/>
      <c r="K18" s="33"/>
      <c r="L18" s="62"/>
      <c r="M18" s="33"/>
      <c r="N18" s="62"/>
      <c r="O18" s="33"/>
    </row>
    <row r="19" spans="1:16" x14ac:dyDescent="0.2">
      <c r="A19" s="33"/>
      <c r="B19" s="62"/>
      <c r="C19" s="33"/>
      <c r="D19" s="62"/>
      <c r="E19" s="33"/>
      <c r="F19" s="62"/>
      <c r="G19" s="33"/>
      <c r="H19" s="62"/>
      <c r="I19" s="33"/>
      <c r="J19" s="62"/>
      <c r="K19" s="33"/>
      <c r="L19" s="62"/>
      <c r="M19" s="33"/>
      <c r="N19" s="62"/>
      <c r="O19" s="33"/>
    </row>
    <row r="20" spans="1:16" x14ac:dyDescent="0.2">
      <c r="A20" s="33"/>
      <c r="B20" s="62"/>
      <c r="C20" s="33"/>
      <c r="D20" s="62"/>
      <c r="E20" s="33"/>
      <c r="F20" s="62"/>
      <c r="G20" s="33"/>
      <c r="H20" s="62"/>
      <c r="I20" s="33"/>
      <c r="J20" s="62"/>
      <c r="K20" s="33"/>
      <c r="L20" s="62"/>
      <c r="M20" s="33"/>
      <c r="N20" s="62"/>
      <c r="O20" s="33"/>
    </row>
    <row r="21" spans="1:16" x14ac:dyDescent="0.2">
      <c r="A21" s="33"/>
      <c r="B21" s="62"/>
      <c r="C21" s="33"/>
      <c r="D21" s="62"/>
      <c r="E21" s="33"/>
      <c r="F21" s="62"/>
      <c r="G21" s="33"/>
      <c r="H21" s="62"/>
      <c r="I21" s="33"/>
      <c r="J21" s="62"/>
      <c r="K21" s="33"/>
      <c r="L21" s="62"/>
      <c r="M21" s="33"/>
      <c r="N21" s="62"/>
      <c r="O21" s="33"/>
    </row>
    <row r="22" spans="1:16" ht="25.5" customHeight="1" x14ac:dyDescent="0.2">
      <c r="A22" s="354" t="s">
        <v>4565</v>
      </c>
      <c r="B22" s="355"/>
      <c r="C22" s="355"/>
      <c r="D22" s="355"/>
      <c r="E22" s="355"/>
      <c r="F22" s="355"/>
      <c r="G22" s="355"/>
      <c r="H22" s="355"/>
      <c r="I22" s="355"/>
      <c r="J22" s="355"/>
      <c r="K22" s="355"/>
      <c r="L22" s="355"/>
      <c r="M22" s="355"/>
      <c r="N22" s="355"/>
      <c r="O22" s="356"/>
      <c r="P22" s="24"/>
    </row>
    <row r="23" spans="1:16" ht="129.75" customHeight="1" x14ac:dyDescent="0.2">
      <c r="A23" s="252" t="s">
        <v>11</v>
      </c>
      <c r="B23" s="68" t="s">
        <v>252</v>
      </c>
      <c r="C23" s="252" t="s">
        <v>102</v>
      </c>
      <c r="D23" s="255" t="s">
        <v>246</v>
      </c>
      <c r="E23" s="252" t="s">
        <v>102</v>
      </c>
      <c r="F23" s="256" t="s">
        <v>247</v>
      </c>
      <c r="G23" s="252" t="s">
        <v>102</v>
      </c>
      <c r="H23" s="257" t="s">
        <v>248</v>
      </c>
      <c r="I23" s="252" t="s">
        <v>102</v>
      </c>
      <c r="J23" s="258" t="s">
        <v>249</v>
      </c>
      <c r="K23" s="252" t="s">
        <v>102</v>
      </c>
      <c r="L23" s="259" t="s">
        <v>250</v>
      </c>
      <c r="M23" s="252" t="s">
        <v>102</v>
      </c>
      <c r="N23" s="68" t="s">
        <v>251</v>
      </c>
      <c r="O23" s="252" t="s">
        <v>102</v>
      </c>
      <c r="P23" s="24"/>
    </row>
    <row r="24" spans="1:16" ht="15.75" x14ac:dyDescent="0.2">
      <c r="A24" s="293" t="s">
        <v>104</v>
      </c>
      <c r="B24" s="44">
        <f>'CONSOLIDADO-ACUEDUCTOSRURALES1'!D8</f>
        <v>29</v>
      </c>
      <c r="C24" s="48">
        <f t="shared" ref="C24:C33" si="2">(B24/$B$34)*100</f>
        <v>13.004484304932735</v>
      </c>
      <c r="D24" s="229">
        <f>COUNTIFS('VALLE DE ABURRA'!A:A,"Medellín",'VALLE DE ABURRA'!S:S,"SIN RIESGO")</f>
        <v>27</v>
      </c>
      <c r="E24" s="48">
        <f>(D24/$B$24)*100</f>
        <v>93.103448275862064</v>
      </c>
      <c r="F24" s="29">
        <f>COUNTIFS('VALLE DE ABURRA'!A:A,"Medellín",'VALLE DE ABURRA'!S:S,"BAJO")</f>
        <v>1</v>
      </c>
      <c r="G24" s="48">
        <f>(F24/$B$24)*100</f>
        <v>3.4482758620689653</v>
      </c>
      <c r="H24" s="29">
        <f>COUNTIFS('VALLE DE ABURRA'!A:A,"Medellín",'VALLE DE ABURRA'!S:S,"MEDIO")</f>
        <v>1</v>
      </c>
      <c r="I24" s="48">
        <f>(H24/$B$24)*100</f>
        <v>3.4482758620689653</v>
      </c>
      <c r="J24" s="29">
        <f>COUNTIFS('VALLE DE ABURRA'!A:A,"Medellín",'VALLE DE ABURRA'!S:S,"ALTO")</f>
        <v>0</v>
      </c>
      <c r="K24" s="48">
        <f>(J24/$B$24)*100</f>
        <v>0</v>
      </c>
      <c r="L24" s="29">
        <f>COUNTIFS('VALLE DE ABURRA'!A:A,"Medellín",'VALLE DE ABURRA'!S:S,"INVIABLE SANITARIAMENTE")</f>
        <v>0</v>
      </c>
      <c r="M24" s="48">
        <f>(L24/$B$24)*100</f>
        <v>0</v>
      </c>
      <c r="N24" s="29">
        <f>B24-(D24+F24+H24+J24+L24)</f>
        <v>0</v>
      </c>
      <c r="O24" s="48">
        <f>(N24/$B$24)*100</f>
        <v>0</v>
      </c>
      <c r="P24" s="24"/>
    </row>
    <row r="25" spans="1:16" ht="15.75" x14ac:dyDescent="0.2">
      <c r="A25" s="293" t="s">
        <v>78</v>
      </c>
      <c r="B25" s="29">
        <f>'CONSOLIDADO-ACUEDUCTOSRURALES1'!D9</f>
        <v>66</v>
      </c>
      <c r="C25" s="48">
        <f t="shared" si="2"/>
        <v>29.596412556053814</v>
      </c>
      <c r="D25" s="29">
        <f>COUNTIFS('VALLE DE ABURRA'!A:A,"Barbosa",'VALLE DE ABURRA'!S:S,"SIN RIESGO")</f>
        <v>3</v>
      </c>
      <c r="E25" s="48">
        <f>(D25/$B$25)*100</f>
        <v>4.5454545454545459</v>
      </c>
      <c r="F25" s="29">
        <f>COUNTIFS('VALLE DE ABURRA'!A:A,"Barbosa",'VALLE DE ABURRA'!S:S,"BAJO")</f>
        <v>2</v>
      </c>
      <c r="G25" s="48">
        <f>(F25/$B$25)*100</f>
        <v>3.0303030303030303</v>
      </c>
      <c r="H25" s="29">
        <f>COUNTIFS('VALLE DE ABURRA'!A:A,"Barbosa",'VALLE DE ABURRA'!S:S,"MEDIO")</f>
        <v>9</v>
      </c>
      <c r="I25" s="48">
        <f>(H25/$B$25)*100</f>
        <v>13.636363636363635</v>
      </c>
      <c r="J25" s="29">
        <f>COUNTIFS('VALLE DE ABURRA'!A:A,"Barbosa",'VALLE DE ABURRA'!S:S,"ALTO")</f>
        <v>11</v>
      </c>
      <c r="K25" s="48">
        <f>(J25/$B$25)*100</f>
        <v>16.666666666666664</v>
      </c>
      <c r="L25" s="29">
        <f>COUNTIFS('VALLE DE ABURRA'!A:A,"Barbosa",'VALLE DE ABURRA'!S:S,"INVIABLE SANITARIAMENTE")</f>
        <v>34</v>
      </c>
      <c r="M25" s="48">
        <f>(L25/$B$25)*100</f>
        <v>51.515151515151516</v>
      </c>
      <c r="N25" s="206">
        <f>B25-(D25+F25+H25+J25+L25)</f>
        <v>7</v>
      </c>
      <c r="O25" s="48">
        <f>(N25/$B$25)*100</f>
        <v>10.606060606060606</v>
      </c>
      <c r="P25" s="24"/>
    </row>
    <row r="26" spans="1:16" ht="15.75" x14ac:dyDescent="0.2">
      <c r="A26" s="293" t="s">
        <v>79</v>
      </c>
      <c r="B26" s="29">
        <f>'CONSOLIDADO-ACUEDUCTOSRURALES1'!D10</f>
        <v>16</v>
      </c>
      <c r="C26" s="48">
        <f t="shared" si="2"/>
        <v>7.1748878923766819</v>
      </c>
      <c r="D26" s="29">
        <f>COUNTIFS('VALLE DE ABURRA'!A:A,"Bello",'VALLE DE ABURRA'!S:S,"SIN RIESGO")</f>
        <v>3</v>
      </c>
      <c r="E26" s="48">
        <f>(D26/$B$26)*100</f>
        <v>18.75</v>
      </c>
      <c r="F26" s="29">
        <f>COUNTIFS('VALLE DE ABURRA'!A:A,"Bello",'VALLE DE ABURRA'!S:S,"BAJO")</f>
        <v>0</v>
      </c>
      <c r="G26" s="48">
        <f>(F26/$B$26)*100</f>
        <v>0</v>
      </c>
      <c r="H26" s="29">
        <f>COUNTIFS('VALLE DE ABURRA'!A:A,"Bello",'VALLE DE ABURRA'!S:S,"MEDIO")</f>
        <v>3</v>
      </c>
      <c r="I26" s="48">
        <f>(H26/$B$26)*100</f>
        <v>18.75</v>
      </c>
      <c r="J26" s="29">
        <f>COUNTIFS('VALLE DE ABURRA'!A:A,"Bello",'VALLE DE ABURRA'!S:S,"ALTO")</f>
        <v>3</v>
      </c>
      <c r="K26" s="48">
        <f>(J26/$B$26)*100</f>
        <v>18.75</v>
      </c>
      <c r="L26" s="29">
        <f>COUNTIFS('VALLE DE ABURRA'!A:A,"Bello",'VALLE DE ABURRA'!S:S,"INVIABLE SANITARIAMENTE")</f>
        <v>0</v>
      </c>
      <c r="M26" s="48">
        <f>(L26/$B$26)*100</f>
        <v>0</v>
      </c>
      <c r="N26" s="206">
        <f t="shared" ref="N26:N33" si="3">B26-(D26+F26+H26+J26+L26)</f>
        <v>7</v>
      </c>
      <c r="O26" s="48">
        <f>(N26/$B$26)*100</f>
        <v>43.75</v>
      </c>
      <c r="P26" s="24"/>
    </row>
    <row r="27" spans="1:16" ht="15.75" x14ac:dyDescent="0.2">
      <c r="A27" s="293" t="s">
        <v>105</v>
      </c>
      <c r="B27" s="29">
        <f>'CONSOLIDADO-ACUEDUCTOSRURALES1'!D11</f>
        <v>19</v>
      </c>
      <c r="C27" s="48">
        <f t="shared" si="2"/>
        <v>8.5201793721973083</v>
      </c>
      <c r="D27" s="29">
        <f>COUNTIFS('VALLE DE ABURRA'!A:A,"Caldas",'VALLE DE ABURRA'!S:S,"SIN RIESGO")</f>
        <v>2</v>
      </c>
      <c r="E27" s="48">
        <f>(D27/$B$27)*100</f>
        <v>10.526315789473683</v>
      </c>
      <c r="F27" s="29">
        <f>COUNTIFS('VALLE DE ABURRA'!A:A,"Caldas",'VALLE DE ABURRA'!S:S,"BAJO")</f>
        <v>3</v>
      </c>
      <c r="G27" s="48">
        <f>(F27/$B$27)*100</f>
        <v>15.789473684210526</v>
      </c>
      <c r="H27" s="29">
        <f>COUNTIFS('VALLE DE ABURRA'!A:A,"Caldas",'VALLE DE ABURRA'!S:S,"MEDIO")</f>
        <v>0</v>
      </c>
      <c r="I27" s="48">
        <f>(H27/$B$27)*100</f>
        <v>0</v>
      </c>
      <c r="J27" s="29">
        <f>COUNTIFS('VALLE DE ABURRA'!A:A,"Caldas",'VALLE DE ABURRA'!S:S,"ALTO")</f>
        <v>14</v>
      </c>
      <c r="K27" s="48">
        <f>(J27/$B$27)*100</f>
        <v>73.68421052631578</v>
      </c>
      <c r="L27" s="29">
        <f>COUNTIFS('VALLE DE ABURRA'!A:A,"Caldas",'VALLE DE ABURRA'!S:S,"INVIABLE SANITARIAMENTE")</f>
        <v>0</v>
      </c>
      <c r="M27" s="48">
        <f>(L27/$B$27)*100</f>
        <v>0</v>
      </c>
      <c r="N27" s="206">
        <f t="shared" si="3"/>
        <v>0</v>
      </c>
      <c r="O27" s="48">
        <f>(N27/$B$27)*100</f>
        <v>0</v>
      </c>
      <c r="P27" s="24"/>
    </row>
    <row r="28" spans="1:16" ht="15.75" x14ac:dyDescent="0.2">
      <c r="A28" s="293" t="s">
        <v>106</v>
      </c>
      <c r="B28" s="29">
        <f>'CONSOLIDADO-ACUEDUCTOSRURALES1'!D12</f>
        <v>20</v>
      </c>
      <c r="C28" s="48">
        <f t="shared" si="2"/>
        <v>8.9686098654708513</v>
      </c>
      <c r="D28" s="29">
        <f>COUNTIFS('VALLE DE ABURRA'!A:A,"Copacabana",'VALLE DE ABURRA'!S:S,"SIN RIESGO")</f>
        <v>6</v>
      </c>
      <c r="E28" s="48">
        <f>(D28/$B$28)*100</f>
        <v>30</v>
      </c>
      <c r="F28" s="29">
        <f>COUNTIFS('VALLE DE ABURRA'!A:A,"Copacabana",'VALLE DE ABURRA'!S:S,"BAJO")</f>
        <v>2</v>
      </c>
      <c r="G28" s="48">
        <f>(F28/$B$28)*100</f>
        <v>10</v>
      </c>
      <c r="H28" s="29">
        <f>COUNTIFS('VALLE DE ABURRA'!A:A,"Copacabana",'VALLE DE ABURRA'!S:S,"MEDIO")</f>
        <v>10</v>
      </c>
      <c r="I28" s="48">
        <f>(H28/$B$28)*100</f>
        <v>50</v>
      </c>
      <c r="J28" s="29">
        <f>COUNTIFS('VALLE DE ABURRA'!A:A,"Copacabana",'VALLE DE ABURRA'!S:S,"ALTO")</f>
        <v>1</v>
      </c>
      <c r="K28" s="48">
        <f>(J28/$B$28)*100</f>
        <v>5</v>
      </c>
      <c r="L28" s="29">
        <f>COUNTIFS('VALLE DE ABURRA'!A:A,"Copacabana",'VALLE DE ABURRA'!S:S,"INVIABLE SANITARIAMENTE")</f>
        <v>1</v>
      </c>
      <c r="M28" s="48">
        <f>(L28/$B$28)*100</f>
        <v>5</v>
      </c>
      <c r="N28" s="206">
        <f t="shared" si="3"/>
        <v>0</v>
      </c>
      <c r="O28" s="48">
        <f>(N28/$B$28)*100</f>
        <v>0</v>
      </c>
      <c r="P28" s="24"/>
    </row>
    <row r="29" spans="1:16" ht="15.75" x14ac:dyDescent="0.2">
      <c r="A29" s="293" t="s">
        <v>80</v>
      </c>
      <c r="B29" s="29">
        <f>'CONSOLIDADO-ACUEDUCTOSRURALES1'!D13</f>
        <v>31</v>
      </c>
      <c r="C29" s="48">
        <f t="shared" si="2"/>
        <v>13.901345291479823</v>
      </c>
      <c r="D29" s="29">
        <f>COUNTIFS('VALLE DE ABURRA'!A:A,"Girardota",'VALLE DE ABURRA'!S:S,"SIN RIESGO")</f>
        <v>1</v>
      </c>
      <c r="E29" s="48">
        <f>(D29/$B$29)*100</f>
        <v>3.225806451612903</v>
      </c>
      <c r="F29" s="29">
        <f>COUNTIFS('VALLE DE ABURRA'!A:A,"Girardota",'VALLE DE ABURRA'!S:S,"BAJO")</f>
        <v>4</v>
      </c>
      <c r="G29" s="48">
        <f>(F29/$B$29)*100</f>
        <v>12.903225806451612</v>
      </c>
      <c r="H29" s="29">
        <f>COUNTIFS('VALLE DE ABURRA'!A:A,"Girardota",'VALLE DE ABURRA'!S:S,"MEDIO")</f>
        <v>13</v>
      </c>
      <c r="I29" s="48">
        <f>(H29/$B$29)*100</f>
        <v>41.935483870967744</v>
      </c>
      <c r="J29" s="29">
        <f>COUNTIFS('VALLE DE ABURRA'!A:A,"Girardota",'VALLE DE ABURRA'!S:S,"ALTO")</f>
        <v>9</v>
      </c>
      <c r="K29" s="48">
        <f>(J29/$B$29)*100</f>
        <v>29.032258064516132</v>
      </c>
      <c r="L29" s="29">
        <f>COUNTIFS('VALLE DE ABURRA'!A:A,"Girardota",'VALLE DE ABURRA'!S:S,"INVIABLE SANITARIAMENTE")</f>
        <v>4</v>
      </c>
      <c r="M29" s="48">
        <f>(L29/$B$29)*100</f>
        <v>12.903225806451612</v>
      </c>
      <c r="N29" s="206">
        <f t="shared" si="3"/>
        <v>0</v>
      </c>
      <c r="O29" s="48">
        <f>(N29/$B$29)*100</f>
        <v>0</v>
      </c>
      <c r="P29" s="24"/>
    </row>
    <row r="30" spans="1:16" ht="15.75" x14ac:dyDescent="0.2">
      <c r="A30" s="293" t="s">
        <v>107</v>
      </c>
      <c r="B30" s="29">
        <f>'CONSOLIDADO-ACUEDUCTOSRURALES1'!D14</f>
        <v>8</v>
      </c>
      <c r="C30" s="48">
        <f t="shared" si="2"/>
        <v>3.5874439461883409</v>
      </c>
      <c r="D30" s="29">
        <f>COUNTIFS('VALLE DE ABURRA'!A:A,"Itagui",'VALLE DE ABURRA'!S:S,"SIN RIESGO")</f>
        <v>2</v>
      </c>
      <c r="E30" s="48">
        <f>(D30/$B$30)*100</f>
        <v>25</v>
      </c>
      <c r="F30" s="29">
        <f>COUNTIFS('VALLE DE ABURRA'!A:A,"Itagui",'VALLE DE ABURRA'!S:S,"BAJO")</f>
        <v>6</v>
      </c>
      <c r="G30" s="48">
        <f>(F30/$B$30)*100</f>
        <v>75</v>
      </c>
      <c r="H30" s="29">
        <f>COUNTIFS('VALLE DE ABURRA'!A:A,"Itagui",'VALLE DE ABURRA'!S:S,"MEDIO")</f>
        <v>0</v>
      </c>
      <c r="I30" s="48">
        <f>(H30/$B$30)*100</f>
        <v>0</v>
      </c>
      <c r="J30" s="29">
        <f>COUNTIFS('VALLE DE ABURRA'!A:A,"Itagui",'VALLE DE ABURRA'!S:S,"ALTO")</f>
        <v>0</v>
      </c>
      <c r="K30" s="48">
        <f>(J30/$B$30)*100</f>
        <v>0</v>
      </c>
      <c r="L30" s="29">
        <f>COUNTIFS('VALLE DE ABURRA'!A:A,"Itagui",'VALLE DE ABURRA'!S:S,"INVIABLE SANITARIAMENTE")</f>
        <v>0</v>
      </c>
      <c r="M30" s="48">
        <f>(L30/$B$30)*100</f>
        <v>0</v>
      </c>
      <c r="N30" s="206">
        <f t="shared" si="3"/>
        <v>0</v>
      </c>
      <c r="O30" s="48">
        <f>(N30/$B$30)*100</f>
        <v>0</v>
      </c>
      <c r="P30" s="24"/>
    </row>
    <row r="31" spans="1:16" ht="15.75" x14ac:dyDescent="0.2">
      <c r="A31" s="293" t="s">
        <v>108</v>
      </c>
      <c r="B31" s="29">
        <f>'CONSOLIDADO-ACUEDUCTOSRURALES1'!D15</f>
        <v>15</v>
      </c>
      <c r="C31" s="48">
        <f t="shared" si="2"/>
        <v>6.7264573991031389</v>
      </c>
      <c r="D31" s="29">
        <f>COUNTIFS('VALLE DE ABURRA'!A:A,"Envigado",'VALLE DE ABURRA'!S:S,"SIN RIESGO")</f>
        <v>2</v>
      </c>
      <c r="E31" s="48">
        <f>(D31/$B$31)*100</f>
        <v>13.333333333333334</v>
      </c>
      <c r="F31" s="29">
        <f>COUNTIFS('VALLE DE ABURRA'!A:A,"Envigado",'VALLE DE ABURRA'!S:S,"BAJO")</f>
        <v>7</v>
      </c>
      <c r="G31" s="48">
        <f>(F31/$B$31)*100</f>
        <v>46.666666666666664</v>
      </c>
      <c r="H31" s="29">
        <f>COUNTIFS('VALLE DE ABURRA'!A:A,"Envigado",'VALLE DE ABURRA'!S:S,"MEDIO")</f>
        <v>5</v>
      </c>
      <c r="I31" s="48">
        <f>(H31/$B$31)*100</f>
        <v>33.333333333333329</v>
      </c>
      <c r="J31" s="29">
        <f>COUNTIFS('VALLE DE ABURRA'!A:A,"Envigado",'VALLE DE ABURRA'!S:S,"ALTO")</f>
        <v>1</v>
      </c>
      <c r="K31" s="48">
        <f>(J31/$B$31)*100</f>
        <v>6.666666666666667</v>
      </c>
      <c r="L31" s="29">
        <f>COUNTIFS('VALLE DE ABURRA'!A:A,"Envigado",'VALLE DE ABURRA'!S:S,"INVIABLE SANITARIAMENTE")</f>
        <v>0</v>
      </c>
      <c r="M31" s="48">
        <f>(L31/$B$31)*100</f>
        <v>0</v>
      </c>
      <c r="N31" s="206">
        <f t="shared" si="3"/>
        <v>0</v>
      </c>
      <c r="O31" s="48">
        <f>(N31/$B$31)*100</f>
        <v>0</v>
      </c>
      <c r="P31" s="24"/>
    </row>
    <row r="32" spans="1:16" ht="15.75" x14ac:dyDescent="0.2">
      <c r="A32" s="293" t="s">
        <v>109</v>
      </c>
      <c r="B32" s="29">
        <f>'CONSOLIDADO-ACUEDUCTOSRURALES1'!D16</f>
        <v>8</v>
      </c>
      <c r="C32" s="48">
        <f t="shared" si="2"/>
        <v>3.5874439461883409</v>
      </c>
      <c r="D32" s="29">
        <f>COUNTIFS('VALLE DE ABURRA'!A:A,"Sabaneta",'VALLE DE ABURRA'!S:S,"SIN RIESGO")</f>
        <v>5</v>
      </c>
      <c r="E32" s="48">
        <f>(D32/$B$32)*100</f>
        <v>62.5</v>
      </c>
      <c r="F32" s="29">
        <f>COUNTIFS('VALLE DE ABURRA'!A:A,"Sabaneta",'VALLE DE ABURRA'!S:S,"BAJO")</f>
        <v>2</v>
      </c>
      <c r="G32" s="48">
        <f>(F32/$B$32)*100</f>
        <v>25</v>
      </c>
      <c r="H32" s="29">
        <f>COUNTIFS('VALLE DE ABURRA'!A:A,"sabaneta",'VALLE DE ABURRA'!S:S,"MEDIO")</f>
        <v>0</v>
      </c>
      <c r="I32" s="48">
        <f>(H32/$B$32)*100</f>
        <v>0</v>
      </c>
      <c r="J32" s="29">
        <f>COUNTIFS('VALLE DE ABURRA'!A:A,"Sabaneta",'VALLE DE ABURRA'!S:S,"ALTO")</f>
        <v>0</v>
      </c>
      <c r="K32" s="48">
        <f>(J32/$B$32)*100</f>
        <v>0</v>
      </c>
      <c r="L32" s="29">
        <f>COUNTIFS('VALLE DE ABURRA'!A:A,"Sabaneta",'VALLE DE ABURRA'!S:S,"INVIABLE SANITARIAMENTE")</f>
        <v>0</v>
      </c>
      <c r="M32" s="48">
        <f>(L32/$B$32)*100</f>
        <v>0</v>
      </c>
      <c r="N32" s="206">
        <f t="shared" si="3"/>
        <v>1</v>
      </c>
      <c r="O32" s="48">
        <f>(N32/$B$32)*100</f>
        <v>12.5</v>
      </c>
      <c r="P32" s="24"/>
    </row>
    <row r="33" spans="1:16" ht="15.75" x14ac:dyDescent="0.2">
      <c r="A33" s="293" t="s">
        <v>110</v>
      </c>
      <c r="B33" s="29">
        <f>'CONSOLIDADO-ACUEDUCTOSRURALES1'!D17</f>
        <v>11</v>
      </c>
      <c r="C33" s="48">
        <f t="shared" si="2"/>
        <v>4.9327354260089686</v>
      </c>
      <c r="D33" s="29">
        <f>COUNTIFS('VALLE DE ABURRA'!A:A,"La Estrella",'VALLE DE ABURRA'!S:S,"SIN RIESGO")</f>
        <v>3</v>
      </c>
      <c r="E33" s="48">
        <f>(D33/$B$33)*100</f>
        <v>27.27272727272727</v>
      </c>
      <c r="F33" s="29">
        <f>COUNTIFS('VALLE DE ABURRA'!A:A,"La Estrella",'VALLE DE ABURRA'!S:S,"BAJO")</f>
        <v>1</v>
      </c>
      <c r="G33" s="48">
        <f>(F33/$B$33)*100</f>
        <v>9.0909090909090917</v>
      </c>
      <c r="H33" s="29">
        <f>COUNTIFS('VALLE DE ABURRA'!A:A,"La Estrella",'VALLE DE ABURRA'!S:S,"MEDIO")</f>
        <v>5</v>
      </c>
      <c r="I33" s="48">
        <f>(H33/$B$33)*100</f>
        <v>45.454545454545453</v>
      </c>
      <c r="J33" s="29">
        <f>COUNTIFS('VALLE DE ABURRA'!A:A,"La Estrella",'VALLE DE ABURRA'!S:S,"ALTO")</f>
        <v>2</v>
      </c>
      <c r="K33" s="48">
        <f>(J33/$B$33)*100</f>
        <v>18.181818181818183</v>
      </c>
      <c r="L33" s="29">
        <f>COUNTIFS('VALLE DE ABURRA'!A:A,"La Estrella",'VALLE DE ABURRA'!S:S,"INVIABLE SANITARIAMENTE")</f>
        <v>0</v>
      </c>
      <c r="M33" s="48">
        <f>(L33/$B$33)*100</f>
        <v>0</v>
      </c>
      <c r="N33" s="206">
        <f t="shared" si="3"/>
        <v>0</v>
      </c>
      <c r="O33" s="48">
        <f>(N33/$B$33)*100</f>
        <v>0</v>
      </c>
      <c r="P33" s="24"/>
    </row>
    <row r="34" spans="1:16" s="23" customFormat="1" ht="27.75" customHeight="1" x14ac:dyDescent="0.2">
      <c r="A34" s="71" t="s">
        <v>222</v>
      </c>
      <c r="B34" s="72">
        <f>SUM(B24:B33)</f>
        <v>223</v>
      </c>
      <c r="C34" s="73">
        <f>SUM(C24:C33)</f>
        <v>100.00000000000003</v>
      </c>
      <c r="D34" s="72">
        <f>SUM(D24:D33)</f>
        <v>54</v>
      </c>
      <c r="E34" s="73">
        <f>(D34/$B$34)*100</f>
        <v>24.215246636771301</v>
      </c>
      <c r="F34" s="72">
        <f>SUM(F24:F33)</f>
        <v>28</v>
      </c>
      <c r="G34" s="73">
        <f>(F34/$B$34)*100</f>
        <v>12.556053811659194</v>
      </c>
      <c r="H34" s="72">
        <f>SUM(H24:H33)</f>
        <v>46</v>
      </c>
      <c r="I34" s="73">
        <f>(H34/$B$34)*100</f>
        <v>20.627802690582961</v>
      </c>
      <c r="J34" s="72">
        <f>SUM(J24:J33)</f>
        <v>41</v>
      </c>
      <c r="K34" s="73">
        <f>(J34/$B$34)*100</f>
        <v>18.385650224215247</v>
      </c>
      <c r="L34" s="72">
        <f>SUM(L24:L33)</f>
        <v>39</v>
      </c>
      <c r="M34" s="73">
        <f>(L34/$B$34)*100</f>
        <v>17.488789237668161</v>
      </c>
      <c r="N34" s="72">
        <f>SUM(N24:N33)</f>
        <v>15</v>
      </c>
      <c r="O34" s="73">
        <f>(N34/$B$34)*100</f>
        <v>6.7264573991031389</v>
      </c>
      <c r="P34" s="25"/>
    </row>
    <row r="35" spans="1:16" x14ac:dyDescent="0.2">
      <c r="A35" s="33"/>
      <c r="B35" s="62"/>
      <c r="C35" s="33"/>
      <c r="D35" s="62"/>
      <c r="E35" s="33"/>
      <c r="F35" s="62"/>
      <c r="G35" s="33"/>
      <c r="H35" s="62"/>
      <c r="I35" s="33"/>
      <c r="J35" s="62"/>
      <c r="K35" s="33"/>
      <c r="L35" s="62"/>
      <c r="M35" s="33"/>
      <c r="N35" s="62"/>
      <c r="O35" s="33"/>
      <c r="P35" s="4"/>
    </row>
    <row r="36" spans="1:16" x14ac:dyDescent="0.2">
      <c r="A36" s="33"/>
      <c r="B36" s="62"/>
      <c r="C36" s="33"/>
      <c r="D36" s="62"/>
      <c r="E36" s="33"/>
      <c r="F36" s="62"/>
      <c r="G36" s="33"/>
      <c r="H36" s="62"/>
      <c r="I36" s="33"/>
      <c r="J36" s="62"/>
      <c r="K36" s="33"/>
      <c r="L36" s="62"/>
      <c r="M36" s="33"/>
      <c r="N36" s="62"/>
      <c r="O36" s="33"/>
      <c r="P36" s="4"/>
    </row>
    <row r="37" spans="1:16" ht="21.75" customHeight="1" x14ac:dyDescent="0.2">
      <c r="A37" s="354" t="s">
        <v>4564</v>
      </c>
      <c r="B37" s="355"/>
      <c r="C37" s="355"/>
      <c r="D37" s="355"/>
      <c r="E37" s="355"/>
      <c r="F37" s="355"/>
      <c r="G37" s="355"/>
      <c r="H37" s="355"/>
      <c r="I37" s="355"/>
      <c r="J37" s="355"/>
      <c r="K37" s="355"/>
      <c r="L37" s="355"/>
      <c r="M37" s="355"/>
      <c r="N37" s="355"/>
      <c r="O37" s="356"/>
      <c r="P37" s="24"/>
    </row>
    <row r="38" spans="1:16" ht="120" customHeight="1" x14ac:dyDescent="0.2">
      <c r="A38" s="252" t="s">
        <v>11</v>
      </c>
      <c r="B38" s="68" t="s">
        <v>252</v>
      </c>
      <c r="C38" s="252" t="s">
        <v>102</v>
      </c>
      <c r="D38" s="255" t="s">
        <v>246</v>
      </c>
      <c r="E38" s="252" t="s">
        <v>102</v>
      </c>
      <c r="F38" s="256" t="s">
        <v>247</v>
      </c>
      <c r="G38" s="252" t="s">
        <v>102</v>
      </c>
      <c r="H38" s="257" t="s">
        <v>248</v>
      </c>
      <c r="I38" s="252" t="s">
        <v>102</v>
      </c>
      <c r="J38" s="258" t="s">
        <v>249</v>
      </c>
      <c r="K38" s="252" t="s">
        <v>102</v>
      </c>
      <c r="L38" s="259" t="s">
        <v>250</v>
      </c>
      <c r="M38" s="252" t="s">
        <v>102</v>
      </c>
      <c r="N38" s="68" t="s">
        <v>251</v>
      </c>
      <c r="O38" s="252" t="s">
        <v>102</v>
      </c>
      <c r="P38" s="24"/>
    </row>
    <row r="39" spans="1:16" ht="15.75" x14ac:dyDescent="0.2">
      <c r="A39" s="58" t="s">
        <v>113</v>
      </c>
      <c r="B39" s="44">
        <f>'CONSOLIDADO-ACUEDUCTOSRURALES1'!D19</f>
        <v>10</v>
      </c>
      <c r="C39" s="48">
        <f>(B39/$B$50)*100</f>
        <v>8.5470085470085468</v>
      </c>
      <c r="D39" s="44">
        <f>COUNTIFS(URABA!A:A,"Apartadó",URABA!S:S,"SIN RIESGO")</f>
        <v>2</v>
      </c>
      <c r="E39" s="48">
        <f>(D39/$B$39)*100</f>
        <v>20</v>
      </c>
      <c r="F39" s="44">
        <f>COUNTIFS(URABA!A:A,"Apartadó",URABA!S:S,"BAJO")</f>
        <v>0</v>
      </c>
      <c r="G39" s="48">
        <f>(F39/$B$39)*100</f>
        <v>0</v>
      </c>
      <c r="H39" s="44">
        <f>COUNTIFS(URABA!A:A,"Apartadó",URABA!S:S,"MEDIO")</f>
        <v>3</v>
      </c>
      <c r="I39" s="48">
        <f>(H39/$B$39)*100</f>
        <v>30</v>
      </c>
      <c r="J39" s="44">
        <f>COUNTIFS(URABA!A:A,"Apartadó",URABA!S:S,"ALTO")</f>
        <v>3</v>
      </c>
      <c r="K39" s="48">
        <f>(J39/$B$39)*100</f>
        <v>30</v>
      </c>
      <c r="L39" s="44">
        <f>COUNTIFS(URABA!A:A,"Apartadó",URABA!S:S,"INVIABLE SANITARIAMENTE")</f>
        <v>2</v>
      </c>
      <c r="M39" s="48">
        <f>(L39/$B$39)*100</f>
        <v>20</v>
      </c>
      <c r="N39" s="44">
        <f>B39-(D39+F39+H39+J39+L39)</f>
        <v>0</v>
      </c>
      <c r="O39" s="48">
        <f>(N39/$B$39)*100</f>
        <v>0</v>
      </c>
      <c r="P39" s="24"/>
    </row>
    <row r="40" spans="1:16" ht="15.75" x14ac:dyDescent="0.2">
      <c r="A40" s="58" t="s">
        <v>114</v>
      </c>
      <c r="B40" s="44">
        <f>'CONSOLIDADO-ACUEDUCTOSRURALES1'!D20</f>
        <v>25</v>
      </c>
      <c r="C40" s="48">
        <f>(B40/$B$50)*100</f>
        <v>21.367521367521366</v>
      </c>
      <c r="D40" s="44">
        <f>COUNTIFS(URABA!A:A,"Arboletes",URABA!S:S,"SIN RIESGO")</f>
        <v>0</v>
      </c>
      <c r="E40" s="48">
        <f>(D40/$B$40)*100</f>
        <v>0</v>
      </c>
      <c r="F40" s="44">
        <f>COUNTIFS(URABA!A:A,"Arboletes",URABA!S:S,"BAJO")</f>
        <v>0</v>
      </c>
      <c r="G40" s="48">
        <f>(F40/$B$40)*100</f>
        <v>0</v>
      </c>
      <c r="H40" s="44">
        <f>COUNTIFS(URABA!A:A,"Arboletes",URABA!S:S,"MEDIO")</f>
        <v>0</v>
      </c>
      <c r="I40" s="48">
        <f>(H40/$B$40)*100</f>
        <v>0</v>
      </c>
      <c r="J40" s="44">
        <f>COUNTIFS(URABA!A:A,"Arboletes",URABA!S:S,"ALTO")</f>
        <v>0</v>
      </c>
      <c r="K40" s="48">
        <f>(J40/$B$40)*100</f>
        <v>0</v>
      </c>
      <c r="L40" s="44">
        <f>COUNTIFS(URABA!A:A,"Arboletes",URABA!S:S,"INVIABLE SANITARIAMENTE")</f>
        <v>21</v>
      </c>
      <c r="M40" s="48">
        <f>(L40/$B$40)*100</f>
        <v>84</v>
      </c>
      <c r="N40" s="204">
        <f t="shared" ref="N40:N49" si="4">B40-(D40+F40+H40+J40+L40)</f>
        <v>4</v>
      </c>
      <c r="O40" s="48">
        <f>(N40/$B$40)*100</f>
        <v>16</v>
      </c>
      <c r="P40" s="24"/>
    </row>
    <row r="41" spans="1:16" ht="15.75" x14ac:dyDescent="0.2">
      <c r="A41" s="58" t="s">
        <v>115</v>
      </c>
      <c r="B41" s="44">
        <f>'CONSOLIDADO-ACUEDUCTOSRURALES1'!D21</f>
        <v>17</v>
      </c>
      <c r="C41" s="48">
        <f t="shared" ref="C41:C49" si="5">(B41/$B$50)*100</f>
        <v>14.529914529914532</v>
      </c>
      <c r="D41" s="44">
        <f>COUNTIFS(URABA!A:A,"Carepa",URABA!S:S,"SIN RIESGO")</f>
        <v>3</v>
      </c>
      <c r="E41" s="48">
        <f>(D41/$B$41)*100</f>
        <v>17.647058823529413</v>
      </c>
      <c r="F41" s="44">
        <f>COUNTIFS(URABA!A:A,"Carepa",URABA!S:S,"BAJO")</f>
        <v>0</v>
      </c>
      <c r="G41" s="48">
        <f>(F41/$B$41)*100</f>
        <v>0</v>
      </c>
      <c r="H41" s="44">
        <f>COUNTIFS(URABA!A:A,"Carepa",URABA!S:S,"MEDIO")</f>
        <v>0</v>
      </c>
      <c r="I41" s="48">
        <f>(H41/$B$41)*100</f>
        <v>0</v>
      </c>
      <c r="J41" s="44">
        <f>COUNTIFS(URABA!A:A,"Carepa",URABA!S:S,"ALTO")</f>
        <v>4</v>
      </c>
      <c r="K41" s="48">
        <f>(J41/$B$41)*100</f>
        <v>23.52941176470588</v>
      </c>
      <c r="L41" s="44">
        <f>COUNTIFS(URABA!A:A,"Carepa",URABA!S:S,"INVIABLE SANITARIAMENTE")</f>
        <v>10</v>
      </c>
      <c r="M41" s="48">
        <f>(L41/$B$41)*100</f>
        <v>58.82352941176471</v>
      </c>
      <c r="N41" s="204">
        <f t="shared" si="4"/>
        <v>0</v>
      </c>
      <c r="O41" s="48">
        <f>(N41/$B$41)*100</f>
        <v>0</v>
      </c>
      <c r="P41" s="24"/>
    </row>
    <row r="42" spans="1:16" ht="15.75" x14ac:dyDescent="0.2">
      <c r="A42" s="58" t="s">
        <v>116</v>
      </c>
      <c r="B42" s="44">
        <f>'CONSOLIDADO-ACUEDUCTOSRURALES1'!D22</f>
        <v>4</v>
      </c>
      <c r="C42" s="48">
        <f t="shared" si="5"/>
        <v>3.4188034188034191</v>
      </c>
      <c r="D42" s="44">
        <f>COUNTIFS(URABA!A:A,"Chigorodó",URABA!S:S,"SIN RIESGO")</f>
        <v>0</v>
      </c>
      <c r="E42" s="48">
        <f>(D42/$B$42)*100</f>
        <v>0</v>
      </c>
      <c r="F42" s="44">
        <f>COUNTIFS(URABA!A:A,"Chigorodó",URABA!S:S,"BAJO")</f>
        <v>0</v>
      </c>
      <c r="G42" s="48">
        <f>(F42/$B$42)*100</f>
        <v>0</v>
      </c>
      <c r="H42" s="44">
        <f>COUNTIFS(URABA!A:A,"Chigorodó",URABA!S:S,"MEDIO")</f>
        <v>3</v>
      </c>
      <c r="I42" s="48">
        <f>(H42/$B$42)*100</f>
        <v>75</v>
      </c>
      <c r="J42" s="44">
        <f>COUNTIFS(URABA!A:A,"Chigorodó",URABA!S:S,"ALTO")</f>
        <v>1</v>
      </c>
      <c r="K42" s="48">
        <f>(J42/$B$42)*100</f>
        <v>25</v>
      </c>
      <c r="L42" s="44">
        <f>COUNTIFS(URABA!A:A,"Chigorodó",URABA!S:S,"INVIABLE SANITARIAMENTE")</f>
        <v>0</v>
      </c>
      <c r="M42" s="48">
        <f>(L42/$B$42)*100</f>
        <v>0</v>
      </c>
      <c r="N42" s="204">
        <f t="shared" si="4"/>
        <v>0</v>
      </c>
      <c r="O42" s="48">
        <f>(N42/$B$42)*100</f>
        <v>0</v>
      </c>
      <c r="P42" s="24"/>
    </row>
    <row r="43" spans="1:16" ht="15.75" x14ac:dyDescent="0.2">
      <c r="A43" s="58" t="s">
        <v>82</v>
      </c>
      <c r="B43" s="44">
        <f>'CONSOLIDADO-ACUEDUCTOSRURALES1'!D23</f>
        <v>0</v>
      </c>
      <c r="C43" s="48">
        <f t="shared" si="5"/>
        <v>0</v>
      </c>
      <c r="D43" s="44">
        <f>COUNTIFS(URABA!A:A,"Murindo",URABA!S:S,"SIN RIESGO")</f>
        <v>0</v>
      </c>
      <c r="E43" s="48">
        <v>0</v>
      </c>
      <c r="F43" s="44">
        <f>COUNTIFS(URABA!A:A,"Murindo",URABA!S:S,"BAJO")</f>
        <v>0</v>
      </c>
      <c r="G43" s="48">
        <v>0</v>
      </c>
      <c r="H43" s="44">
        <f>COUNTIFS(URABA!A:A,"Murindo",URABA!S:S,"MEDIO")</f>
        <v>0</v>
      </c>
      <c r="I43" s="48">
        <v>0</v>
      </c>
      <c r="J43" s="44">
        <f>COUNTIFS(URABA!A:A,"Murindo",URABA!S:S,"ALTO")</f>
        <v>0</v>
      </c>
      <c r="K43" s="48">
        <v>0</v>
      </c>
      <c r="L43" s="44">
        <f>COUNTIFS(URABA!A:A,"Murindo",URABA!S:S,"INVIABLE SANITARIAMENTE")</f>
        <v>0</v>
      </c>
      <c r="M43" s="48">
        <v>0</v>
      </c>
      <c r="N43" s="204">
        <f t="shared" si="4"/>
        <v>0</v>
      </c>
      <c r="O43" s="48">
        <v>0</v>
      </c>
      <c r="P43" s="24"/>
    </row>
    <row r="44" spans="1:16" ht="15.75" x14ac:dyDescent="0.2">
      <c r="A44" s="58" t="s">
        <v>117</v>
      </c>
      <c r="B44" s="44">
        <f>'CONSOLIDADO-ACUEDUCTOSRURALES1'!D24</f>
        <v>14</v>
      </c>
      <c r="C44" s="48">
        <f t="shared" si="5"/>
        <v>11.965811965811966</v>
      </c>
      <c r="D44" s="44">
        <f>COUNTIFS(URABA!A:A,"Mutatá",URABA!S:S,"SIN RIESGO")</f>
        <v>1</v>
      </c>
      <c r="E44" s="48">
        <f>(D44/$B$44)*100</f>
        <v>7.1428571428571423</v>
      </c>
      <c r="F44" s="44">
        <f>COUNTIFS(URABA!A:A,"Mutatá",URABA!S:S,"BAJO")</f>
        <v>0</v>
      </c>
      <c r="G44" s="48">
        <f>(F44/$B$44)*100</f>
        <v>0</v>
      </c>
      <c r="H44" s="44">
        <f>COUNTIFS(URABA!A:A,"Mutatá",URABA!S:S,"MEDIO")</f>
        <v>0</v>
      </c>
      <c r="I44" s="48">
        <f>(H44/$B$44)*100</f>
        <v>0</v>
      </c>
      <c r="J44" s="44">
        <f>COUNTIFS(URABA!A:A,"Mutatá",URABA!S:S,"ALTO")</f>
        <v>9</v>
      </c>
      <c r="K44" s="48">
        <f>(J44/$B$44)*100</f>
        <v>64.285714285714292</v>
      </c>
      <c r="L44" s="44">
        <f>COUNTIFS(URABA!A:A,"Mutatá",URABA!S:S,"INVIABLE SANITARIAMENTE")</f>
        <v>1</v>
      </c>
      <c r="M44" s="48">
        <f>(L44/$B$44)*100</f>
        <v>7.1428571428571423</v>
      </c>
      <c r="N44" s="204">
        <f t="shared" si="4"/>
        <v>3</v>
      </c>
      <c r="O44" s="48">
        <f>(N44/$B$44)*100</f>
        <v>21.428571428571427</v>
      </c>
      <c r="P44" s="24"/>
    </row>
    <row r="45" spans="1:16" ht="15.75" x14ac:dyDescent="0.2">
      <c r="A45" s="58" t="s">
        <v>118</v>
      </c>
      <c r="B45" s="44">
        <f>'CONSOLIDADO-ACUEDUCTOSRURALES1'!D25</f>
        <v>23</v>
      </c>
      <c r="C45" s="48">
        <f t="shared" si="5"/>
        <v>19.658119658119659</v>
      </c>
      <c r="D45" s="44">
        <f>COUNTIFS(URABA!A:A,"Necoclí",URABA!S:S,"SIN RIESGO")</f>
        <v>4</v>
      </c>
      <c r="E45" s="48">
        <f>(D45/$B$45)*100</f>
        <v>17.391304347826086</v>
      </c>
      <c r="F45" s="44">
        <f>COUNTIFS(URABA!A:A,"Necoclí",URABA!S:S,"BAJO")</f>
        <v>0</v>
      </c>
      <c r="G45" s="48">
        <f>(F45/$B$45)*100</f>
        <v>0</v>
      </c>
      <c r="H45" s="44">
        <f>COUNTIFS(URABA!A:A,"Necoclí",URABA!S:S,"MEDIO")</f>
        <v>0</v>
      </c>
      <c r="I45" s="48">
        <f>(H45/$B$45)*100</f>
        <v>0</v>
      </c>
      <c r="J45" s="44">
        <f>COUNTIFS(URABA!A:A,"Necoclí",URABA!S:S,"ALTO")</f>
        <v>0</v>
      </c>
      <c r="K45" s="48">
        <f>(J45/$B$45)*100</f>
        <v>0</v>
      </c>
      <c r="L45" s="44">
        <f>COUNTIFS(URABA!A:A,"Necoclí",URABA!S:S,"INVIABLE SANITARIAMENTE")</f>
        <v>15</v>
      </c>
      <c r="M45" s="48">
        <f>(L45/$B$45)*100</f>
        <v>65.217391304347828</v>
      </c>
      <c r="N45" s="204">
        <f t="shared" si="4"/>
        <v>4</v>
      </c>
      <c r="O45" s="48">
        <f>(N45/$B$45)*100</f>
        <v>17.391304347826086</v>
      </c>
      <c r="P45" s="24"/>
    </row>
    <row r="46" spans="1:16" ht="15.75" x14ac:dyDescent="0.2">
      <c r="A46" s="58" t="s">
        <v>119</v>
      </c>
      <c r="B46" s="44">
        <f>'CONSOLIDADO-ACUEDUCTOSRURALES1'!D26</f>
        <v>4</v>
      </c>
      <c r="C46" s="48">
        <f t="shared" si="5"/>
        <v>3.4188034188034191</v>
      </c>
      <c r="D46" s="44">
        <f>COUNTIFS(URABA!A:A,"San Juan De Urabá",URABA!S:S,"SIN RIESGO")</f>
        <v>0</v>
      </c>
      <c r="E46" s="48">
        <f>(D46/$B$46)*100</f>
        <v>0</v>
      </c>
      <c r="F46" s="44">
        <f>COUNTIFS(URABA!A:A,"San Juan De Urabá",URABA!S:S,"BAJO")</f>
        <v>0</v>
      </c>
      <c r="G46" s="48">
        <f>(F46/$B$46)*100</f>
        <v>0</v>
      </c>
      <c r="H46" s="44">
        <f>COUNTIFS(URABA!A:A,"San Juan De Urabá",URABA!S:S,"MEDIO")</f>
        <v>0</v>
      </c>
      <c r="I46" s="48">
        <f>(H46/$B$46)*100</f>
        <v>0</v>
      </c>
      <c r="J46" s="44">
        <f>COUNTIFS(URABA!A:A,"San Juan De Urabá",URABA!S:S,"ALTO")</f>
        <v>0</v>
      </c>
      <c r="K46" s="48">
        <f>(J46/$B$46)*100</f>
        <v>0</v>
      </c>
      <c r="L46" s="44">
        <f>COUNTIFS(URABA!A:A,"San Juan De Urabá",URABA!S:S,"INVIABLE SANITARIAMENTE")</f>
        <v>4</v>
      </c>
      <c r="M46" s="48">
        <f>(L46/$B$46)*100</f>
        <v>100</v>
      </c>
      <c r="N46" s="204">
        <f t="shared" si="4"/>
        <v>0</v>
      </c>
      <c r="O46" s="48">
        <f>(N46/$B$46)*100</f>
        <v>0</v>
      </c>
      <c r="P46" s="24"/>
    </row>
    <row r="47" spans="1:16" ht="15.75" x14ac:dyDescent="0.2">
      <c r="A47" s="58" t="s">
        <v>120</v>
      </c>
      <c r="B47" s="44">
        <f>'CONSOLIDADO-ACUEDUCTOSRURALES1'!D27</f>
        <v>6</v>
      </c>
      <c r="C47" s="48">
        <f t="shared" si="5"/>
        <v>5.1282051282051277</v>
      </c>
      <c r="D47" s="44">
        <f>COUNTIFS(URABA!A:A,"San Pedro de Urabá",URABA!S:S,"SIN RIESGO")</f>
        <v>0</v>
      </c>
      <c r="E47" s="48">
        <f>(D47/$B$47)*100</f>
        <v>0</v>
      </c>
      <c r="F47" s="44">
        <f>COUNTIFS(URABA!A:A,"San Pedro de Urabá",URABA!S:S,"BAJO")</f>
        <v>0</v>
      </c>
      <c r="G47" s="48">
        <f>(F47/$B$47)*100</f>
        <v>0</v>
      </c>
      <c r="H47" s="44">
        <f>COUNTIFS(URABA!A:A,"San Pedro de Urabá",URABA!S:S,"MEDIO")</f>
        <v>0</v>
      </c>
      <c r="I47" s="48">
        <f>(H47/$B$47)*100</f>
        <v>0</v>
      </c>
      <c r="J47" s="44">
        <f>COUNTIFS(URABA!A:A,"San Pedro De Uraba",URABA!S:S,"ALTO")</f>
        <v>0</v>
      </c>
      <c r="K47" s="48">
        <f>(J47/$B$47)*100</f>
        <v>0</v>
      </c>
      <c r="L47" s="44">
        <f>COUNTIFS(URABA!A:A,"San Pedro de Urabá",URABA!S:S,"INVIABLE SANITARIAMENTE")</f>
        <v>4</v>
      </c>
      <c r="M47" s="48">
        <f>(L47/$B$47)*100</f>
        <v>66.666666666666657</v>
      </c>
      <c r="N47" s="204">
        <f t="shared" si="4"/>
        <v>2</v>
      </c>
      <c r="O47" s="48">
        <f>(N47/$B$47)*100</f>
        <v>33.333333333333329</v>
      </c>
      <c r="P47" s="24"/>
    </row>
    <row r="48" spans="1:16" ht="15.75" x14ac:dyDescent="0.2">
      <c r="A48" s="58" t="s">
        <v>121</v>
      </c>
      <c r="B48" s="44">
        <f>'CONSOLIDADO-ACUEDUCTOSRURALES1'!D28</f>
        <v>0</v>
      </c>
      <c r="C48" s="48">
        <f t="shared" si="5"/>
        <v>0</v>
      </c>
      <c r="D48" s="44">
        <f>COUNTIFS(URABA!A:A,"Vigia Del Fuerte",URABA!S:S,"SIN RIESGO")</f>
        <v>0</v>
      </c>
      <c r="E48" s="48">
        <v>0</v>
      </c>
      <c r="F48" s="44">
        <f>COUNTIFS(URABA!A:A,"Vigia Del Fuerte",URABA!S:S,"BAJO")</f>
        <v>0</v>
      </c>
      <c r="G48" s="48">
        <v>0</v>
      </c>
      <c r="H48" s="44">
        <f>COUNTIFS(URABA!A:A,"Vigia Del Fuerte",URABA!S:S,"MEDIO")</f>
        <v>0</v>
      </c>
      <c r="I48" s="48">
        <v>0</v>
      </c>
      <c r="J48" s="44">
        <f>COUNTIFS(URABA!A:A,"Vigia Del Fuerte",URABA!S:S,"ALTO")</f>
        <v>0</v>
      </c>
      <c r="K48" s="48">
        <v>0</v>
      </c>
      <c r="L48" s="44">
        <f>COUNTIFS(URABA!A:A,"Vigia Del Fuerte",URABA!S:S,"INVIABLE SANITARIAMENTE")</f>
        <v>0</v>
      </c>
      <c r="M48" s="48">
        <v>0</v>
      </c>
      <c r="N48" s="204">
        <f t="shared" si="4"/>
        <v>0</v>
      </c>
      <c r="O48" s="48">
        <v>0</v>
      </c>
      <c r="P48" s="24"/>
    </row>
    <row r="49" spans="1:16" ht="15.75" x14ac:dyDescent="0.2">
      <c r="A49" s="58" t="s">
        <v>122</v>
      </c>
      <c r="B49" s="44">
        <f>'CONSOLIDADO-ACUEDUCTOSRURALES1'!D29</f>
        <v>14</v>
      </c>
      <c r="C49" s="48">
        <f t="shared" si="5"/>
        <v>11.965811965811966</v>
      </c>
      <c r="D49" s="44">
        <f>COUNTIFS(URABA!A:A,"Turbo",URABA!S:S,"SIN RIESGO")</f>
        <v>3</v>
      </c>
      <c r="E49" s="48">
        <f>(D49/$B$49)*100</f>
        <v>21.428571428571427</v>
      </c>
      <c r="F49" s="44">
        <f>COUNTIFS(URABA!A:A,"Turbo",URABA!S:S,"BAJO")</f>
        <v>0</v>
      </c>
      <c r="G49" s="48">
        <f>(F49/$B$49)*100</f>
        <v>0</v>
      </c>
      <c r="H49" s="44">
        <f>COUNTIFS(URABA!A:A,"Turbo",URABA!S:S,"MEDIO")</f>
        <v>0</v>
      </c>
      <c r="I49" s="48">
        <f>(H49/$B$49)*100</f>
        <v>0</v>
      </c>
      <c r="J49" s="44">
        <f>COUNTIFS(URABA!A:A,"Turbo",URABA!S:S,"ALTO")</f>
        <v>6</v>
      </c>
      <c r="K49" s="48">
        <f>(J49/$B$49)*100</f>
        <v>42.857142857142854</v>
      </c>
      <c r="L49" s="44">
        <f>COUNTIFS(URABA!A:A,"Turbo",URABA!S:S,"INVIABLE SANITARIAMENTE")</f>
        <v>2</v>
      </c>
      <c r="M49" s="48">
        <f>(L49/$B$49)*100</f>
        <v>14.285714285714285</v>
      </c>
      <c r="N49" s="204">
        <f t="shared" si="4"/>
        <v>3</v>
      </c>
      <c r="O49" s="48">
        <f>(N49/$B$49)*100</f>
        <v>21.428571428571427</v>
      </c>
      <c r="P49" s="24"/>
    </row>
    <row r="50" spans="1:16" s="23" customFormat="1" ht="24.75" customHeight="1" x14ac:dyDescent="0.2">
      <c r="A50" s="71" t="s">
        <v>222</v>
      </c>
      <c r="B50" s="72">
        <f>SUM(B39:B49)</f>
        <v>117</v>
      </c>
      <c r="C50" s="73">
        <f>SUM(C39:C49)</f>
        <v>100</v>
      </c>
      <c r="D50" s="72">
        <f>SUM(D39:D49)</f>
        <v>13</v>
      </c>
      <c r="E50" s="73">
        <f>(D50/$B$50)*100</f>
        <v>11.111111111111111</v>
      </c>
      <c r="F50" s="72">
        <f>SUM(F39:F49)</f>
        <v>0</v>
      </c>
      <c r="G50" s="73">
        <f>(F50/$B$50)*100</f>
        <v>0</v>
      </c>
      <c r="H50" s="72">
        <f>SUM(H39:H49)</f>
        <v>6</v>
      </c>
      <c r="I50" s="73">
        <f>(H50/$B$50)*100</f>
        <v>5.1282051282051277</v>
      </c>
      <c r="J50" s="72">
        <f>SUM(J39:J49)</f>
        <v>23</v>
      </c>
      <c r="K50" s="73">
        <f>(J50/$B$50)*100</f>
        <v>19.658119658119659</v>
      </c>
      <c r="L50" s="72">
        <f>SUM(L39:L49)</f>
        <v>59</v>
      </c>
      <c r="M50" s="73">
        <f>(L50/$B$50)*100</f>
        <v>50.427350427350426</v>
      </c>
      <c r="N50" s="72">
        <f>SUM(N39:N49)</f>
        <v>16</v>
      </c>
      <c r="O50" s="73">
        <f>(N50/$B$50)*100</f>
        <v>13.675213675213676</v>
      </c>
      <c r="P50" s="26"/>
    </row>
    <row r="51" spans="1:16" x14ac:dyDescent="0.2">
      <c r="A51" s="33"/>
      <c r="B51" s="62"/>
      <c r="C51" s="33"/>
      <c r="D51" s="62"/>
      <c r="E51" s="33"/>
      <c r="F51" s="62"/>
      <c r="G51" s="33"/>
      <c r="H51" s="62"/>
      <c r="I51" s="33"/>
      <c r="J51" s="62"/>
      <c r="K51" s="33"/>
      <c r="L51" s="62"/>
      <c r="M51" s="33"/>
      <c r="N51" s="62"/>
      <c r="O51" s="33"/>
      <c r="P51" s="4"/>
    </row>
    <row r="52" spans="1:16" x14ac:dyDescent="0.2">
      <c r="A52" s="33"/>
      <c r="B52" s="62"/>
      <c r="C52" s="33"/>
      <c r="D52" s="62"/>
      <c r="E52" s="33"/>
      <c r="F52" s="62"/>
      <c r="G52" s="33"/>
      <c r="H52" s="62"/>
      <c r="I52" s="33"/>
      <c r="J52" s="62"/>
      <c r="K52" s="33"/>
      <c r="L52" s="62"/>
      <c r="M52" s="33"/>
      <c r="N52" s="62"/>
      <c r="O52" s="33"/>
      <c r="P52" s="4"/>
    </row>
    <row r="53" spans="1:16" x14ac:dyDescent="0.2">
      <c r="A53" s="33"/>
      <c r="B53" s="62"/>
      <c r="C53" s="33"/>
      <c r="D53" s="62"/>
      <c r="E53" s="33"/>
      <c r="F53" s="62"/>
      <c r="G53" s="33"/>
      <c r="H53" s="62"/>
      <c r="I53" s="33"/>
      <c r="J53" s="62"/>
      <c r="K53" s="33"/>
      <c r="L53" s="62"/>
      <c r="M53" s="33"/>
      <c r="N53" s="62"/>
      <c r="O53" s="33"/>
      <c r="P53" s="4"/>
    </row>
    <row r="54" spans="1:16" ht="21.75" customHeight="1" x14ac:dyDescent="0.2">
      <c r="A54" s="354" t="s">
        <v>4563</v>
      </c>
      <c r="B54" s="357"/>
      <c r="C54" s="357"/>
      <c r="D54" s="357"/>
      <c r="E54" s="357"/>
      <c r="F54" s="357"/>
      <c r="G54" s="357"/>
      <c r="H54" s="357"/>
      <c r="I54" s="357"/>
      <c r="J54" s="357"/>
      <c r="K54" s="357"/>
      <c r="L54" s="357"/>
      <c r="M54" s="357"/>
      <c r="N54" s="357"/>
      <c r="O54" s="358"/>
      <c r="P54" s="24"/>
    </row>
    <row r="55" spans="1:16" ht="120.75" customHeight="1" x14ac:dyDescent="0.2">
      <c r="A55" s="252" t="s">
        <v>11</v>
      </c>
      <c r="B55" s="68" t="s">
        <v>252</v>
      </c>
      <c r="C55" s="252" t="s">
        <v>102</v>
      </c>
      <c r="D55" s="255" t="s">
        <v>246</v>
      </c>
      <c r="E55" s="252" t="s">
        <v>102</v>
      </c>
      <c r="F55" s="256" t="s">
        <v>247</v>
      </c>
      <c r="G55" s="252" t="s">
        <v>102</v>
      </c>
      <c r="H55" s="257" t="s">
        <v>248</v>
      </c>
      <c r="I55" s="252" t="s">
        <v>102</v>
      </c>
      <c r="J55" s="258" t="s">
        <v>249</v>
      </c>
      <c r="K55" s="252" t="s">
        <v>102</v>
      </c>
      <c r="L55" s="259" t="s">
        <v>250</v>
      </c>
      <c r="M55" s="252" t="s">
        <v>102</v>
      </c>
      <c r="N55" s="68" t="s">
        <v>251</v>
      </c>
      <c r="O55" s="252" t="s">
        <v>102</v>
      </c>
      <c r="P55" s="24"/>
    </row>
    <row r="56" spans="1:16" ht="15.75" x14ac:dyDescent="0.2">
      <c r="A56" s="293" t="s">
        <v>124</v>
      </c>
      <c r="B56" s="44">
        <f>'CONSOLIDADO-ACUEDUCTOSRURALES1'!D31</f>
        <v>24</v>
      </c>
      <c r="C56" s="48">
        <f>(B56/$B$73)*100</f>
        <v>9.1954022988505741</v>
      </c>
      <c r="D56" s="44">
        <f>COUNTIFS(NORTE!A:A,"Angostura",NORTE!S:S,"SIN RIESGO")</f>
        <v>1</v>
      </c>
      <c r="E56" s="48">
        <f>(D56/$B$56)*100</f>
        <v>4.1666666666666661</v>
      </c>
      <c r="F56" s="230">
        <f>COUNTIFS(NORTE!A:A,"Angostura",NORTE!S:S,"BAJO")</f>
        <v>0</v>
      </c>
      <c r="G56" s="48">
        <f>(F56/$B$56)*100</f>
        <v>0</v>
      </c>
      <c r="H56" s="44">
        <f>COUNTIFS(NORTE!A:A,"Angostura",NORTE!S:S,"MEDIO")</f>
        <v>0</v>
      </c>
      <c r="I56" s="48">
        <f>(H56/$B$56)*100</f>
        <v>0</v>
      </c>
      <c r="J56" s="209">
        <f>COUNTIFS(NORTE!A:A,"Angostura",NORTE!S:S,"ALTO")</f>
        <v>0</v>
      </c>
      <c r="K56" s="48">
        <f>(J56/$B$56)*100</f>
        <v>0</v>
      </c>
      <c r="L56" s="209">
        <f>COUNTIFS(NORTE!A:A,"Angostura",NORTE!S:S,"INVIABLE SANITARIAMENTE")</f>
        <v>7</v>
      </c>
      <c r="M56" s="48">
        <f>(L56/$B$56)*100</f>
        <v>29.166666666666668</v>
      </c>
      <c r="N56" s="44">
        <f>B56-(D56+F56+H56+J56+L56)</f>
        <v>16</v>
      </c>
      <c r="O56" s="48">
        <f>(N56/$B$56)*100</f>
        <v>66.666666666666657</v>
      </c>
      <c r="P56" s="24"/>
    </row>
    <row r="57" spans="1:16" ht="15.75" x14ac:dyDescent="0.2">
      <c r="A57" s="293" t="s">
        <v>125</v>
      </c>
      <c r="B57" s="44">
        <f>'CONSOLIDADO-ACUEDUCTOSRURALES1'!D32</f>
        <v>9</v>
      </c>
      <c r="C57" s="48">
        <f>(B57/$B$73)*100</f>
        <v>3.4482758620689653</v>
      </c>
      <c r="D57" s="204">
        <f>COUNTIFS(NORTE!A:A,"Belmira",NORTE!S:S,"SIN RIESGO")</f>
        <v>1</v>
      </c>
      <c r="E57" s="48">
        <f>(D57/$B$57)*100</f>
        <v>11.111111111111111</v>
      </c>
      <c r="F57" s="209">
        <f>COUNTIFS(NORTE!A:A,"Belmira",NORTE!S:S,"BAJO")</f>
        <v>0</v>
      </c>
      <c r="G57" s="48">
        <f>(F57/$B$57)*100</f>
        <v>0</v>
      </c>
      <c r="H57" s="228">
        <f>COUNTIFS(NORTE!A:A,"Belmira",NORTE!S:S,"MEDIO")</f>
        <v>0</v>
      </c>
      <c r="I57" s="48">
        <f>(H57/$B$57)*100</f>
        <v>0</v>
      </c>
      <c r="J57" s="209">
        <f>COUNTIFS(NORTE!A:A,"Belmira",NORTE!S:S,"ALTO")</f>
        <v>1</v>
      </c>
      <c r="K57" s="48">
        <f>(J57/$B$57)*100</f>
        <v>11.111111111111111</v>
      </c>
      <c r="L57" s="209">
        <f>COUNTIFS(NORTE!A:A,"Belmira",NORTE!S:S,"INVIABLE SANITARIAMENTE")</f>
        <v>7</v>
      </c>
      <c r="M57" s="48">
        <f>(L57/$B$57)*100</f>
        <v>77.777777777777786</v>
      </c>
      <c r="N57" s="204">
        <f t="shared" ref="N57:N72" si="6">B57-(D57+F57+H57+J57+L57)</f>
        <v>0</v>
      </c>
      <c r="O57" s="48">
        <f>(N57/$B$57)*100</f>
        <v>0</v>
      </c>
      <c r="P57" s="24"/>
    </row>
    <row r="58" spans="1:16" ht="15.75" x14ac:dyDescent="0.2">
      <c r="A58" s="293" t="s">
        <v>126</v>
      </c>
      <c r="B58" s="44">
        <f>'CONSOLIDADO-ACUEDUCTOSRURALES1'!D33</f>
        <v>13</v>
      </c>
      <c r="C58" s="48">
        <f t="shared" ref="C58:C72" si="7">(B58/$B$73)*100</f>
        <v>4.980842911877394</v>
      </c>
      <c r="D58" s="204">
        <f>COUNTIFS(NORTE!A:A,"Briceño",NORTE!S:S,"SIN RIESGO")</f>
        <v>0</v>
      </c>
      <c r="E58" s="48">
        <f>(D58/$B$58)*100</f>
        <v>0</v>
      </c>
      <c r="F58" s="209">
        <f>COUNTIFS(NORTE!C:C,"Briceño",NORTE!U:U, "BAJO")</f>
        <v>0</v>
      </c>
      <c r="G58" s="48">
        <f>(F58/$B$58)*100</f>
        <v>0</v>
      </c>
      <c r="H58" s="228">
        <f>COUNTIFS(NORTE!A:A,"Briceño",NORTE!S:S,"MEDIO")</f>
        <v>0</v>
      </c>
      <c r="I58" s="48">
        <f>(H58/$B$58)*100</f>
        <v>0</v>
      </c>
      <c r="J58" s="209">
        <f>COUNTIFS(NORTE!A:A,"Briceño",NORTE!S:S,"ALTO")</f>
        <v>5</v>
      </c>
      <c r="K58" s="48">
        <f>(J58/$B$58)*100</f>
        <v>38.461538461538467</v>
      </c>
      <c r="L58" s="209">
        <f>COUNTIFS(NORTE!A:A,"Briceño",NORTE!S:S,"INVIABLE SANITARIAMENTE")</f>
        <v>7</v>
      </c>
      <c r="M58" s="48">
        <f>(L58/$B$58)*100</f>
        <v>53.846153846153847</v>
      </c>
      <c r="N58" s="204">
        <f t="shared" si="6"/>
        <v>1</v>
      </c>
      <c r="O58" s="48">
        <f>(N58/$B$58)*100</f>
        <v>7.6923076923076925</v>
      </c>
      <c r="P58" s="24"/>
    </row>
    <row r="59" spans="1:16" ht="15.75" x14ac:dyDescent="0.2">
      <c r="A59" s="293" t="s">
        <v>127</v>
      </c>
      <c r="B59" s="44">
        <f>'CONSOLIDADO-ACUEDUCTOSRURALES1'!D34</f>
        <v>17</v>
      </c>
      <c r="C59" s="48">
        <f t="shared" si="7"/>
        <v>6.5134099616858236</v>
      </c>
      <c r="D59" s="204">
        <f>COUNTIFS(NORTE!A:A,"Campamento",NORTE!S:S,"SIN RIESGO")</f>
        <v>0</v>
      </c>
      <c r="E59" s="48">
        <f>(D59/$B$59)*100</f>
        <v>0</v>
      </c>
      <c r="F59" s="209">
        <f>COUNTIFS(NORTE!A:A,"Campamento",NORTE!S:S, "BAJO")</f>
        <v>0</v>
      </c>
      <c r="G59" s="48">
        <f>(F59/$B$59)*100</f>
        <v>0</v>
      </c>
      <c r="H59" s="228">
        <f>COUNTIFS(NORTE!A:A,"Campamento",NORTE!S:S,"MEDIO")</f>
        <v>0</v>
      </c>
      <c r="I59" s="48">
        <f>(H59/$B$59)*100</f>
        <v>0</v>
      </c>
      <c r="J59" s="212">
        <f>COUNTIFS(NORTE!A:A,"Campamento",NORTE!S:S,"ALTO")</f>
        <v>0</v>
      </c>
      <c r="K59" s="48">
        <f>(J59/$B$59)*100</f>
        <v>0</v>
      </c>
      <c r="L59" s="212">
        <f>COUNTIFS(NORTE!A:A,"Campamento",NORTE!S:S,"INVIABLE SANITARIAMENTE")</f>
        <v>1</v>
      </c>
      <c r="M59" s="48">
        <f>(L59/$B$59)*100</f>
        <v>5.8823529411764701</v>
      </c>
      <c r="N59" s="204">
        <f t="shared" si="6"/>
        <v>16</v>
      </c>
      <c r="O59" s="48">
        <f>(N59/$B$59)*100</f>
        <v>94.117647058823522</v>
      </c>
      <c r="P59" s="24"/>
    </row>
    <row r="60" spans="1:16" ht="15.75" x14ac:dyDescent="0.2">
      <c r="A60" s="293" t="s">
        <v>128</v>
      </c>
      <c r="B60" s="44">
        <f>'CONSOLIDADO-ACUEDUCTOSRURALES1'!D35</f>
        <v>7</v>
      </c>
      <c r="C60" s="48">
        <f t="shared" si="7"/>
        <v>2.6819923371647509</v>
      </c>
      <c r="D60" s="204">
        <f>COUNTIFS(NORTE!A:A,"Carolina del Príncipe",NORTE!S:S,"SIN RIESGO")</f>
        <v>0</v>
      </c>
      <c r="E60" s="48">
        <f>(D60/$B$60)*100</f>
        <v>0</v>
      </c>
      <c r="F60" s="231">
        <f>COUNTIFS(NORTE!A:A,"Carolina del Príncipe",NORTE!S:S, "BAJO")</f>
        <v>0</v>
      </c>
      <c r="G60" s="48">
        <f>(F60/$B$60)*100</f>
        <v>0</v>
      </c>
      <c r="H60" s="228">
        <f>COUNTIFS(NORTE!A:A,"Carolina del Príncipe",NORTE!S:S,"MEDIO")</f>
        <v>0</v>
      </c>
      <c r="I60" s="48">
        <f>(H60/$B$60)*100</f>
        <v>0</v>
      </c>
      <c r="J60" s="212">
        <f>COUNTIFS(NORTE!A:A,"Carolina del Príncipe",NORTE!S:S,"ALTO")</f>
        <v>4</v>
      </c>
      <c r="K60" s="48">
        <f>(J60/$B$60)*100</f>
        <v>57.142857142857139</v>
      </c>
      <c r="L60" s="212">
        <f>COUNTIFS(NORTE!A:A,"Carolina del Príncipe",NORTE!S:S,"INVIABLE SANITARIAMENTE")</f>
        <v>0</v>
      </c>
      <c r="M60" s="48">
        <f>(L60/$B$60)*100</f>
        <v>0</v>
      </c>
      <c r="N60" s="204">
        <f t="shared" si="6"/>
        <v>3</v>
      </c>
      <c r="O60" s="48">
        <f>(N60/$B$60)*100</f>
        <v>42.857142857142854</v>
      </c>
      <c r="P60" s="24"/>
    </row>
    <row r="61" spans="1:16" ht="15.75" x14ac:dyDescent="0.2">
      <c r="A61" s="293" t="s">
        <v>129</v>
      </c>
      <c r="B61" s="44">
        <f>'CONSOLIDADO-ACUEDUCTOSRURALES1'!D36</f>
        <v>5</v>
      </c>
      <c r="C61" s="48">
        <f t="shared" si="7"/>
        <v>1.9157088122605364</v>
      </c>
      <c r="D61" s="204">
        <f>COUNTIFS(NORTE!A:A,"Don Matías",NORTE!S:S, "SIN RIESGO")</f>
        <v>1</v>
      </c>
      <c r="E61" s="48">
        <f>(D61/$B$61)*100</f>
        <v>20</v>
      </c>
      <c r="F61" s="231">
        <f>COUNTIFS(NORTE!A:A,"Don Matías",NORTE!S:S, "BAJO")</f>
        <v>0</v>
      </c>
      <c r="G61" s="48">
        <f>(F61/$B$61)*100</f>
        <v>0</v>
      </c>
      <c r="H61" s="228">
        <f>COUNTIFS(NORTE!A:A,"Don Matías",NORTE!S:S,"MEDIO")</f>
        <v>1</v>
      </c>
      <c r="I61" s="48">
        <f>(H61/$B$61)*100</f>
        <v>20</v>
      </c>
      <c r="J61" s="212">
        <f>COUNTIFS(NORTE!A:A,"Don Matías",NORTE!S:S,"ALTO")</f>
        <v>1</v>
      </c>
      <c r="K61" s="48">
        <f>(J61/$B$61)*100</f>
        <v>20</v>
      </c>
      <c r="L61" s="212">
        <f>COUNTIFS(NORTE!A:A,"Don Matías",NORTE!S:S,"INVIABLE SANITARIAMENTE")</f>
        <v>2</v>
      </c>
      <c r="M61" s="48">
        <f>(L61/$B$61)*100</f>
        <v>40</v>
      </c>
      <c r="N61" s="204">
        <f t="shared" si="6"/>
        <v>0</v>
      </c>
      <c r="O61" s="48">
        <f>(N61/$B$61)*100</f>
        <v>0</v>
      </c>
      <c r="P61" s="24"/>
    </row>
    <row r="62" spans="1:16" ht="15.75" x14ac:dyDescent="0.2">
      <c r="A62" s="293" t="s">
        <v>3939</v>
      </c>
      <c r="B62" s="44">
        <f>'CONSOLIDADO-ACUEDUCTOSRURALES1'!D37</f>
        <v>11</v>
      </c>
      <c r="C62" s="48">
        <f t="shared" si="7"/>
        <v>4.2145593869731801</v>
      </c>
      <c r="D62" s="208">
        <f>COUNTIFS(NORTE!A:A,"Entrerríos",NORTE!S:S, "SIN RIESGO")</f>
        <v>6</v>
      </c>
      <c r="E62" s="48">
        <f>(D62/$B$62)*100</f>
        <v>54.54545454545454</v>
      </c>
      <c r="F62" s="231">
        <f>COUNTIFS(NORTE!A:A,"Entrerríos",NORTE!S:S,"BAJO")</f>
        <v>1</v>
      </c>
      <c r="G62" s="48">
        <f>(F62/$B$62)*100</f>
        <v>9.0909090909090917</v>
      </c>
      <c r="H62" s="228">
        <f>COUNTIFS(NORTE!A:A,"Entrerríos",NORTE!S:S,"MEDIO")</f>
        <v>2</v>
      </c>
      <c r="I62" s="48">
        <f>(H62/$B$62)*100</f>
        <v>18.181818181818183</v>
      </c>
      <c r="J62" s="212">
        <f>COUNTIFS(NORTE!A:A,"Entrerríos",NORTE!S:S,"ALTO")</f>
        <v>2</v>
      </c>
      <c r="K62" s="48">
        <f>(J62/$B$62)*100</f>
        <v>18.181818181818183</v>
      </c>
      <c r="L62" s="212">
        <f>COUNTIFS(NORTE!A:A,"Entrerríos",NORTE!S:S,"INVIABLE SANITARIAMENTE")</f>
        <v>0</v>
      </c>
      <c r="M62" s="48">
        <f>(L62/$B$62)*100</f>
        <v>0</v>
      </c>
      <c r="N62" s="204">
        <f t="shared" si="6"/>
        <v>0</v>
      </c>
      <c r="O62" s="48">
        <f>(N62/$B$62)*100</f>
        <v>0</v>
      </c>
      <c r="P62" s="24"/>
    </row>
    <row r="63" spans="1:16" ht="15.75" x14ac:dyDescent="0.2">
      <c r="A63" s="293" t="s">
        <v>130</v>
      </c>
      <c r="B63" s="44">
        <f>'CONSOLIDADO-ACUEDUCTOSRURALES1'!D38</f>
        <v>21</v>
      </c>
      <c r="C63" s="48">
        <f t="shared" si="7"/>
        <v>8.0459770114942533</v>
      </c>
      <c r="D63" s="208">
        <f>COUNTIFS(NORTE!A:A,"Gómez Plata",NORTE!S:S, "SIN RIESGO")</f>
        <v>0</v>
      </c>
      <c r="E63" s="48">
        <f>(D63/$B$63)*100</f>
        <v>0</v>
      </c>
      <c r="F63" s="231">
        <f>COUNTIFS(NORTE!A:A,"Gómez Plata",NORTE!S:S, "BAJO")</f>
        <v>0</v>
      </c>
      <c r="G63" s="48">
        <f>(F63/$B$63)*100</f>
        <v>0</v>
      </c>
      <c r="H63" s="228">
        <f>COUNTIFS(NORTE!A:A,"Gómez Plata",NORTE!S:S,"MEDIO")</f>
        <v>1</v>
      </c>
      <c r="I63" s="48">
        <f>(H63/$B$63)*100</f>
        <v>4.7619047619047619</v>
      </c>
      <c r="J63" s="212">
        <f>COUNTIFS(NORTE!A:A,"Gómez Plata",NORTE!S:S,"ALTO")</f>
        <v>4</v>
      </c>
      <c r="K63" s="48">
        <f>(J63/$B$63)*100</f>
        <v>19.047619047619047</v>
      </c>
      <c r="L63" s="212">
        <f>COUNTIFS(NORTE!A:A,"Gómez Plata",NORTE!S:S,"INVIABLE SANITARIAMENTE")</f>
        <v>9</v>
      </c>
      <c r="M63" s="48">
        <f>(L63/$B$63)*100</f>
        <v>42.857142857142854</v>
      </c>
      <c r="N63" s="204">
        <f t="shared" si="6"/>
        <v>7</v>
      </c>
      <c r="O63" s="48">
        <f>(N63/$B$63)*100</f>
        <v>33.333333333333329</v>
      </c>
      <c r="P63" s="24"/>
    </row>
    <row r="64" spans="1:16" ht="15.75" x14ac:dyDescent="0.2">
      <c r="A64" s="293" t="s">
        <v>131</v>
      </c>
      <c r="B64" s="44">
        <f>'CONSOLIDADO-ACUEDUCTOSRURALES1'!D39</f>
        <v>14</v>
      </c>
      <c r="C64" s="48">
        <f t="shared" si="7"/>
        <v>5.3639846743295019</v>
      </c>
      <c r="D64" s="208">
        <f>COUNTIFS(NORTE!A:A,"Guadalupe",NORTE!S:S, "SIN RIESGO")</f>
        <v>4</v>
      </c>
      <c r="E64" s="48">
        <f>(D64/$B$64)*100</f>
        <v>28.571428571428569</v>
      </c>
      <c r="F64" s="231">
        <f>COUNTIFS(NORTE!A:A,"Guadalupe",NORTE!S:S, "BAJO")</f>
        <v>0</v>
      </c>
      <c r="G64" s="48">
        <f>(F64/$B$64)*100</f>
        <v>0</v>
      </c>
      <c r="H64" s="228">
        <f>COUNTIFS(NORTE!A:A,"Guadalupe",NORTE!S:S,"MEDIO")</f>
        <v>0</v>
      </c>
      <c r="I64" s="48">
        <f>(H64/$B$64)*100</f>
        <v>0</v>
      </c>
      <c r="J64" s="212">
        <f>COUNTIFS(NORTE!A:A,"Guadalupe",NORTE!S:S,"ALTO")</f>
        <v>0</v>
      </c>
      <c r="K64" s="48">
        <f>(J64/$B$64)*100</f>
        <v>0</v>
      </c>
      <c r="L64" s="212">
        <f>COUNTIFS(NORTE!A:A,"Guadalupe",NORTE!S:S,"INVIABLE SANITARIAMENTE")</f>
        <v>5</v>
      </c>
      <c r="M64" s="48">
        <f>(L64/$B$64)*100</f>
        <v>35.714285714285715</v>
      </c>
      <c r="N64" s="204">
        <f t="shared" si="6"/>
        <v>5</v>
      </c>
      <c r="O64" s="48">
        <f>(N64/$B$64)*100</f>
        <v>35.714285714285715</v>
      </c>
      <c r="P64" s="24"/>
    </row>
    <row r="65" spans="1:16" ht="15.75" x14ac:dyDescent="0.2">
      <c r="A65" s="293" t="s">
        <v>132</v>
      </c>
      <c r="B65" s="44">
        <f>'CONSOLIDADO-ACUEDUCTOSRURALES1'!D40</f>
        <v>38</v>
      </c>
      <c r="C65" s="48">
        <f t="shared" si="7"/>
        <v>14.559386973180077</v>
      </c>
      <c r="D65" s="208">
        <f>COUNTIFS(NORTE!A:A,"Ituango",NORTE!S:S, "SIN RIESGO")</f>
        <v>0</v>
      </c>
      <c r="E65" s="48">
        <f>(D65/$B$65)*100</f>
        <v>0</v>
      </c>
      <c r="F65" s="231">
        <f>COUNTIFS(NORTE!A:A,"Ituango",NORTE!S:S, "BAJO")</f>
        <v>0</v>
      </c>
      <c r="G65" s="48">
        <f>(F65/$B$65)*100</f>
        <v>0</v>
      </c>
      <c r="H65" s="228">
        <f>COUNTIFS(NORTE!A:A,"Ituango",NORTE!S:S,"MEDIO")</f>
        <v>0</v>
      </c>
      <c r="I65" s="48">
        <f>(H65/$B$65)*100</f>
        <v>0</v>
      </c>
      <c r="J65" s="212">
        <f>COUNTIFS(NORTE!A:A,"Ituango",NORTE!S:S,"ALTO")</f>
        <v>0</v>
      </c>
      <c r="K65" s="48">
        <f>(J65/$B$65)*100</f>
        <v>0</v>
      </c>
      <c r="L65" s="212">
        <f>COUNTIFS(NORTE!A:A,"Ituango",NORTE!S:S,"INVIABLE SANITARIAMENTE")</f>
        <v>21</v>
      </c>
      <c r="M65" s="48">
        <f>(L65/$B$65)*100</f>
        <v>55.26315789473685</v>
      </c>
      <c r="N65" s="204">
        <f t="shared" si="6"/>
        <v>17</v>
      </c>
      <c r="O65" s="48">
        <f>(N65/$B$65)*100</f>
        <v>44.736842105263158</v>
      </c>
      <c r="P65" s="24"/>
    </row>
    <row r="66" spans="1:16" ht="15.75" x14ac:dyDescent="0.2">
      <c r="A66" s="293" t="s">
        <v>133</v>
      </c>
      <c r="B66" s="44">
        <f>'CONSOLIDADO-ACUEDUCTOSRURALES1'!D41</f>
        <v>20</v>
      </c>
      <c r="C66" s="48">
        <f t="shared" si="7"/>
        <v>7.6628352490421454</v>
      </c>
      <c r="D66" s="208">
        <f>COUNTIFS(NORTE!A:A,"San Andrés de Cuerquia",NORTE!S:S, "SIN RIESGO")</f>
        <v>0</v>
      </c>
      <c r="E66" s="48">
        <f>(D66/$B$66)*100</f>
        <v>0</v>
      </c>
      <c r="F66" s="231">
        <f>COUNTIFS(NORTE!A:A,"San Andrés de Cuerquia",NORTE!S:S, "BAJO")</f>
        <v>0</v>
      </c>
      <c r="G66" s="48">
        <f>(F66/$B$66)*100</f>
        <v>0</v>
      </c>
      <c r="H66" s="228">
        <f>COUNTIFS(NORTE!A:A,"San Andrés de Cuerquia",NORTE!S:S,"MEDIO")</f>
        <v>0</v>
      </c>
      <c r="I66" s="48">
        <f>(H66/$B$66)*100</f>
        <v>0</v>
      </c>
      <c r="J66" s="212">
        <f>COUNTIFS(NORTE!A:A,"San Andrés de Cuerquia",NORTE!S:S,"ALTO")</f>
        <v>13</v>
      </c>
      <c r="K66" s="48">
        <f>(J66/$B$66)*100</f>
        <v>65</v>
      </c>
      <c r="L66" s="212">
        <f>COUNTIFS(NORTE!A:A,"San Andrés de Cuerquia",NORTE!S:S,"INVIABLE SANITARIAMENTE")</f>
        <v>1</v>
      </c>
      <c r="M66" s="48">
        <f>(L66/$B$66)*100</f>
        <v>5</v>
      </c>
      <c r="N66" s="204">
        <f t="shared" si="6"/>
        <v>6</v>
      </c>
      <c r="O66" s="48">
        <f>(N66/$B$66)*100</f>
        <v>30</v>
      </c>
      <c r="P66" s="24"/>
    </row>
    <row r="67" spans="1:16" ht="15.75" x14ac:dyDescent="0.2">
      <c r="A67" s="293" t="s">
        <v>134</v>
      </c>
      <c r="B67" s="44">
        <f>'CONSOLIDADO-ACUEDUCTOSRURALES1'!D42</f>
        <v>4</v>
      </c>
      <c r="C67" s="48">
        <f t="shared" si="7"/>
        <v>1.5325670498084289</v>
      </c>
      <c r="D67" s="208">
        <f>COUNTIFS(NORTE!A:A,"San Jose De La Montaña",NORTE!S:S, "SIN RIESGO")</f>
        <v>0</v>
      </c>
      <c r="E67" s="48">
        <f>(D67/$B$67)*100</f>
        <v>0</v>
      </c>
      <c r="F67" s="231">
        <f>COUNTIFS(NORTE!A:A,"San José de la Montaña",NORTE!S:S, "BAJO")</f>
        <v>0</v>
      </c>
      <c r="G67" s="48">
        <f>(F67/$B$67)*100</f>
        <v>0</v>
      </c>
      <c r="H67" s="228">
        <f>COUNTIFS(NORTE!A:A,"San José de la Montaña",NORTE!S:S,"MEDIO")</f>
        <v>0</v>
      </c>
      <c r="I67" s="48">
        <f>(H67/$B$67)*100</f>
        <v>0</v>
      </c>
      <c r="J67" s="212">
        <f>COUNTIFS(NORTE!A:A,"San José de la Montaña",NORTE!S:S,"ALTO")</f>
        <v>4</v>
      </c>
      <c r="K67" s="48">
        <f>(J67/$B$67)*100</f>
        <v>100</v>
      </c>
      <c r="L67" s="212">
        <f>COUNTIFS(NORTE!A:A,"San José de la Montaña",NORTE!S:S,"INVIABLE SANITARIAMENTE")</f>
        <v>0</v>
      </c>
      <c r="M67" s="48">
        <f>(L67/$B$67)*100</f>
        <v>0</v>
      </c>
      <c r="N67" s="204">
        <f t="shared" si="6"/>
        <v>0</v>
      </c>
      <c r="O67" s="48">
        <f>(N67/$B$67)*100</f>
        <v>0</v>
      </c>
      <c r="P67" s="24"/>
    </row>
    <row r="68" spans="1:16" ht="15.75" x14ac:dyDescent="0.2">
      <c r="A68" s="293" t="s">
        <v>135</v>
      </c>
      <c r="B68" s="44">
        <f>'CONSOLIDADO-ACUEDUCTOSRURALES1'!D43</f>
        <v>16</v>
      </c>
      <c r="C68" s="48">
        <f t="shared" si="7"/>
        <v>6.1302681992337158</v>
      </c>
      <c r="D68" s="208">
        <f>COUNTIFS(NORTE!A:A,"San Pedro De Los Milagros",NORTE!S:S, "SIN RIESGO")</f>
        <v>7</v>
      </c>
      <c r="E68" s="48">
        <f>(D68/$B$68)*100</f>
        <v>43.75</v>
      </c>
      <c r="F68" s="231">
        <f>COUNTIFS(NORTE!A:A,"San Pedro de los Milagros",NORTE!S:S, "BAJO")</f>
        <v>0</v>
      </c>
      <c r="G68" s="48">
        <f>(F68/$B$68)*100</f>
        <v>0</v>
      </c>
      <c r="H68" s="228">
        <f>COUNTIFS(NORTE!A:A,"San Pedro de los Milagros",NORTE!S:S,"MEDIO")</f>
        <v>0</v>
      </c>
      <c r="I68" s="48">
        <f>(H68/$B$68)*100</f>
        <v>0</v>
      </c>
      <c r="J68" s="212">
        <f>COUNTIFS(NORTE!A:A,"San Pedro de los Milagros",NORTE!S:S,"ALTO")</f>
        <v>4</v>
      </c>
      <c r="K68" s="48">
        <f>(J68/$B$68)*100</f>
        <v>25</v>
      </c>
      <c r="L68" s="212">
        <f>COUNTIFS(NORTE!A:A,"San Pedro de los Milagros",NORTE!S:S,"INVIABLE SANITARIAMENTE")</f>
        <v>5</v>
      </c>
      <c r="M68" s="48">
        <f>(L68/$B$68)*100</f>
        <v>31.25</v>
      </c>
      <c r="N68" s="204">
        <f t="shared" si="6"/>
        <v>0</v>
      </c>
      <c r="O68" s="48">
        <f>(N68/$B$68)*100</f>
        <v>0</v>
      </c>
      <c r="P68" s="24"/>
    </row>
    <row r="69" spans="1:16" ht="15.75" x14ac:dyDescent="0.2">
      <c r="A69" s="293" t="s">
        <v>136</v>
      </c>
      <c r="B69" s="44">
        <f>'CONSOLIDADO-ACUEDUCTOSRURALES1'!D44</f>
        <v>30</v>
      </c>
      <c r="C69" s="48">
        <f t="shared" si="7"/>
        <v>11.494252873563218</v>
      </c>
      <c r="D69" s="208">
        <f>COUNTIFS(NORTE!A:A,"Santa Rosa De Osos",NORTE!S:S, "SIN RIESGO")</f>
        <v>1</v>
      </c>
      <c r="E69" s="48">
        <f>(D69/$B$69)*100</f>
        <v>3.3333333333333335</v>
      </c>
      <c r="F69" s="231">
        <f>COUNTIFS(NORTE!A:A,"Santa Rosa de Osos",NORTE!S:S, "BAJO")</f>
        <v>0</v>
      </c>
      <c r="G69" s="48">
        <f>(F69/$B$69)*100</f>
        <v>0</v>
      </c>
      <c r="H69" s="228">
        <f>COUNTIFS(NORTE!A:A,"Santa Rosa de Osos",NORTE!S:S,"MEDIO")</f>
        <v>9</v>
      </c>
      <c r="I69" s="48">
        <f>(H69/$B$69)*100</f>
        <v>30</v>
      </c>
      <c r="J69" s="212">
        <f>COUNTIFS(NORTE!A:A,"Santa Rosa de Osos",NORTE!S:S,"ALTO")</f>
        <v>19</v>
      </c>
      <c r="K69" s="48">
        <f>(J69/$B$69)*100</f>
        <v>63.333333333333329</v>
      </c>
      <c r="L69" s="212">
        <f>COUNTIFS(NORTE!A:A,"Santa Rosa de Osos",NORTE!S:S,"INVIABLE SANITARIAMENTE")</f>
        <v>1</v>
      </c>
      <c r="M69" s="48">
        <f>(L69/$B$69)*100</f>
        <v>3.3333333333333335</v>
      </c>
      <c r="N69" s="204">
        <f t="shared" si="6"/>
        <v>0</v>
      </c>
      <c r="O69" s="48">
        <f>(N69/$B$69)*100</f>
        <v>0</v>
      </c>
      <c r="P69" s="24"/>
    </row>
    <row r="70" spans="1:16" ht="15.75" x14ac:dyDescent="0.2">
      <c r="A70" s="293" t="s">
        <v>137</v>
      </c>
      <c r="B70" s="44">
        <f>'CONSOLIDADO-ACUEDUCTOSRURALES1'!D45</f>
        <v>12</v>
      </c>
      <c r="C70" s="48">
        <f t="shared" si="7"/>
        <v>4.5977011494252871</v>
      </c>
      <c r="D70" s="208">
        <f>COUNTIFS(NORTE!A:A,"Toledo",NORTE!S:S, "SIN RIESGO")</f>
        <v>1</v>
      </c>
      <c r="E70" s="48">
        <f>(D70/$B$70)*100</f>
        <v>8.3333333333333321</v>
      </c>
      <c r="F70" s="231">
        <f>COUNTIFS(NORTE!A:A,"Toledo",NORTE!S:S, "BAJO")</f>
        <v>0</v>
      </c>
      <c r="G70" s="48">
        <f>(F70/$B$70)*100</f>
        <v>0</v>
      </c>
      <c r="H70" s="228">
        <f>COUNTIFS(NORTE!A:A,"Toledo",NORTE!S:S,"MEDIO")</f>
        <v>0</v>
      </c>
      <c r="I70" s="48">
        <f>(H70/$B$70)*100</f>
        <v>0</v>
      </c>
      <c r="J70" s="212">
        <f>COUNTIFS(NORTE!A:A,"Toledo",NORTE!S:S,"ALTO")</f>
        <v>0</v>
      </c>
      <c r="K70" s="48">
        <f>(J70/$B$70)*100</f>
        <v>0</v>
      </c>
      <c r="L70" s="212">
        <f>COUNTIFS(NORTE!A:A,"Toledo",NORTE!S:S,"INVIABLE SANITARIAMENTE")</f>
        <v>9</v>
      </c>
      <c r="M70" s="48">
        <f>(L70/$B$70)*100</f>
        <v>75</v>
      </c>
      <c r="N70" s="204">
        <f t="shared" si="6"/>
        <v>2</v>
      </c>
      <c r="O70" s="48">
        <f>(N70/$B$70)*100</f>
        <v>16.666666666666664</v>
      </c>
      <c r="P70" s="24"/>
    </row>
    <row r="71" spans="1:16" ht="15.75" x14ac:dyDescent="0.2">
      <c r="A71" s="293" t="s">
        <v>138</v>
      </c>
      <c r="B71" s="44">
        <f>'CONSOLIDADO-ACUEDUCTOSRURALES1'!D46</f>
        <v>8</v>
      </c>
      <c r="C71" s="48">
        <f t="shared" si="7"/>
        <v>3.0651340996168579</v>
      </c>
      <c r="D71" s="208">
        <f>COUNTIFS(NORTE!A:A,"Valdivia",NORTE!S:S, "SIN RIESGO")</f>
        <v>1</v>
      </c>
      <c r="E71" s="48">
        <f>(D71/$B$71)*100</f>
        <v>12.5</v>
      </c>
      <c r="F71" s="231">
        <f>COUNTIFS(NORTE!A:A,"Valdivia",NORTE!S:S, "BAJO")</f>
        <v>0</v>
      </c>
      <c r="G71" s="48">
        <f>(F71/$B$71)*100</f>
        <v>0</v>
      </c>
      <c r="H71" s="228">
        <f>COUNTIFS(NORTE!A:A,"Valdivia",NORTE!S:S,"MEDIO")</f>
        <v>0</v>
      </c>
      <c r="I71" s="48">
        <f>(H71/$B$71)*100</f>
        <v>0</v>
      </c>
      <c r="J71" s="212">
        <f>COUNTIFS(NORTE!A:A,"Valdivia",NORTE!S:S,"ALTO")</f>
        <v>7</v>
      </c>
      <c r="K71" s="48">
        <f>(J71/$B$71)*100</f>
        <v>87.5</v>
      </c>
      <c r="L71" s="212">
        <f>COUNTIFS(NORTE!A:A,"Valdivia",NORTE!S:S,"INVIABLE SANITARIAMENTE")</f>
        <v>0</v>
      </c>
      <c r="M71" s="48">
        <f>(L71/$B$71)*100</f>
        <v>0</v>
      </c>
      <c r="N71" s="204">
        <f t="shared" si="6"/>
        <v>0</v>
      </c>
      <c r="O71" s="48">
        <f>(N71/$B$71)*100</f>
        <v>0</v>
      </c>
      <c r="P71" s="24"/>
    </row>
    <row r="72" spans="1:16" ht="20.25" customHeight="1" x14ac:dyDescent="0.2">
      <c r="A72" s="293" t="s">
        <v>139</v>
      </c>
      <c r="B72" s="44">
        <f>'CONSOLIDADO-ACUEDUCTOSRURALES1'!D47</f>
        <v>12</v>
      </c>
      <c r="C72" s="48">
        <f t="shared" si="7"/>
        <v>4.5977011494252871</v>
      </c>
      <c r="D72" s="208">
        <f>COUNTIFS(NORTE!A:A,"Yarumal",NORTE!S:S, "SIN RIESGO")</f>
        <v>1</v>
      </c>
      <c r="E72" s="48">
        <f>(D72/$B$72)*100</f>
        <v>8.3333333333333321</v>
      </c>
      <c r="F72" s="231">
        <f>COUNTIFS(NORTE!A:A,"Yarumal",NORTE!S:S, "BAJO")</f>
        <v>0</v>
      </c>
      <c r="G72" s="48">
        <f>(F72/$B$72)*100</f>
        <v>0</v>
      </c>
      <c r="H72" s="212">
        <f>COUNTIFS(NORTE!A:A,"Yarumal",NORTE!S:S,"MEDIO")</f>
        <v>0</v>
      </c>
      <c r="I72" s="48">
        <f>(H72/$B$72)*100</f>
        <v>0</v>
      </c>
      <c r="J72" s="212">
        <f>COUNTIFS(NORTE!A:A,"Yarumal",NORTE!S:S,"ALTO")</f>
        <v>0</v>
      </c>
      <c r="K72" s="48">
        <f>(J72/$B$72)*100</f>
        <v>0</v>
      </c>
      <c r="L72" s="212">
        <f>COUNTIFS(NORTE!A:A,"Yarumal",NORTE!S:S,"INVIABLE SANITARIAMENTE")</f>
        <v>11</v>
      </c>
      <c r="M72" s="48">
        <f>(L72/$B$72)*100</f>
        <v>91.666666666666657</v>
      </c>
      <c r="N72" s="204">
        <f t="shared" si="6"/>
        <v>0</v>
      </c>
      <c r="O72" s="48">
        <f>(N72/$B$72)*100</f>
        <v>0</v>
      </c>
      <c r="P72" s="24"/>
    </row>
    <row r="73" spans="1:16" ht="28.5" customHeight="1" x14ac:dyDescent="0.2">
      <c r="A73" s="302" t="s">
        <v>222</v>
      </c>
      <c r="B73" s="72">
        <f>SUM(B56:B72)</f>
        <v>261</v>
      </c>
      <c r="C73" s="73">
        <f>SUM(C56:C72)</f>
        <v>99.999999999999986</v>
      </c>
      <c r="D73" s="72">
        <f>SUM(D56:D72)</f>
        <v>24</v>
      </c>
      <c r="E73" s="73">
        <f>(D73/$B$73)*100</f>
        <v>9.1954022988505741</v>
      </c>
      <c r="F73" s="72">
        <f>SUM(F56:F72)</f>
        <v>1</v>
      </c>
      <c r="G73" s="73">
        <f>(F73/$B$73)*100</f>
        <v>0.38314176245210724</v>
      </c>
      <c r="H73" s="72">
        <f>SUM(H56:H72)</f>
        <v>13</v>
      </c>
      <c r="I73" s="73">
        <f>(H73/$B$73)*100</f>
        <v>4.980842911877394</v>
      </c>
      <c r="J73" s="72">
        <f>SUM(J56:J72)</f>
        <v>64</v>
      </c>
      <c r="K73" s="73">
        <f>(J73/$B$73)*100</f>
        <v>24.521072796934863</v>
      </c>
      <c r="L73" s="72">
        <f>SUM(L56:L72)</f>
        <v>86</v>
      </c>
      <c r="M73" s="73">
        <f>(L73/$B$73)*100</f>
        <v>32.950191570881223</v>
      </c>
      <c r="N73" s="72">
        <f>SUM(N56:N72)</f>
        <v>73</v>
      </c>
      <c r="O73" s="73">
        <f>(N73/$B$73)*100</f>
        <v>27.969348659003828</v>
      </c>
      <c r="P73" s="24"/>
    </row>
    <row r="74" spans="1:16" x14ac:dyDescent="0.2">
      <c r="A74" s="33"/>
      <c r="B74" s="62"/>
      <c r="C74" s="33"/>
      <c r="D74" s="62"/>
      <c r="E74" s="33"/>
      <c r="F74" s="62"/>
      <c r="G74" s="33"/>
      <c r="H74" s="62"/>
      <c r="I74" s="33"/>
      <c r="J74" s="62"/>
      <c r="K74" s="33"/>
      <c r="L74" s="26"/>
      <c r="M74" s="33"/>
      <c r="N74" s="62"/>
      <c r="O74" s="33"/>
      <c r="P74" s="4"/>
    </row>
    <row r="75" spans="1:16" x14ac:dyDescent="0.2">
      <c r="A75" s="33"/>
      <c r="B75" s="62"/>
      <c r="C75" s="33"/>
      <c r="D75" s="62"/>
      <c r="E75" s="33"/>
      <c r="F75" s="62"/>
      <c r="G75" s="33"/>
      <c r="H75" s="62"/>
      <c r="I75" s="33"/>
      <c r="J75" s="62"/>
      <c r="K75" s="33"/>
      <c r="L75" s="62"/>
      <c r="M75" s="33"/>
      <c r="N75" s="62"/>
      <c r="O75" s="33"/>
      <c r="P75" s="4"/>
    </row>
    <row r="76" spans="1:16" x14ac:dyDescent="0.2">
      <c r="A76" s="33"/>
      <c r="B76" s="62"/>
      <c r="C76" s="33"/>
      <c r="D76" s="62"/>
      <c r="E76" s="33"/>
      <c r="F76" s="62"/>
      <c r="G76" s="33"/>
      <c r="H76" s="62"/>
      <c r="I76" s="33"/>
      <c r="J76" s="62"/>
      <c r="K76" s="33"/>
      <c r="L76" s="62"/>
      <c r="M76" s="33"/>
      <c r="N76" s="62"/>
      <c r="O76" s="33"/>
      <c r="P76" s="4"/>
    </row>
    <row r="77" spans="1:16" ht="24.75" customHeight="1" x14ac:dyDescent="0.2">
      <c r="A77" s="354" t="s">
        <v>4562</v>
      </c>
      <c r="B77" s="357"/>
      <c r="C77" s="357"/>
      <c r="D77" s="357"/>
      <c r="E77" s="357"/>
      <c r="F77" s="357"/>
      <c r="G77" s="357"/>
      <c r="H77" s="357"/>
      <c r="I77" s="357"/>
      <c r="J77" s="357"/>
      <c r="K77" s="357"/>
      <c r="L77" s="357"/>
      <c r="M77" s="357"/>
      <c r="N77" s="357"/>
      <c r="O77" s="358"/>
      <c r="P77" s="24"/>
    </row>
    <row r="78" spans="1:16" ht="130.5" customHeight="1" x14ac:dyDescent="0.2">
      <c r="A78" s="252" t="s">
        <v>11</v>
      </c>
      <c r="B78" s="68" t="s">
        <v>252</v>
      </c>
      <c r="C78" s="252" t="s">
        <v>102</v>
      </c>
      <c r="D78" s="255" t="s">
        <v>246</v>
      </c>
      <c r="E78" s="252" t="s">
        <v>102</v>
      </c>
      <c r="F78" s="256" t="s">
        <v>247</v>
      </c>
      <c r="G78" s="252" t="s">
        <v>102</v>
      </c>
      <c r="H78" s="257" t="s">
        <v>248</v>
      </c>
      <c r="I78" s="252" t="s">
        <v>102</v>
      </c>
      <c r="J78" s="258" t="s">
        <v>249</v>
      </c>
      <c r="K78" s="252" t="s">
        <v>102</v>
      </c>
      <c r="L78" s="259" t="s">
        <v>250</v>
      </c>
      <c r="M78" s="252" t="s">
        <v>102</v>
      </c>
      <c r="N78" s="68" t="s">
        <v>251</v>
      </c>
      <c r="O78" s="252" t="s">
        <v>102</v>
      </c>
      <c r="P78" s="24"/>
    </row>
    <row r="79" spans="1:16" ht="15.75" x14ac:dyDescent="0.2">
      <c r="A79" s="293" t="s">
        <v>141</v>
      </c>
      <c r="B79" s="29">
        <f>'CONSOLIDADO-ACUEDUCTOSRURALES1'!D49</f>
        <v>7</v>
      </c>
      <c r="C79" s="48">
        <f t="shared" ref="C79:C97" si="8">(B79/$B$98)*100</f>
        <v>1.3409961685823755</v>
      </c>
      <c r="D79" s="233">
        <f>COUNTIFS(OCCIDENTE!A:A,"Abriaquí",OCCIDENTE!S:S,"SIN RIESGO")</f>
        <v>0</v>
      </c>
      <c r="E79" s="48">
        <f>(D79/$B$79)*100</f>
        <v>0</v>
      </c>
      <c r="F79" s="29">
        <f>+COUNTIFS(OCCIDENTE!S11:S532,"Abriaquí",OCCIDENTE!S11:S532,"BAJO")</f>
        <v>0</v>
      </c>
      <c r="G79" s="48">
        <f>(F79/$B$79)*100</f>
        <v>0</v>
      </c>
      <c r="H79" s="29">
        <f>+COUNTIFS(OCCIDENTE!S11:S532,"Abriaquí",OCCIDENTE!S11:S532,"MEDIO")</f>
        <v>0</v>
      </c>
      <c r="I79" s="48">
        <f>(H79/$B$79)*100</f>
        <v>0</v>
      </c>
      <c r="J79" s="233">
        <f>COUNTIFS(OCCIDENTE!A:A,"Abriaquí",OCCIDENTE!S:S,"ALTO")</f>
        <v>0</v>
      </c>
      <c r="K79" s="48">
        <f>(J79/$B$79)*100</f>
        <v>0</v>
      </c>
      <c r="L79" s="233">
        <f>COUNTIFS(OCCIDENTE!A:A,"Abriaquí",OCCIDENTE!S:S,"INVIABLE SANITARIAMENTE")</f>
        <v>7</v>
      </c>
      <c r="M79" s="48">
        <f>(L79/$B$79)*100</f>
        <v>100</v>
      </c>
      <c r="N79" s="29">
        <f t="shared" ref="N79:N97" si="9">B79-(D79+F79+H79+J79+L79)</f>
        <v>0</v>
      </c>
      <c r="O79" s="48">
        <f>(N79/$B$79)*100</f>
        <v>0</v>
      </c>
      <c r="P79" s="24"/>
    </row>
    <row r="80" spans="1:16" ht="15.75" x14ac:dyDescent="0.2">
      <c r="A80" s="293" t="s">
        <v>142</v>
      </c>
      <c r="B80" s="29">
        <f>'CONSOLIDADO-ACUEDUCTOSRURALES1'!D50</f>
        <v>18</v>
      </c>
      <c r="C80" s="48">
        <f t="shared" si="8"/>
        <v>3.4482758620689653</v>
      </c>
      <c r="D80" s="29">
        <f>COUNTIFS(OCCIDENTE!A:A,"Anzá",OCCIDENTE!S:S,"SIN RIESGO")</f>
        <v>1</v>
      </c>
      <c r="E80" s="48">
        <f>(D80/$B$80)*100</f>
        <v>5.5555555555555554</v>
      </c>
      <c r="F80" s="29">
        <f>COUNTIFS(OCCIDENTE!A:A,"Anzá",OCCIDENTE!S:S,"BAJO")</f>
        <v>0</v>
      </c>
      <c r="G80" s="48">
        <f>(F80/$B$80)*100</f>
        <v>0</v>
      </c>
      <c r="H80" s="29">
        <f>COUNTIFS(OCCIDENTE!A:A,"Anzá",OCCIDENTE!S:S,"MEDIO")</f>
        <v>0</v>
      </c>
      <c r="I80" s="48">
        <f>(H80/$B$80)*100</f>
        <v>0</v>
      </c>
      <c r="J80" s="29">
        <f>COUNTIFS(OCCIDENTE!A:A,"Anzá",OCCIDENTE!S:S,"ALTO")</f>
        <v>0</v>
      </c>
      <c r="K80" s="48">
        <f>(J80/$B$80)*100</f>
        <v>0</v>
      </c>
      <c r="L80" s="29">
        <f>COUNTIFS(OCCIDENTE!A:A,"Anzá",OCCIDENTE!S:S,"INVIABLE SANITARIAMENTE")</f>
        <v>15</v>
      </c>
      <c r="M80" s="48">
        <f>(L80/$B$80)*100</f>
        <v>83.333333333333343</v>
      </c>
      <c r="N80" s="206">
        <f t="shared" si="9"/>
        <v>2</v>
      </c>
      <c r="O80" s="48">
        <f>(N80/$B$80)*100</f>
        <v>11.111111111111111</v>
      </c>
      <c r="P80" s="24"/>
    </row>
    <row r="81" spans="1:16" ht="15.75" x14ac:dyDescent="0.2">
      <c r="A81" s="293" t="s">
        <v>86</v>
      </c>
      <c r="B81" s="211">
        <f>'CONSOLIDADO-ACUEDUCTOSRURALES1'!D51</f>
        <v>4</v>
      </c>
      <c r="C81" s="48">
        <f t="shared" si="8"/>
        <v>0.76628352490421447</v>
      </c>
      <c r="D81" s="29">
        <f>COUNTIFS(OCCIDENTE!A:A,"Armenia",OCCIDENTE!S:S,"SIN RIESGO")</f>
        <v>0</v>
      </c>
      <c r="E81" s="48">
        <f>(D81/$B$81)*100</f>
        <v>0</v>
      </c>
      <c r="F81" s="29">
        <f>COUNTIFS(OCCIDENTE!A:A,"Armenia",OCCIDENTE!S:S,"BAJO")</f>
        <v>0</v>
      </c>
      <c r="G81" s="48">
        <f>(F81/$B$81)*100</f>
        <v>0</v>
      </c>
      <c r="H81" s="29">
        <f>COUNTIFS(OCCIDENTE!A:A,"Armenia",OCCIDENTE!S:S,"MEDIO")</f>
        <v>0</v>
      </c>
      <c r="I81" s="48">
        <f>(H81/$B$81)*100</f>
        <v>0</v>
      </c>
      <c r="J81" s="29">
        <f>COUNTIFS(OCCIDENTE!A:A,"Armenia",OCCIDENTE!S:S,"ALTO")</f>
        <v>0</v>
      </c>
      <c r="K81" s="48">
        <f>(J81/$B$81)*100</f>
        <v>0</v>
      </c>
      <c r="L81" s="29">
        <f>COUNTIFS(OCCIDENTE!A:A,"Armenia",OCCIDENTE!S:S,"INVIABLE SANITARIAMENTE")</f>
        <v>4</v>
      </c>
      <c r="M81" s="48">
        <f>(L81/$B$81)*100</f>
        <v>100</v>
      </c>
      <c r="N81" s="206">
        <f t="shared" si="9"/>
        <v>0</v>
      </c>
      <c r="O81" s="48">
        <f>(N81/$B$81)*100</f>
        <v>0</v>
      </c>
      <c r="P81" s="24"/>
    </row>
    <row r="82" spans="1:16" ht="15.75" x14ac:dyDescent="0.2">
      <c r="A82" s="293" t="s">
        <v>143</v>
      </c>
      <c r="B82" s="211">
        <f>'CONSOLIDADO-ACUEDUCTOSRURALES1'!D52</f>
        <v>38</v>
      </c>
      <c r="C82" s="48">
        <f t="shared" si="8"/>
        <v>7.2796934865900385</v>
      </c>
      <c r="D82" s="29">
        <f>COUNTIFS(OCCIDENTE!A:A,"Buriticá",OCCIDENTE!S:S,"SIN RIESGO")</f>
        <v>0</v>
      </c>
      <c r="E82" s="48">
        <f>(D82/$B$82)*100</f>
        <v>0</v>
      </c>
      <c r="F82" s="29">
        <f>COUNTIFS(OCCIDENTE!A:A,"Buriticá",OCCIDENTE!S:S,"BAJO")</f>
        <v>0</v>
      </c>
      <c r="G82" s="48">
        <f>(F82/$B$82)*100</f>
        <v>0</v>
      </c>
      <c r="H82" s="29">
        <f>COUNTIFS(OCCIDENTE!A:A,"Buriticá",OCCIDENTE!S:S,"MEDIO")</f>
        <v>0</v>
      </c>
      <c r="I82" s="48">
        <f>(H82/$B$82)*100</f>
        <v>0</v>
      </c>
      <c r="J82" s="29">
        <f>COUNTIFS(OCCIDENTE!A:A,"Buriticá",OCCIDENTE!S:S,"ALTO")</f>
        <v>2</v>
      </c>
      <c r="K82" s="48">
        <f>(J82/$B$82)*100</f>
        <v>5.2631578947368416</v>
      </c>
      <c r="L82" s="29">
        <f>COUNTIFS(OCCIDENTE!A:A,"Buriticá",OCCIDENTE!S:S,"INVIABLE SANITARIAMENTE")</f>
        <v>31</v>
      </c>
      <c r="M82" s="48">
        <f>(L82/$B$82)*100</f>
        <v>81.578947368421055</v>
      </c>
      <c r="N82" s="206">
        <f t="shared" si="9"/>
        <v>5</v>
      </c>
      <c r="O82" s="48">
        <f>(N82/$B$82)*100</f>
        <v>13.157894736842104</v>
      </c>
      <c r="P82" s="24"/>
    </row>
    <row r="83" spans="1:16" ht="15.75" x14ac:dyDescent="0.2">
      <c r="A83" s="293" t="s">
        <v>148</v>
      </c>
      <c r="B83" s="211">
        <f>'CONSOLIDADO-ACUEDUCTOSRURALES1'!D53</f>
        <v>18</v>
      </c>
      <c r="C83" s="48">
        <f t="shared" si="8"/>
        <v>3.4482758620689653</v>
      </c>
      <c r="D83" s="29">
        <f>COUNTIFS(SUROESTE!A:A,"Caicedo",SUROESTE!S:S,"SIN RIESGO")</f>
        <v>0</v>
      </c>
      <c r="E83" s="48">
        <f>(D83/$B$87)*100</f>
        <v>0</v>
      </c>
      <c r="F83" s="29">
        <f>COUNTIFS(SUROESTE!A:A,"Caicedo",SUROESTE!S:S,"BAJO")</f>
        <v>0</v>
      </c>
      <c r="G83" s="48">
        <f>(F83/$B$87)*100</f>
        <v>0</v>
      </c>
      <c r="H83" s="29">
        <f>COUNTIFS(OCCIDENTE!A:A,"Caicedo",OCCIDENTE!S:S,"MEDIO")</f>
        <v>0</v>
      </c>
      <c r="I83" s="48">
        <f>(H83/$B$87)*100</f>
        <v>0</v>
      </c>
      <c r="J83" s="29">
        <f>COUNTIFS(OCCIDENTE!A:A,"Caicedo",OCCIDENTE!S:S,"ALTO")</f>
        <v>0</v>
      </c>
      <c r="K83" s="48">
        <f>(J83/$B$87)*100</f>
        <v>0</v>
      </c>
      <c r="L83" s="29">
        <f>COUNTIFS(OCCIDENTE!A:A,"Caicedo",OCCIDENTE!S:S,"INVIABLE SANITARIAMENTE")</f>
        <v>15</v>
      </c>
      <c r="M83" s="48">
        <f>(L83/$B$87)*100</f>
        <v>32.608695652173914</v>
      </c>
      <c r="N83" s="206">
        <f t="shared" si="9"/>
        <v>3</v>
      </c>
      <c r="O83" s="48">
        <f>(N83/$B$87)*100</f>
        <v>6.5217391304347823</v>
      </c>
      <c r="P83" s="24"/>
    </row>
    <row r="84" spans="1:16" ht="15.75" x14ac:dyDescent="0.2">
      <c r="A84" s="293" t="s">
        <v>144</v>
      </c>
      <c r="B84" s="211">
        <f>'CONSOLIDADO-ACUEDUCTOSRURALES1'!D54</f>
        <v>70</v>
      </c>
      <c r="C84" s="48">
        <f t="shared" si="8"/>
        <v>13.409961685823754</v>
      </c>
      <c r="D84" s="29">
        <f>COUNTIFS(OCCIDENTE!A:A,"Cañasgordas",OCCIDENTE!S:S,"SIN RIESGO")</f>
        <v>0</v>
      </c>
      <c r="E84" s="48">
        <f>(D84/$B$83)*100</f>
        <v>0</v>
      </c>
      <c r="F84" s="29">
        <f>COUNTIFS(OCCIDENTE!A:A,"Cañasgordas",OCCIDENTE!S:S,"BAJO")</f>
        <v>0</v>
      </c>
      <c r="G84" s="48">
        <f>(F84/$B$83)*100</f>
        <v>0</v>
      </c>
      <c r="H84" s="29">
        <f>COUNTIFS(OCCIDENTE!A:A,"Cañasgordas",OCCIDENTE!S:S,"MEDIO")</f>
        <v>0</v>
      </c>
      <c r="I84" s="48">
        <f>(H84/$B$83)*100</f>
        <v>0</v>
      </c>
      <c r="J84" s="29">
        <f>COUNTIFS(OCCIDENTE!A:A,"Cañasgordas",OCCIDENTE!S:S,"ALTO")</f>
        <v>1</v>
      </c>
      <c r="K84" s="48">
        <f>(J84/$B$83)*100</f>
        <v>5.5555555555555554</v>
      </c>
      <c r="L84" s="29">
        <f>COUNTIFS(OCCIDENTE!A:A,"Cañasgordas",OCCIDENTE!S:S,"INVIABLE SANITARIAMENTE")</f>
        <v>43</v>
      </c>
      <c r="M84" s="48">
        <f>(L84/$B$83)*100</f>
        <v>238.88888888888889</v>
      </c>
      <c r="N84" s="206">
        <f t="shared" si="9"/>
        <v>26</v>
      </c>
      <c r="O84" s="48">
        <f>(N84/$B$83)*100</f>
        <v>144.44444444444443</v>
      </c>
      <c r="P84" s="24"/>
    </row>
    <row r="85" spans="1:16" ht="15.75" x14ac:dyDescent="0.2">
      <c r="A85" s="293" t="s">
        <v>145</v>
      </c>
      <c r="B85" s="211">
        <f>'CONSOLIDADO-ACUEDUCTOSRURALES1'!D55</f>
        <v>29</v>
      </c>
      <c r="C85" s="48">
        <f t="shared" si="8"/>
        <v>5.5555555555555554</v>
      </c>
      <c r="D85" s="29">
        <f>COUNTIFS(OCCIDENTE!A:A,"Dabeiba",OCCIDENTE!S:S,"SIN RIESGO")</f>
        <v>0</v>
      </c>
      <c r="E85" s="48">
        <f>(D85/$B$84)*100</f>
        <v>0</v>
      </c>
      <c r="F85" s="29">
        <f>COUNTIFS(OCCIDENTE!A:A,"Dabeiba",OCCIDENTE!S:S,"BAJO")</f>
        <v>0</v>
      </c>
      <c r="G85" s="48">
        <f>(F85/$B$84)*100</f>
        <v>0</v>
      </c>
      <c r="H85" s="29">
        <f>COUNTIFS(OCCIDENTE!A:A,"Dabeiba",OCCIDENTE!S:S,"MEDIO")</f>
        <v>0</v>
      </c>
      <c r="I85" s="48">
        <f>(H85/$B$84)*100</f>
        <v>0</v>
      </c>
      <c r="J85" s="29">
        <f>COUNTIFS(OCCIDENTE!A:A,"Dabeiba",OCCIDENTE!S:S,"ALTO")</f>
        <v>0</v>
      </c>
      <c r="K85" s="48">
        <f>(J85/$B$84)*100</f>
        <v>0</v>
      </c>
      <c r="L85" s="29">
        <f>COUNTIFS(OCCIDENTE!A:A,"Dabeiba",OCCIDENTE!S:S,"INVIABLE SANITARIAMENTE")</f>
        <v>29</v>
      </c>
      <c r="M85" s="48">
        <f>(L85/$B$84)*100</f>
        <v>41.428571428571431</v>
      </c>
      <c r="N85" s="206">
        <f t="shared" si="9"/>
        <v>0</v>
      </c>
      <c r="O85" s="48">
        <f>(N85/$B$84)*100</f>
        <v>0</v>
      </c>
      <c r="P85" s="24"/>
    </row>
    <row r="86" spans="1:16" ht="15.75" x14ac:dyDescent="0.2">
      <c r="A86" s="293" t="s">
        <v>146</v>
      </c>
      <c r="B86" s="211">
        <f>'CONSOLIDADO-ACUEDUCTOSRURALES1'!D56</f>
        <v>45</v>
      </c>
      <c r="C86" s="48">
        <f t="shared" si="8"/>
        <v>8.6206896551724146</v>
      </c>
      <c r="D86" s="29">
        <f>COUNTIFS(OCCIDENTE!A:A,"Ebéjico",OCCIDENTE!S:S,"SIN RIESGO")</f>
        <v>6</v>
      </c>
      <c r="E86" s="48">
        <f>(D86/$B$85)*100</f>
        <v>20.689655172413794</v>
      </c>
      <c r="F86" s="29">
        <f>COUNTIFS(OCCIDENTE!A:A,"Ebéjico",OCCIDENTE!S:S,"BAJO")</f>
        <v>0</v>
      </c>
      <c r="G86" s="48">
        <f>(F86/$B$85)*100</f>
        <v>0</v>
      </c>
      <c r="H86" s="29">
        <f>COUNTIFS(OCCIDENTE!A:A,"Ebéjico",OCCIDENTE!S:S,"MEDIO")</f>
        <v>0</v>
      </c>
      <c r="I86" s="48">
        <f>(H86/$B$85)*100</f>
        <v>0</v>
      </c>
      <c r="J86" s="29">
        <f>COUNTIFS(OCCIDENTE!A:A,"Ebéjico",OCCIDENTE!S:S,"ALTO")</f>
        <v>0</v>
      </c>
      <c r="K86" s="48" t="s">
        <v>4070</v>
      </c>
      <c r="L86" s="29">
        <f>COUNTIFS(OCCIDENTE!A:A,"Ebéjico",OCCIDENTE!S:S,"INVIABLE SANITARIAMENTE")</f>
        <v>10</v>
      </c>
      <c r="M86" s="48">
        <f>(L86/$B$85)*100</f>
        <v>34.482758620689658</v>
      </c>
      <c r="N86" s="206">
        <f t="shared" si="9"/>
        <v>29</v>
      </c>
      <c r="O86" s="48">
        <f>(N86/$B$85)*100</f>
        <v>100</v>
      </c>
      <c r="P86" s="24"/>
    </row>
    <row r="87" spans="1:16" ht="15.75" x14ac:dyDescent="0.2">
      <c r="A87" s="293" t="s">
        <v>147</v>
      </c>
      <c r="B87" s="211">
        <f>'CONSOLIDADO-ACUEDUCTOSRURALES1'!D57</f>
        <v>46</v>
      </c>
      <c r="C87" s="48">
        <f t="shared" si="8"/>
        <v>8.8122605363984672</v>
      </c>
      <c r="D87" s="29">
        <f>COUNTIFS(OCCIDENTE!A:A,"Frontino",OCCIDENTE!S:S,"SIN RIESGO")</f>
        <v>1</v>
      </c>
      <c r="E87" s="48">
        <f>(D87/$B$86)*100</f>
        <v>2.2222222222222223</v>
      </c>
      <c r="F87" s="29">
        <f>COUNTIFS(OCCIDENTE!A:A,"Frontino",OCCIDENTE!S:S,"BAJO")</f>
        <v>0</v>
      </c>
      <c r="G87" s="48">
        <f>(F87/$B$86)*100</f>
        <v>0</v>
      </c>
      <c r="H87" s="29">
        <f>COUNTIFS(OCCIDENTE!A:A,"Frontino",OCCIDENTE!S:S,"MEDIO")</f>
        <v>0</v>
      </c>
      <c r="I87" s="48">
        <f>(H87/$B$86)*100</f>
        <v>0</v>
      </c>
      <c r="J87" s="29">
        <f>COUNTIFS(OCCIDENTE!A:A,"Frontino",OCCIDENTE!S:S,"ALTO")</f>
        <v>25</v>
      </c>
      <c r="K87" s="48">
        <f>(J87/$B$86)*100</f>
        <v>55.555555555555557</v>
      </c>
      <c r="L87" s="29">
        <f>COUNTIFS(OCCIDENTE!A:A,"Frontino",OCCIDENTE!S:S,"INVIABLE SANITARIAMENTE")</f>
        <v>1</v>
      </c>
      <c r="M87" s="48">
        <f>(L87/$B$86)*100</f>
        <v>2.2222222222222223</v>
      </c>
      <c r="N87" s="206">
        <f t="shared" si="9"/>
        <v>19</v>
      </c>
      <c r="O87" s="48">
        <f>(N87/$B$86)*100</f>
        <v>42.222222222222221</v>
      </c>
      <c r="P87" s="24"/>
    </row>
    <row r="88" spans="1:16" ht="15.75" x14ac:dyDescent="0.2">
      <c r="A88" s="293" t="s">
        <v>149</v>
      </c>
      <c r="B88" s="211">
        <f>'CONSOLIDADO-ACUEDUCTOSRURALES1'!D58</f>
        <v>22</v>
      </c>
      <c r="C88" s="48">
        <f t="shared" si="8"/>
        <v>4.2145593869731801</v>
      </c>
      <c r="D88" s="29">
        <f>COUNTIFS(OCCIDENTE!A:A,"Giraldo",OCCIDENTE!S:S,"SIN RIESGO")</f>
        <v>0</v>
      </c>
      <c r="E88" s="48">
        <f>(D88/$B$88)*100</f>
        <v>0</v>
      </c>
      <c r="F88" s="29">
        <f>COUNTIFS(OCCIDENTE!A:A,"Giraldo",OCCIDENTE!S:S,"BAJO")</f>
        <v>0</v>
      </c>
      <c r="G88" s="48">
        <f>(F88/$B$88)*100</f>
        <v>0</v>
      </c>
      <c r="H88" s="29">
        <f>COUNTIFS(OCCIDENTE!A:A,"Giraldo",OCCIDENTE!S:S,"MEDIO")</f>
        <v>0</v>
      </c>
      <c r="I88" s="48">
        <f>(H88/$B$88)*100</f>
        <v>0</v>
      </c>
      <c r="J88" s="29">
        <f>COUNTIFS(OCCIDENTE!A:A,"Giraldo",OCCIDENTE!S:S,"ALTO")</f>
        <v>0</v>
      </c>
      <c r="K88" s="48">
        <f>(J88/$B$88)*100</f>
        <v>0</v>
      </c>
      <c r="L88" s="29">
        <f>COUNTIFS(OCCIDENTE!A:A,"Giraldo",OCCIDENTE!S:S,"INVIABLE SANITARIAMENTE")</f>
        <v>22</v>
      </c>
      <c r="M88" s="48">
        <f>(L88/$B$88)*100</f>
        <v>100</v>
      </c>
      <c r="N88" s="206">
        <f t="shared" si="9"/>
        <v>0</v>
      </c>
      <c r="O88" s="48">
        <f>(N88/$B$88)*100</f>
        <v>0</v>
      </c>
      <c r="P88" s="24"/>
    </row>
    <row r="89" spans="1:16" ht="15.75" x14ac:dyDescent="0.2">
      <c r="A89" s="293" t="s">
        <v>150</v>
      </c>
      <c r="B89" s="211">
        <f>'CONSOLIDADO-ACUEDUCTOSRURALES1'!D59</f>
        <v>13</v>
      </c>
      <c r="C89" s="48">
        <f t="shared" si="8"/>
        <v>2.490421455938697</v>
      </c>
      <c r="D89" s="29">
        <f>COUNTIFS(OCCIDENTE!A:A,"Heliconia",OCCIDENTE!S:S,"SIN RIESGO")</f>
        <v>1</v>
      </c>
      <c r="E89" s="48">
        <f>(D89/$B$89)*100</f>
        <v>7.6923076923076925</v>
      </c>
      <c r="F89" s="29">
        <f>COUNTIFS(OCCIDENTE!A:A,"Heliconia",OCCIDENTE!S:S,"BAJO")</f>
        <v>0</v>
      </c>
      <c r="G89" s="48">
        <f>(F89/$B$89)*100</f>
        <v>0</v>
      </c>
      <c r="H89" s="29">
        <f>COUNTIFS(OCCIDENTE!A:A,"Heliconia",OCCIDENTE!S:S,"MEDIO")</f>
        <v>0</v>
      </c>
      <c r="I89" s="48">
        <f>(H89/$B$89)*100</f>
        <v>0</v>
      </c>
      <c r="J89" s="29">
        <f>COUNTIFS(OCCIDENTE!A:A,"Heliconia",OCCIDENTE!S:S,"ALTO")</f>
        <v>2</v>
      </c>
      <c r="K89" s="48">
        <f>(J89/$B$89)*100</f>
        <v>15.384615384615385</v>
      </c>
      <c r="L89" s="29">
        <f>COUNTIFS(OCCIDENTE!A:A,"Heliconia",OCCIDENTE!S:S,"INVIABLE SANITARIAMENTE")</f>
        <v>7</v>
      </c>
      <c r="M89" s="48">
        <f>(L89/$B$89)*100</f>
        <v>53.846153846153847</v>
      </c>
      <c r="N89" s="206">
        <f t="shared" si="9"/>
        <v>3</v>
      </c>
      <c r="O89" s="48">
        <f>(N89/$B$89)*100</f>
        <v>23.076923076923077</v>
      </c>
      <c r="P89" s="24"/>
    </row>
    <row r="90" spans="1:16" ht="15.75" x14ac:dyDescent="0.2">
      <c r="A90" s="293" t="s">
        <v>151</v>
      </c>
      <c r="B90" s="211">
        <f>'CONSOLIDADO-ACUEDUCTOSRURALES1'!D60</f>
        <v>34</v>
      </c>
      <c r="C90" s="48">
        <f t="shared" si="8"/>
        <v>6.5134099616858236</v>
      </c>
      <c r="D90" s="29">
        <f>COUNTIFS(OCCIDENTE!A:A,"Liborina",OCCIDENTE!S:S,"SIN RIESGO")</f>
        <v>1</v>
      </c>
      <c r="E90" s="48">
        <f>(D90/$B$90)*100</f>
        <v>2.9411764705882351</v>
      </c>
      <c r="F90" s="214">
        <f>COUNTIFS(OCCIDENTE!A:A,"liborina",OCCIDENTE!S:S,"BAJO")</f>
        <v>0</v>
      </c>
      <c r="G90" s="48">
        <f>(F90/$B$90)*100</f>
        <v>0</v>
      </c>
      <c r="H90" s="29">
        <f>COUNTIFS(OCCIDENTE!A:A,"Liborina",OCCIDENTE!S:S,"MEDIO")</f>
        <v>0</v>
      </c>
      <c r="I90" s="48">
        <f>(H90/$B$90)*100</f>
        <v>0</v>
      </c>
      <c r="J90" s="29">
        <f>COUNTIFS(OCCIDENTE!A:A,"Liborina",OCCIDENTE!S:S,"ALTO")</f>
        <v>3</v>
      </c>
      <c r="K90" s="48">
        <f>(J90/$B$90)*100</f>
        <v>8.8235294117647065</v>
      </c>
      <c r="L90" s="29">
        <f>COUNTIFS(OCCIDENTE!A:A,"Liborina",OCCIDENTE!S:S,"INVIABLE SANITARIAMENTE")</f>
        <v>30</v>
      </c>
      <c r="M90" s="48">
        <f>(L90/$B$90)*100</f>
        <v>88.235294117647058</v>
      </c>
      <c r="N90" s="206">
        <f t="shared" si="9"/>
        <v>0</v>
      </c>
      <c r="O90" s="48">
        <f>(N90/$B$90)*100</f>
        <v>0</v>
      </c>
      <c r="P90" s="24"/>
    </row>
    <row r="91" spans="1:16" ht="15.75" x14ac:dyDescent="0.2">
      <c r="A91" s="293" t="s">
        <v>152</v>
      </c>
      <c r="B91" s="211">
        <f>'CONSOLIDADO-ACUEDUCTOSRURALES1'!D61</f>
        <v>8</v>
      </c>
      <c r="C91" s="48">
        <f t="shared" si="8"/>
        <v>1.5325670498084289</v>
      </c>
      <c r="D91" s="29">
        <f>COUNTIFS(OCCIDENTE!A:A,"Olaya",OCCIDENTE!S:S,"SIN RIESGO")</f>
        <v>1</v>
      </c>
      <c r="E91" s="48">
        <f>(D91/$B$91)*100</f>
        <v>12.5</v>
      </c>
      <c r="F91" s="214">
        <f>COUNTIFS(OCCIDENTE!A:A,"Olaya",OCCIDENTE!S:S,"BAJO")</f>
        <v>0</v>
      </c>
      <c r="G91" s="48">
        <f>(F91/$B$91)*100</f>
        <v>0</v>
      </c>
      <c r="H91" s="29">
        <f>COUNTIFS(OCCIDENTE!A:A,"Olaya",OCCIDENTE!S:S,"MEDIO")</f>
        <v>1</v>
      </c>
      <c r="I91" s="48">
        <f>(H91/$B$91)*100</f>
        <v>12.5</v>
      </c>
      <c r="J91" s="29">
        <f>COUNTIFS(OCCIDENTE!A:A,"Olaya",OCCIDENTE!S:S,"ALTO")</f>
        <v>0</v>
      </c>
      <c r="K91" s="48">
        <f>(J91/$B$91)*100</f>
        <v>0</v>
      </c>
      <c r="L91" s="29">
        <f>COUNTIFS(OCCIDENTE!A:A,"Olaya",OCCIDENTE!S:S,"INVIABLE SANITARIAMENTE")</f>
        <v>6</v>
      </c>
      <c r="M91" s="48">
        <f>(L91/$B$91)*100</f>
        <v>75</v>
      </c>
      <c r="N91" s="206">
        <f t="shared" si="9"/>
        <v>0</v>
      </c>
      <c r="O91" s="48">
        <f>(N91/$B$91)*100</f>
        <v>0</v>
      </c>
      <c r="P91" s="24"/>
    </row>
    <row r="92" spans="1:16" ht="15.75" x14ac:dyDescent="0.2">
      <c r="A92" s="293" t="s">
        <v>153</v>
      </c>
      <c r="B92" s="211">
        <f>'CONSOLIDADO-ACUEDUCTOSRURALES1'!D62</f>
        <v>35</v>
      </c>
      <c r="C92" s="48">
        <f t="shared" si="8"/>
        <v>6.7049808429118771</v>
      </c>
      <c r="D92" s="29">
        <f>COUNTIFS(OCCIDENTE!A:A,"Peque",OCCIDENTE!S:S,"SIN RIESGO")</f>
        <v>0</v>
      </c>
      <c r="E92" s="48">
        <f>(D92/$B$92)*100</f>
        <v>0</v>
      </c>
      <c r="F92" s="29">
        <f>COUNTIFS(OCCIDENTE!A:A,"Peque",OCCIDENTE!S:S,"BAJO")</f>
        <v>0</v>
      </c>
      <c r="G92" s="48">
        <f>(F92/$B$92)*100</f>
        <v>0</v>
      </c>
      <c r="H92" s="29">
        <f>COUNTIFS(OCCIDENTE!A:A,"Peque",OCCIDENTE!S:S,"MEDIO")</f>
        <v>0</v>
      </c>
      <c r="I92" s="48">
        <f>(H92/$B$92)*100</f>
        <v>0</v>
      </c>
      <c r="J92" s="29">
        <f>COUNTIFS(OCCIDENTE!A:A,"Peque",OCCIDENTE!S:S,"ALTO")</f>
        <v>0</v>
      </c>
      <c r="K92" s="48">
        <f>(J92/$B$92)*100</f>
        <v>0</v>
      </c>
      <c r="L92" s="29">
        <f>COUNTIFS(OCCIDENTE!A:A,"Peque",OCCIDENTE!S:S,"INVIABLE SANITARIAMENTE")</f>
        <v>18</v>
      </c>
      <c r="M92" s="48">
        <f>(L92/$B$92)*100</f>
        <v>51.428571428571423</v>
      </c>
      <c r="N92" s="206">
        <f t="shared" si="9"/>
        <v>17</v>
      </c>
      <c r="O92" s="48">
        <f>(N92/$B$92)*100</f>
        <v>48.571428571428569</v>
      </c>
      <c r="P92" s="24"/>
    </row>
    <row r="93" spans="1:16" ht="15.75" x14ac:dyDescent="0.2">
      <c r="A93" s="293" t="s">
        <v>154</v>
      </c>
      <c r="B93" s="211">
        <f>'CONSOLIDADO-ACUEDUCTOSRURALES1'!D63</f>
        <v>26</v>
      </c>
      <c r="C93" s="48">
        <f t="shared" si="8"/>
        <v>4.980842911877394</v>
      </c>
      <c r="D93" s="29">
        <f>COUNTIFS(OCCIDENTE!A:A,"Sabanalarga",OCCIDENTE!S:S,"SIN RIESGO")</f>
        <v>0</v>
      </c>
      <c r="E93" s="48">
        <f>(D93/$B$93)*100</f>
        <v>0</v>
      </c>
      <c r="F93" s="29">
        <f>COUNTIFS(OCCIDENTE!A:A,"Sabanalarga",OCCIDENTE!S:S,"BAJO")</f>
        <v>0</v>
      </c>
      <c r="G93" s="48">
        <f>(F93/$B$93)*100</f>
        <v>0</v>
      </c>
      <c r="H93" s="29">
        <f>COUNTIFS(OCCIDENTE!A:A,"Sabanalarga",OCCIDENTE!S:S,"MEDIO")</f>
        <v>0</v>
      </c>
      <c r="I93" s="48">
        <f>(H93/$B$93)*100</f>
        <v>0</v>
      </c>
      <c r="J93" s="29">
        <f>COUNTIFS(OCCIDENTE!A:A,"Sabanalarga",OCCIDENTE!S:S,"ALTO")</f>
        <v>2</v>
      </c>
      <c r="K93" s="48">
        <f>(J93/$B$93)*100</f>
        <v>7.6923076923076925</v>
      </c>
      <c r="L93" s="29">
        <f>COUNTIFS(OCCIDENTE!A:A,"Sabanalarga",OCCIDENTE!S:S,"INVIABLE SANITARIAMENTE")</f>
        <v>19</v>
      </c>
      <c r="M93" s="48">
        <f>(L93/$B$93)*100</f>
        <v>73.076923076923066</v>
      </c>
      <c r="N93" s="206">
        <f t="shared" si="9"/>
        <v>5</v>
      </c>
      <c r="O93" s="48">
        <f>(N93/$B$93)*100</f>
        <v>19.230769230769234</v>
      </c>
      <c r="P93" s="24"/>
    </row>
    <row r="94" spans="1:16" ht="15.75" x14ac:dyDescent="0.2">
      <c r="A94" s="293" t="s">
        <v>155</v>
      </c>
      <c r="B94" s="211">
        <f>'CONSOLIDADO-ACUEDUCTOSRURALES1'!D64</f>
        <v>28</v>
      </c>
      <c r="C94" s="48">
        <f t="shared" si="8"/>
        <v>5.3639846743295019</v>
      </c>
      <c r="D94" s="29">
        <f>COUNTIFS(OCCIDENTE!A:A,"San Jerónimo",OCCIDENTE!S:S,"SIN RIESGO")</f>
        <v>1</v>
      </c>
      <c r="E94" s="48">
        <f>(D94/$B$94)*100</f>
        <v>3.5714285714285712</v>
      </c>
      <c r="F94" s="29">
        <f>COUNTIFS(OCCIDENTE!A:A,"San Jerónimo",OCCIDENTE!S:S,"BAJO")</f>
        <v>1</v>
      </c>
      <c r="G94" s="48">
        <f>(F94/$B$94)*100</f>
        <v>3.5714285714285712</v>
      </c>
      <c r="H94" s="29">
        <f>COUNTIFS(OCCIDENTE!A:A,"San Jerónimo",OCCIDENTE!S:S,"MEDIO")</f>
        <v>1</v>
      </c>
      <c r="I94" s="48">
        <f>(H94/$B$94)*100</f>
        <v>3.5714285714285712</v>
      </c>
      <c r="J94" s="29">
        <f>COUNTIFS(OCCIDENTE!A:A,"San Jerónimo",OCCIDENTE!S:S,"ALTO")</f>
        <v>23</v>
      </c>
      <c r="K94" s="48">
        <f>(J94/$B$94)*100</f>
        <v>82.142857142857139</v>
      </c>
      <c r="L94" s="29">
        <f>COUNTIFS(OCCIDENTE!A:A,"San Jerónimo",OCCIDENTE!S:S,"INVIABLE SANITARIAMENTE")</f>
        <v>0</v>
      </c>
      <c r="M94" s="48">
        <f>(L94/$B$94)*100</f>
        <v>0</v>
      </c>
      <c r="N94" s="206">
        <f t="shared" si="9"/>
        <v>2</v>
      </c>
      <c r="O94" s="48">
        <f>(N94/$B$94)*100</f>
        <v>7.1428571428571423</v>
      </c>
      <c r="P94" s="24"/>
    </row>
    <row r="95" spans="1:16" ht="15.75" x14ac:dyDescent="0.2">
      <c r="A95" s="293" t="s">
        <v>156</v>
      </c>
      <c r="B95" s="211">
        <f>'CONSOLIDADO-ACUEDUCTOSRURALES1'!D65</f>
        <v>37</v>
      </c>
      <c r="C95" s="48">
        <f t="shared" si="8"/>
        <v>7.088122605363985</v>
      </c>
      <c r="D95" s="29">
        <f>COUNTIFS(OCCIDENTE!A:A,"Santafe de Antioquia",OCCIDENTE!S:S,"SIN RIESGO")</f>
        <v>6</v>
      </c>
      <c r="E95" s="48">
        <f>(D95/$B$95)*100</f>
        <v>16.216216216216218</v>
      </c>
      <c r="F95" s="29">
        <f>COUNTIFS(OCCIDENTE!A:A,"Santafe de Antioquia",OCCIDENTE!S:S,"BAJO")</f>
        <v>0</v>
      </c>
      <c r="G95" s="48">
        <f>(F95/$B$95)*100</f>
        <v>0</v>
      </c>
      <c r="H95" s="29">
        <f>COUNTIFS(OCCIDENTE!A:A,"Santafe de Antioquia",OCCIDENTE!S:S,"MEDIO")</f>
        <v>0</v>
      </c>
      <c r="I95" s="48">
        <f>(H95/$B$95)*100</f>
        <v>0</v>
      </c>
      <c r="J95" s="29">
        <f>COUNTIFS(OCCIDENTE!A:A,"Santafe de Antioquia",OCCIDENTE!S:S,"ALTO")</f>
        <v>0</v>
      </c>
      <c r="K95" s="48">
        <f>(J95/$B$95)*100</f>
        <v>0</v>
      </c>
      <c r="L95" s="29">
        <f>COUNTIFS(OCCIDENTE!A:A,"Santafe de Antioquia",OCCIDENTE!S:S,"INVIABLE SANITARIAMENTE")</f>
        <v>31</v>
      </c>
      <c r="M95" s="48">
        <f>(L95/$B$95)*100</f>
        <v>83.78378378378379</v>
      </c>
      <c r="N95" s="206">
        <f t="shared" si="9"/>
        <v>0</v>
      </c>
      <c r="O95" s="48">
        <f>(N95/$B$95)*100</f>
        <v>0</v>
      </c>
      <c r="P95" s="24"/>
    </row>
    <row r="96" spans="1:16" ht="15.75" x14ac:dyDescent="0.2">
      <c r="A96" s="293" t="s">
        <v>157</v>
      </c>
      <c r="B96" s="211">
        <f>'CONSOLIDADO-ACUEDUCTOSRURALES1'!D66</f>
        <v>27</v>
      </c>
      <c r="C96" s="48">
        <f t="shared" si="8"/>
        <v>5.1724137931034484</v>
      </c>
      <c r="D96" s="44">
        <f>COUNTIFS(OCCIDENTE!A:A,"Sopetrán",OCCIDENTE!S:S,"SIN RIESGO")</f>
        <v>4</v>
      </c>
      <c r="E96" s="48">
        <f>(D96/$B$96)*100</f>
        <v>14.814814814814813</v>
      </c>
      <c r="F96" s="44">
        <f>COUNTIFS(OCCIDENTE!A:A,"Sopetrán",OCCIDENTE!S:S,"BAJO")</f>
        <v>2</v>
      </c>
      <c r="G96" s="48">
        <f>(F96/$B$96)*100</f>
        <v>7.4074074074074066</v>
      </c>
      <c r="H96" s="29">
        <f>COUNTIFS(OCCIDENTE!A:A,"Sopetrán",OCCIDENTE!S:S,"MEDIO")</f>
        <v>1</v>
      </c>
      <c r="I96" s="48">
        <f>(H96/$B$96)*100</f>
        <v>3.7037037037037033</v>
      </c>
      <c r="J96" s="29">
        <f>COUNTIFS(OCCIDENTE!A:A,"Sopetrán",OCCIDENTE!S:S,"ALTO")</f>
        <v>6</v>
      </c>
      <c r="K96" s="48">
        <f>(J96/$B$96)*100</f>
        <v>22.222222222222221</v>
      </c>
      <c r="L96" s="29">
        <f>COUNTIFS(OCCIDENTE!A:A,"Sopetrán",OCCIDENTE!S:S,"INVIABLE SANITARIAMENTE")</f>
        <v>14</v>
      </c>
      <c r="M96" s="48">
        <f>(L96/$B$96)*100</f>
        <v>51.851851851851848</v>
      </c>
      <c r="N96" s="206">
        <f t="shared" si="9"/>
        <v>0</v>
      </c>
      <c r="O96" s="48">
        <f>(N96/$B$96)*100</f>
        <v>0</v>
      </c>
      <c r="P96" s="24"/>
    </row>
    <row r="97" spans="1:16" s="28" customFormat="1" ht="15.75" x14ac:dyDescent="0.2">
      <c r="A97" s="293" t="s">
        <v>158</v>
      </c>
      <c r="B97" s="211">
        <f>'CONSOLIDADO-ACUEDUCTOSRURALES1'!D67</f>
        <v>17</v>
      </c>
      <c r="C97" s="48">
        <f t="shared" si="8"/>
        <v>3.2567049808429118</v>
      </c>
      <c r="D97" s="29">
        <f>COUNTIFS(OCCIDENTE!A:A,"Uramita",OCCIDENTE!S:S,"SIN RIESGO")</f>
        <v>0</v>
      </c>
      <c r="E97" s="48">
        <f>(D97/$B$97)*100</f>
        <v>0</v>
      </c>
      <c r="F97" s="29">
        <f>COUNTIFS(OCCIDENTE!C:C,"Uramita",OCCIDENTE!U:U,"SIN RIESGO")</f>
        <v>0</v>
      </c>
      <c r="G97" s="48">
        <f>(F97/$B$97)*100</f>
        <v>0</v>
      </c>
      <c r="H97" s="29">
        <f>COUNTIFS(OCCIDENTE!A:A,"Uramita",OCCIDENTE!S:S,"MEDIO")</f>
        <v>0</v>
      </c>
      <c r="I97" s="48">
        <f>(H97/$B$97)*100</f>
        <v>0</v>
      </c>
      <c r="J97" s="29">
        <f>COUNTIFS(OCCIDENTE!A:A,"Uramita",OCCIDENTE!S:S,"ALTO")</f>
        <v>0</v>
      </c>
      <c r="K97" s="48">
        <f>(J97/$B$97)*100</f>
        <v>0</v>
      </c>
      <c r="L97" s="29">
        <f>COUNTIFS(OCCIDENTE!A:A,"Uramita",OCCIDENTE!S:S,"INVIABLE SANITARIAMENTE")</f>
        <v>16</v>
      </c>
      <c r="M97" s="48">
        <f>(L97/$B$97)*100</f>
        <v>94.117647058823522</v>
      </c>
      <c r="N97" s="206">
        <f t="shared" si="9"/>
        <v>1</v>
      </c>
      <c r="O97" s="48">
        <f>(N97/$B$97)*100</f>
        <v>5.8823529411764701</v>
      </c>
      <c r="P97" s="27"/>
    </row>
    <row r="98" spans="1:16" s="23" customFormat="1" ht="28.5" customHeight="1" x14ac:dyDescent="0.2">
      <c r="A98" s="71" t="s">
        <v>222</v>
      </c>
      <c r="B98" s="72">
        <f>SUM(B79:B97)</f>
        <v>522</v>
      </c>
      <c r="C98" s="73">
        <f>SUM(C79:C97)</f>
        <v>100</v>
      </c>
      <c r="D98" s="72">
        <f>SUM(D79:D97)</f>
        <v>22</v>
      </c>
      <c r="E98" s="73">
        <f>(D98/$B$98)*100</f>
        <v>4.2145593869731801</v>
      </c>
      <c r="F98" s="72">
        <f>SUM(F79:F97)</f>
        <v>3</v>
      </c>
      <c r="G98" s="73">
        <f>(F98/$B$98)*100</f>
        <v>0.57471264367816088</v>
      </c>
      <c r="H98" s="72">
        <f>SUM(H79:H97)</f>
        <v>3</v>
      </c>
      <c r="I98" s="73">
        <f>(H98/$B$98)*100</f>
        <v>0.57471264367816088</v>
      </c>
      <c r="J98" s="72">
        <f>SUM(J79:J97)</f>
        <v>64</v>
      </c>
      <c r="K98" s="73">
        <f>(J98/$B$98)*100</f>
        <v>12.260536398467432</v>
      </c>
      <c r="L98" s="72">
        <f>SUM(L79:L97)</f>
        <v>318</v>
      </c>
      <c r="M98" s="73">
        <f>(L98/$B$98)*100</f>
        <v>60.919540229885058</v>
      </c>
      <c r="N98" s="72">
        <f>SUM(N79:N97)</f>
        <v>112</v>
      </c>
      <c r="O98" s="73">
        <f>(N98/$B$98)*100</f>
        <v>21.455938697318008</v>
      </c>
      <c r="P98" s="26"/>
    </row>
    <row r="99" spans="1:16" x14ac:dyDescent="0.2">
      <c r="A99" s="33"/>
      <c r="B99" s="62"/>
      <c r="C99" s="33"/>
      <c r="D99" s="62"/>
      <c r="E99" s="33"/>
      <c r="F99" s="62"/>
      <c r="G99" s="33"/>
      <c r="H99" s="62"/>
      <c r="I99" s="33"/>
      <c r="J99" s="62"/>
      <c r="K99" s="33"/>
      <c r="L99" s="62"/>
      <c r="M99" s="33"/>
      <c r="N99" s="62"/>
      <c r="O99" s="33"/>
      <c r="P99" s="4"/>
    </row>
    <row r="100" spans="1:16" x14ac:dyDescent="0.2">
      <c r="A100" s="33"/>
      <c r="B100" s="62"/>
      <c r="C100" s="33"/>
      <c r="D100" s="62"/>
      <c r="E100" s="33"/>
      <c r="F100" s="62"/>
      <c r="G100" s="33"/>
      <c r="H100" s="62"/>
      <c r="I100" s="33"/>
      <c r="J100" s="62"/>
      <c r="K100" s="33"/>
      <c r="L100" s="62"/>
      <c r="M100" s="33"/>
      <c r="N100" s="62"/>
      <c r="O100" s="33"/>
      <c r="P100" s="4"/>
    </row>
    <row r="101" spans="1:16" ht="23.25" customHeight="1" x14ac:dyDescent="0.2">
      <c r="A101" s="353" t="s">
        <v>4561</v>
      </c>
      <c r="B101" s="353"/>
      <c r="C101" s="353"/>
      <c r="D101" s="353"/>
      <c r="E101" s="353"/>
      <c r="F101" s="353"/>
      <c r="G101" s="353"/>
      <c r="H101" s="353"/>
      <c r="I101" s="353"/>
      <c r="J101" s="353"/>
      <c r="K101" s="353"/>
      <c r="L101" s="353"/>
      <c r="M101" s="353"/>
      <c r="N101" s="353"/>
      <c r="O101" s="353"/>
      <c r="P101" s="24"/>
    </row>
    <row r="102" spans="1:16" ht="132.75" customHeight="1" x14ac:dyDescent="0.2">
      <c r="A102" s="252" t="s">
        <v>11</v>
      </c>
      <c r="B102" s="68" t="s">
        <v>252</v>
      </c>
      <c r="C102" s="252" t="s">
        <v>102</v>
      </c>
      <c r="D102" s="255" t="s">
        <v>246</v>
      </c>
      <c r="E102" s="252" t="s">
        <v>102</v>
      </c>
      <c r="F102" s="256" t="s">
        <v>247</v>
      </c>
      <c r="G102" s="252" t="s">
        <v>102</v>
      </c>
      <c r="H102" s="257" t="s">
        <v>248</v>
      </c>
      <c r="I102" s="252" t="s">
        <v>102</v>
      </c>
      <c r="J102" s="258" t="s">
        <v>249</v>
      </c>
      <c r="K102" s="252" t="s">
        <v>102</v>
      </c>
      <c r="L102" s="259" t="s">
        <v>250</v>
      </c>
      <c r="M102" s="252" t="s">
        <v>102</v>
      </c>
      <c r="N102" s="68" t="s">
        <v>251</v>
      </c>
      <c r="O102" s="252" t="s">
        <v>102</v>
      </c>
      <c r="P102" s="24"/>
    </row>
    <row r="103" spans="1:16" ht="15.75" x14ac:dyDescent="0.2">
      <c r="A103" s="293" t="s">
        <v>160</v>
      </c>
      <c r="B103" s="44">
        <f>'CONSOLIDADO-ACUEDUCTOSRURALES1'!D69</f>
        <v>34</v>
      </c>
      <c r="C103" s="48">
        <f>(B103/$B$126)*100</f>
        <v>6.6276803118908383</v>
      </c>
      <c r="D103" s="29">
        <f>COUNTIFS(SUROESTE!A:A,"Amagá",SUROESTE!S:S,"SIN RIESGO")</f>
        <v>0</v>
      </c>
      <c r="E103" s="48">
        <f>(D103/$B$103)*100</f>
        <v>0</v>
      </c>
      <c r="F103" s="29">
        <f>COUNTIFS(SUROESTE!A:A,"Amagá",SUROESTE!S:S,"BAJO")</f>
        <v>0</v>
      </c>
      <c r="G103" s="48">
        <f>(F103/$B$103)*100</f>
        <v>0</v>
      </c>
      <c r="H103" s="29">
        <f>COUNTIFS(SUROESTE!A:A,"Amagá",SUROESTE!S:S,"MEDIO")</f>
        <v>3</v>
      </c>
      <c r="I103" s="48">
        <f>(H103/$B$103)*100</f>
        <v>8.8235294117647065</v>
      </c>
      <c r="J103" s="29">
        <f>COUNTIFS(SUROESTE!A:A,"Amagá",SUROESTE!S:S,"ALTO")</f>
        <v>16</v>
      </c>
      <c r="K103" s="48">
        <f>(J103/$B$103)*100</f>
        <v>47.058823529411761</v>
      </c>
      <c r="L103" s="29">
        <f>COUNTIFS(SUROESTE!A:A,"Amagá",SUROESTE!S:S,"INVIABLE SANITARIAMENTE")</f>
        <v>15</v>
      </c>
      <c r="M103" s="48">
        <f>(L103/$B$103)*100</f>
        <v>44.117647058823529</v>
      </c>
      <c r="N103" s="29">
        <f>B103-(D103+F103+H103+J103+L103)</f>
        <v>0</v>
      </c>
      <c r="O103" s="48">
        <f>(N103/$B$103)*100</f>
        <v>0</v>
      </c>
      <c r="P103" s="24"/>
    </row>
    <row r="104" spans="1:16" ht="15.75" x14ac:dyDescent="0.2">
      <c r="A104" s="293" t="s">
        <v>161</v>
      </c>
      <c r="B104" s="44">
        <f>'CONSOLIDADO-ACUEDUCTOSRURALES1'!D70</f>
        <v>59</v>
      </c>
      <c r="C104" s="48">
        <f t="shared" ref="C104:C125" si="10">(B104/$B$126)*100</f>
        <v>11.500974658869396</v>
      </c>
      <c r="D104" s="29">
        <f>COUNTIFS(SUROESTE!A:A,"Andes",SUROESTE!S:S,"SIN RIESGO")</f>
        <v>3</v>
      </c>
      <c r="E104" s="48">
        <f>(D104/$B$104)*100</f>
        <v>5.0847457627118651</v>
      </c>
      <c r="F104" s="29">
        <f>COUNTIFS(SUROESTE!A:A,"Andes",SUROESTE!S:S,"BAJO")</f>
        <v>0</v>
      </c>
      <c r="G104" s="48">
        <f>(F104/$B$104)*100</f>
        <v>0</v>
      </c>
      <c r="H104" s="29">
        <f>COUNTIFS(SUROESTE!A:A,"Andes",SUROESTE!S:S,"MEDIO")</f>
        <v>12</v>
      </c>
      <c r="I104" s="48">
        <f>(H104/$B$104)*100</f>
        <v>20.33898305084746</v>
      </c>
      <c r="J104" s="29">
        <f>COUNTIFS(SUROESTE!A:A,"Andes",SUROESTE!S:S,"ALTO")</f>
        <v>19</v>
      </c>
      <c r="K104" s="48">
        <f>(J104/$B$104)*100</f>
        <v>32.20338983050847</v>
      </c>
      <c r="L104" s="29">
        <f>COUNTIFS(SUROESTE!A:A,"Andes",SUROESTE!S:S,"INVIABLE SANITARIAMENTE")</f>
        <v>8</v>
      </c>
      <c r="M104" s="48">
        <f>(L104/$B$104)*100</f>
        <v>13.559322033898304</v>
      </c>
      <c r="N104" s="206">
        <f t="shared" ref="N104:N125" si="11">B104-(D104+F104+H104+J104+L104)</f>
        <v>17</v>
      </c>
      <c r="O104" s="48">
        <f>(N104/$B$104)*100</f>
        <v>28.8135593220339</v>
      </c>
      <c r="P104" s="24"/>
    </row>
    <row r="105" spans="1:16" ht="15.75" x14ac:dyDescent="0.2">
      <c r="A105" s="293" t="s">
        <v>3944</v>
      </c>
      <c r="B105" s="44">
        <f>'CONSOLIDADO-ACUEDUCTOSRURALES1'!D71</f>
        <v>12</v>
      </c>
      <c r="C105" s="48">
        <f t="shared" si="10"/>
        <v>2.3391812865497075</v>
      </c>
      <c r="D105" s="29">
        <f>COUNTIFS(SUROESTE!A:A,"Angelópolis",SUROESTE!S:S,"SIN RIESGO")</f>
        <v>1</v>
      </c>
      <c r="E105" s="48">
        <f>(D105/$B$105)*100</f>
        <v>8.3333333333333321</v>
      </c>
      <c r="F105" s="29">
        <f>COUNTIFS(SUROESTE!A:A,"Angelópolis",SUROESTE!S:S,"BAJO")</f>
        <v>0</v>
      </c>
      <c r="G105" s="48">
        <f>(F105/$B$105)*100</f>
        <v>0</v>
      </c>
      <c r="H105" s="29">
        <f>COUNTIFS(SUROESTE!A:A,"Angelópolis",SUROESTE!S:S,"MEDIO")</f>
        <v>0</v>
      </c>
      <c r="I105" s="48">
        <f>(H105/$B$105)*100</f>
        <v>0</v>
      </c>
      <c r="J105" s="29">
        <f>COUNTIFS(SUROESTE!A:A,"Angelópolis",SUROESTE!S:S,"ALTO")</f>
        <v>0</v>
      </c>
      <c r="K105" s="48">
        <f>(J105/$B$105)*100</f>
        <v>0</v>
      </c>
      <c r="L105" s="29">
        <f>COUNTIFS(SUROESTE!A:A,"Angelópolis",SUROESTE!S:S,"INVIABLE SANITARIAMENTE")</f>
        <v>11</v>
      </c>
      <c r="M105" s="48">
        <f>(L105/$B$105)*100</f>
        <v>91.666666666666657</v>
      </c>
      <c r="N105" s="206">
        <f t="shared" si="11"/>
        <v>0</v>
      </c>
      <c r="O105" s="48">
        <f>(N105/$B$105)*100</f>
        <v>0</v>
      </c>
      <c r="P105" s="24"/>
    </row>
    <row r="106" spans="1:16" ht="15.75" x14ac:dyDescent="0.2">
      <c r="A106" s="293" t="s">
        <v>162</v>
      </c>
      <c r="B106" s="44">
        <f>'CONSOLIDADO-ACUEDUCTOSRURALES1'!D72</f>
        <v>12</v>
      </c>
      <c r="C106" s="48">
        <f t="shared" si="10"/>
        <v>2.3391812865497075</v>
      </c>
      <c r="D106" s="29">
        <f>COUNTIFS(SUROESTE!A:A,"Betania",SUROESTE!S:S,"SIN RIESGO")</f>
        <v>9</v>
      </c>
      <c r="E106" s="48">
        <f>(D106/$B$106)*100</f>
        <v>75</v>
      </c>
      <c r="F106" s="29">
        <f>COUNTIFS(SUROESTE!A:A,"Betania",SUROESTE!S:S,"BAJO")</f>
        <v>2</v>
      </c>
      <c r="G106" s="48">
        <f>(F106/$B$106)*100</f>
        <v>16.666666666666664</v>
      </c>
      <c r="H106" s="29">
        <f>COUNTIFS(SUROESTE!A:A,"Betania",SUROESTE!S:S,"MEDIO")</f>
        <v>0</v>
      </c>
      <c r="I106" s="48">
        <f>(H106/$B$106)*100</f>
        <v>0</v>
      </c>
      <c r="J106" s="29">
        <f>COUNTIFS(SUROESTE!A:A,"Betania",SUROESTE!S:S,"ALTO")</f>
        <v>0</v>
      </c>
      <c r="K106" s="48">
        <f>(J106/$B$106)*100</f>
        <v>0</v>
      </c>
      <c r="L106" s="29">
        <f>COUNTIFS(SUROESTE!A:A,"Betania",SUROESTE!S:S,"INVIABLE SANITARIAMENTE")</f>
        <v>0</v>
      </c>
      <c r="M106" s="48">
        <f>(L106/$B$106)*100</f>
        <v>0</v>
      </c>
      <c r="N106" s="206">
        <f t="shared" si="11"/>
        <v>1</v>
      </c>
      <c r="O106" s="48">
        <f>(N106/$B$106)*100</f>
        <v>8.3333333333333321</v>
      </c>
      <c r="P106" s="24"/>
    </row>
    <row r="107" spans="1:16" ht="15.75" x14ac:dyDescent="0.2">
      <c r="A107" s="293" t="s">
        <v>46</v>
      </c>
      <c r="B107" s="44">
        <f>'CONSOLIDADO-ACUEDUCTOSRURALES1'!D73</f>
        <v>28</v>
      </c>
      <c r="C107" s="48">
        <f t="shared" si="10"/>
        <v>5.4580896686159841</v>
      </c>
      <c r="D107" s="29">
        <f>COUNTIFS(SUROESTE!A:A,"Betulia",SUROESTE!S:S,"SIN RIESGO")</f>
        <v>4</v>
      </c>
      <c r="E107" s="48">
        <f>(D107/$B$107)*100</f>
        <v>14.285714285714285</v>
      </c>
      <c r="F107" s="29">
        <f>COUNTIFS(SUROESTE!A:A,"Betulia",SUROESTE!S:S,"BAJO")</f>
        <v>0</v>
      </c>
      <c r="G107" s="48">
        <f>(F107/$B$107)*100</f>
        <v>0</v>
      </c>
      <c r="H107" s="29">
        <f>COUNTIFS(SUROESTE!A:A,"Betulia",SUROESTE!S:S,"MEDIO")</f>
        <v>0</v>
      </c>
      <c r="I107" s="48">
        <f>(H107/$B$107)*100</f>
        <v>0</v>
      </c>
      <c r="J107" s="29">
        <f>COUNTIFS(SUROESTE!A:A,"Betulia",SUROESTE!S:S,"ALTO")</f>
        <v>24</v>
      </c>
      <c r="K107" s="48">
        <f>(J107/$B$107)*100</f>
        <v>85.714285714285708</v>
      </c>
      <c r="L107" s="29">
        <f>COUNTIFS(SUROESTE!A:A,"Betulia",SUROESTE!S:S,"INVIABLE SANITARIAMENTE")</f>
        <v>0</v>
      </c>
      <c r="M107" s="48">
        <f>(L107/$B$107)*100</f>
        <v>0</v>
      </c>
      <c r="N107" s="206">
        <f t="shared" si="11"/>
        <v>0</v>
      </c>
      <c r="O107" s="48">
        <f>(N107/$B$107)*100</f>
        <v>0</v>
      </c>
      <c r="P107" s="24"/>
    </row>
    <row r="108" spans="1:16" ht="15.75" x14ac:dyDescent="0.2">
      <c r="A108" s="293" t="s">
        <v>163</v>
      </c>
      <c r="B108" s="44">
        <f>'CONSOLIDADO-ACUEDUCTOSRURALES1'!D74</f>
        <v>16</v>
      </c>
      <c r="C108" s="48">
        <f t="shared" si="10"/>
        <v>3.1189083820662766</v>
      </c>
      <c r="D108" s="29">
        <f>COUNTIFS(SUROESTE!A:A,"Caramanta",SUROESTE!S:S,"SIN RIESGO")</f>
        <v>0</v>
      </c>
      <c r="E108" s="48">
        <f>(D108/$B$108)*100</f>
        <v>0</v>
      </c>
      <c r="F108" s="29">
        <f>COUNTIFS(SUROESTE!A:A,"Caramanta",SUROESTE!S:S,"BAJO")</f>
        <v>0</v>
      </c>
      <c r="G108" s="48">
        <f>(F108/$B$108)*100</f>
        <v>0</v>
      </c>
      <c r="H108" s="29">
        <f>COUNTIFS(SUROESTE!A:A,"Caramanta",SUROESTE!S:S,"MEDIO")</f>
        <v>0</v>
      </c>
      <c r="I108" s="48">
        <f>(H108/$B$108)*100</f>
        <v>0</v>
      </c>
      <c r="J108" s="29">
        <f>COUNTIFS(SUROESTE!A:A,"Caramanta",SUROESTE!S:S,"ALTO")</f>
        <v>0</v>
      </c>
      <c r="K108" s="48">
        <f>(J108/$B$108)*100</f>
        <v>0</v>
      </c>
      <c r="L108" s="29">
        <f>COUNTIFS(SUROESTE!A:A,"Caramanta",SUROESTE!S:S,"INVIABLE SANITARIAMENTE")</f>
        <v>10</v>
      </c>
      <c r="M108" s="48">
        <f>(L108/$B$108)*100</f>
        <v>62.5</v>
      </c>
      <c r="N108" s="206">
        <f t="shared" si="11"/>
        <v>6</v>
      </c>
      <c r="O108" s="48">
        <f>(N108/$B$108)*100</f>
        <v>37.5</v>
      </c>
      <c r="P108" s="24"/>
    </row>
    <row r="109" spans="1:16" ht="15.75" x14ac:dyDescent="0.2">
      <c r="A109" s="293" t="s">
        <v>164</v>
      </c>
      <c r="B109" s="44">
        <f>'CONSOLIDADO-ACUEDUCTOSRURALES1'!D75</f>
        <v>17</v>
      </c>
      <c r="C109" s="48">
        <f t="shared" si="10"/>
        <v>3.3138401559454191</v>
      </c>
      <c r="D109" s="29">
        <f>COUNTIFS(SUROESTE!A:A,"Ciudad Bolívar",SUROESTE!S:S,"SIN RIESGO")</f>
        <v>5</v>
      </c>
      <c r="E109" s="48">
        <f>(D109/$B$109)*100</f>
        <v>29.411764705882355</v>
      </c>
      <c r="F109" s="29">
        <f>COUNTIFS(SUROESTE!A:A,"Ciudad Bolívar",SUROESTE!S:S,"BAJO")</f>
        <v>1</v>
      </c>
      <c r="G109" s="48">
        <f>(F109/$B$109)*100</f>
        <v>5.8823529411764701</v>
      </c>
      <c r="H109" s="29">
        <f>COUNTIFS(SUROESTE!A:A,"Ciudad Bolívar",SUROESTE!S:S,"MEDIO")</f>
        <v>0</v>
      </c>
      <c r="I109" s="48">
        <f>(H109/$B$109)*100</f>
        <v>0</v>
      </c>
      <c r="J109" s="29">
        <f>COUNTIFS(SUROESTE!A:A,"Ciudad Bolívar",SUROESTE!S:S,"ALTO")</f>
        <v>4</v>
      </c>
      <c r="K109" s="48">
        <f>(J109/$B$109)*100</f>
        <v>23.52941176470588</v>
      </c>
      <c r="L109" s="29">
        <f>COUNTIFS(SUROESTE!A:A,"Ciudad Bolívar",SUROESTE!S:S,"INVIABLE SANITARIAMENTE")</f>
        <v>4</v>
      </c>
      <c r="M109" s="48">
        <f>(L109/$B$109)*100</f>
        <v>23.52941176470588</v>
      </c>
      <c r="N109" s="206">
        <f t="shared" si="11"/>
        <v>3</v>
      </c>
      <c r="O109" s="48">
        <f>(N109/$B$109)*100</f>
        <v>17.647058823529413</v>
      </c>
      <c r="P109" s="24"/>
    </row>
    <row r="110" spans="1:16" ht="15.75" x14ac:dyDescent="0.2">
      <c r="A110" s="293" t="s">
        <v>165</v>
      </c>
      <c r="B110" s="44">
        <f>'CONSOLIDADO-ACUEDUCTOSRURALES1'!D76</f>
        <v>21</v>
      </c>
      <c r="C110" s="48">
        <f t="shared" si="10"/>
        <v>4.0935672514619883</v>
      </c>
      <c r="D110" s="29">
        <f>COUNTIFS(SUROESTE!A:A,"Concordia",SUROESTE!S:S,"SIN RIESGO")</f>
        <v>2</v>
      </c>
      <c r="E110" s="48">
        <f>(D110/$B$110)*100</f>
        <v>9.5238095238095237</v>
      </c>
      <c r="F110" s="29">
        <f>COUNTIFS(SUROESTE!A:A,"Concordia",SUROESTE!S:S,"BAJO")</f>
        <v>0</v>
      </c>
      <c r="G110" s="48">
        <f>(F110/$B$110)*100</f>
        <v>0</v>
      </c>
      <c r="H110" s="29">
        <f>COUNTIFS(SUROESTE!A:A,"Concordia",SUROESTE!S:S,"MEDIO")</f>
        <v>2</v>
      </c>
      <c r="I110" s="48">
        <f>(H110/$B$110)*100</f>
        <v>9.5238095238095237</v>
      </c>
      <c r="J110" s="29">
        <f>COUNTIFS(SUROESTE!A:A,"Concordia",SUROESTE!S:S,"ALTO")</f>
        <v>10</v>
      </c>
      <c r="K110" s="48">
        <f>(J110/$B$110)*100</f>
        <v>47.619047619047613</v>
      </c>
      <c r="L110" s="29">
        <f>COUNTIFS(SUROESTE!A:A,"Concordia",SUROESTE!S:S,"INVIABLE SANITARIAMENTE")</f>
        <v>7</v>
      </c>
      <c r="M110" s="48">
        <f>(L110/$B$110)*100</f>
        <v>33.333333333333329</v>
      </c>
      <c r="N110" s="206">
        <f t="shared" si="11"/>
        <v>0</v>
      </c>
      <c r="O110" s="48">
        <f>(N110/$B$110)*100</f>
        <v>0</v>
      </c>
      <c r="P110" s="24"/>
    </row>
    <row r="111" spans="1:16" ht="15.75" x14ac:dyDescent="0.2">
      <c r="A111" s="293" t="s">
        <v>166</v>
      </c>
      <c r="B111" s="44">
        <f>'CONSOLIDADO-ACUEDUCTOSRURALES1'!D77</f>
        <v>36</v>
      </c>
      <c r="C111" s="48">
        <f t="shared" si="10"/>
        <v>7.0175438596491224</v>
      </c>
      <c r="D111" s="29">
        <f>COUNTIFS(SUROESTE!A:A,"Fredonia",SUROESTE!S:S,"SIN RIESGO")</f>
        <v>14</v>
      </c>
      <c r="E111" s="48">
        <f>(D111/$B$111)*100</f>
        <v>38.888888888888893</v>
      </c>
      <c r="F111" s="29">
        <f>COUNTIFS(SUROESTE!A:A,"Fredonia",SUROESTE!S:S,"BAJO")</f>
        <v>0</v>
      </c>
      <c r="G111" s="48">
        <f>(F111/$B$111)*100</f>
        <v>0</v>
      </c>
      <c r="H111" s="29">
        <f>COUNTIFS(SUROESTE!A:A,"Fredonia",SUROESTE!S:S,"MEDIO")</f>
        <v>3</v>
      </c>
      <c r="I111" s="48">
        <f>(H111/$B$111)*100</f>
        <v>8.3333333333333321</v>
      </c>
      <c r="J111" s="29">
        <f>COUNTIFS(SUROESTE!A:A,"Fredonia",SUROESTE!S:S,"ALTO")</f>
        <v>0</v>
      </c>
      <c r="K111" s="48">
        <f>(J111/$B$111)*100</f>
        <v>0</v>
      </c>
      <c r="L111" s="29">
        <f>COUNTIFS(SUROESTE!A:A,"Fredonia",SUROESTE!S:S,"INVIABLE SANITARIAMENTE")</f>
        <v>19</v>
      </c>
      <c r="M111" s="48">
        <f>(L111/$B$111)*100</f>
        <v>52.777777777777779</v>
      </c>
      <c r="N111" s="206">
        <f t="shared" si="11"/>
        <v>0</v>
      </c>
      <c r="O111" s="48">
        <f>(N111/$B$111)*100</f>
        <v>0</v>
      </c>
      <c r="P111" s="24"/>
    </row>
    <row r="112" spans="1:16" ht="15.75" x14ac:dyDescent="0.2">
      <c r="A112" s="293" t="s">
        <v>167</v>
      </c>
      <c r="B112" s="44">
        <f>'CONSOLIDADO-ACUEDUCTOSRURALES1'!D78</f>
        <v>9</v>
      </c>
      <c r="C112" s="48">
        <f t="shared" si="10"/>
        <v>1.7543859649122806</v>
      </c>
      <c r="D112" s="29">
        <f>COUNTIFS(SUROESTE!A:A,"Hispania",SUROESTE!S:S,"SIN RIESGO")</f>
        <v>0</v>
      </c>
      <c r="E112" s="48">
        <f>(D112/$B$112)*100</f>
        <v>0</v>
      </c>
      <c r="F112" s="29">
        <f>COUNTIFS(SUROESTE!A:A,"Hispania",SUROESTE!S:S,"BAJO")</f>
        <v>0</v>
      </c>
      <c r="G112" s="48">
        <f>(F112/$B$112)*100</f>
        <v>0</v>
      </c>
      <c r="H112" s="29">
        <f>COUNTIFS(SUROESTE!A:A,"Hispania",SUROESTE!S:S,"MEDIO")</f>
        <v>1</v>
      </c>
      <c r="I112" s="48">
        <f>(H112/$B$112)*100</f>
        <v>11.111111111111111</v>
      </c>
      <c r="J112" s="29">
        <f>COUNTIFS(SUROESTE!A:A,"Hispania",SUROESTE!S:S,"ALTO")</f>
        <v>8</v>
      </c>
      <c r="K112" s="48">
        <f>(J112/$B$112)*100</f>
        <v>88.888888888888886</v>
      </c>
      <c r="L112" s="29">
        <f>COUNTIFS(SUROESTE!A:A,"Hispania",SUROESTE!S:S,"INVIABLE SANITARIAMENTE")</f>
        <v>0</v>
      </c>
      <c r="M112" s="48">
        <f>(L112/$B$112)*100</f>
        <v>0</v>
      </c>
      <c r="N112" s="206">
        <f t="shared" si="11"/>
        <v>0</v>
      </c>
      <c r="O112" s="48">
        <f>(N112/$B$112)*100</f>
        <v>0</v>
      </c>
      <c r="P112" s="24"/>
    </row>
    <row r="113" spans="1:16" ht="15.75" x14ac:dyDescent="0.2">
      <c r="A113" s="293" t="s">
        <v>168</v>
      </c>
      <c r="B113" s="44">
        <f>'CONSOLIDADO-ACUEDUCTOSRURALES1'!D79</f>
        <v>23</v>
      </c>
      <c r="C113" s="48">
        <f t="shared" si="10"/>
        <v>4.4834307992202724</v>
      </c>
      <c r="D113" s="29">
        <f>COUNTIFS(SUROESTE!A:A,"Jardín",SUROESTE!S:S,"SIN RIESGO")</f>
        <v>1</v>
      </c>
      <c r="E113" s="48">
        <f>(D113/$B$113)*100</f>
        <v>4.3478260869565215</v>
      </c>
      <c r="F113" s="29">
        <f>COUNTIFS(SUROESTE!A:A,"Jardín",SUROESTE!S:S,"BAJO")</f>
        <v>0</v>
      </c>
      <c r="G113" s="48">
        <f>(F113/$B$113)*100</f>
        <v>0</v>
      </c>
      <c r="H113" s="29">
        <f>COUNTIFS(SUROESTE!A:A,"Jardín",SUROESTE!S:S,"MEDIO")</f>
        <v>0</v>
      </c>
      <c r="I113" s="48">
        <f>(H113/$B$113)*100</f>
        <v>0</v>
      </c>
      <c r="J113" s="29">
        <f>COUNTIFS(SUROESTE!A:A,"Jardín",SUROESTE!S:S,"ALTO")</f>
        <v>1</v>
      </c>
      <c r="K113" s="48">
        <f>(J113/$B$113)*100</f>
        <v>4.3478260869565215</v>
      </c>
      <c r="L113" s="29">
        <f>COUNTIFS(SUROESTE!A:A,"Jardín",SUROESTE!S:S,"INVIABLE SANITARIAMENTE")</f>
        <v>21</v>
      </c>
      <c r="M113" s="48">
        <f>(L113/$B$113)*100</f>
        <v>91.304347826086953</v>
      </c>
      <c r="N113" s="233">
        <f t="shared" si="11"/>
        <v>0</v>
      </c>
      <c r="O113" s="48">
        <f>(N113/$B$113)*100</f>
        <v>0</v>
      </c>
      <c r="P113" s="24"/>
    </row>
    <row r="114" spans="1:16" ht="15.75" x14ac:dyDescent="0.2">
      <c r="A114" s="293" t="s">
        <v>169</v>
      </c>
      <c r="B114" s="44">
        <f>'CONSOLIDADO-ACUEDUCTOSRURALES1'!D80</f>
        <v>25</v>
      </c>
      <c r="C114" s="48">
        <f t="shared" si="10"/>
        <v>4.8732943469785575</v>
      </c>
      <c r="D114" s="29">
        <f>COUNTIFS(SUROESTE!A:A,"Jericó",SUROESTE!S:S,"SIN RIESGO")</f>
        <v>3</v>
      </c>
      <c r="E114" s="48">
        <f>(D114/$B$114)*100</f>
        <v>12</v>
      </c>
      <c r="F114" s="29">
        <f>COUNTIFS(SUROESTE!A:A,"Jericó",SUROESTE!S:S,"BAJO")</f>
        <v>0</v>
      </c>
      <c r="G114" s="48">
        <f>(F114/$B$114)*100</f>
        <v>0</v>
      </c>
      <c r="H114" s="29">
        <f>COUNTIFS(SUROESTE!A:A,"Jericó",SUROESTE!S:S,"MEDIO")</f>
        <v>0</v>
      </c>
      <c r="I114" s="48">
        <f>(H114/$B$114)*100</f>
        <v>0</v>
      </c>
      <c r="J114" s="29">
        <f>COUNTIFS(SUROESTE!A:A,"Jericó",SUROESTE!S:S,"ALTO")</f>
        <v>9</v>
      </c>
      <c r="K114" s="48">
        <f>(J114/$B$114)*100</f>
        <v>36</v>
      </c>
      <c r="L114" s="29">
        <f>COUNTIFS(SUROESTE!A:A,"Jericó",SUROESTE!S:S,"INVIABLE SANITARIAMENTE")</f>
        <v>13</v>
      </c>
      <c r="M114" s="48">
        <f>(L114/$B$114)*100</f>
        <v>52</v>
      </c>
      <c r="N114" s="206">
        <f t="shared" si="11"/>
        <v>0</v>
      </c>
      <c r="O114" s="48">
        <f>(N114/$B$114)*100</f>
        <v>0</v>
      </c>
      <c r="P114" s="24"/>
    </row>
    <row r="115" spans="1:16" ht="15.75" x14ac:dyDescent="0.2">
      <c r="A115" s="293" t="s">
        <v>170</v>
      </c>
      <c r="B115" s="44">
        <f>'CONSOLIDADO-ACUEDUCTOSRURALES1'!D81</f>
        <v>0</v>
      </c>
      <c r="C115" s="48">
        <f t="shared" si="10"/>
        <v>0</v>
      </c>
      <c r="D115" s="29">
        <f>COUNTIFS(SUROESTE!A:A,"La Pintada",SUROESTE!S:S,"SIN RIESGO")</f>
        <v>0</v>
      </c>
      <c r="E115" s="48">
        <v>0</v>
      </c>
      <c r="F115" s="29">
        <f>COUNTIFS(SUROESTE!A:A,"La Pintada",SUROESTE!S:S,"BAJO")</f>
        <v>0</v>
      </c>
      <c r="G115" s="48">
        <v>0</v>
      </c>
      <c r="H115" s="29">
        <f>COUNTIFS(SUROESTE!A:A,"La Pintada",SUROESTE!S:S,"MEDIO")</f>
        <v>0</v>
      </c>
      <c r="I115" s="48">
        <v>0</v>
      </c>
      <c r="J115" s="29">
        <f>COUNTIFS(SUROESTE!A:A,"La Pintada",SUROESTE!S:S,"ALTO")</f>
        <v>0</v>
      </c>
      <c r="K115" s="48">
        <v>0</v>
      </c>
      <c r="L115" s="29">
        <f>COUNTIFS(SUROESTE!A:A,"La Pintada",SUROESTE!S:S,"INVIABLE SANITARIAMENTE")</f>
        <v>0</v>
      </c>
      <c r="M115" s="48">
        <v>0</v>
      </c>
      <c r="N115" s="206">
        <f t="shared" si="11"/>
        <v>0</v>
      </c>
      <c r="O115" s="48">
        <v>0</v>
      </c>
      <c r="P115" s="24"/>
    </row>
    <row r="116" spans="1:16" ht="15.75" x14ac:dyDescent="0.2">
      <c r="A116" s="293" t="s">
        <v>171</v>
      </c>
      <c r="B116" s="44">
        <f>'CONSOLIDADO-ACUEDUCTOSRURALES1'!D82</f>
        <v>19</v>
      </c>
      <c r="C116" s="48">
        <f t="shared" si="10"/>
        <v>3.7037037037037033</v>
      </c>
      <c r="D116" s="29">
        <f>COUNTIFS(SUROESTE!A:A,"Montebello",SUROESTE!S:S,"SIN RIESGO")</f>
        <v>0</v>
      </c>
      <c r="E116" s="48">
        <f>(D116/$B$116)*100</f>
        <v>0</v>
      </c>
      <c r="F116" s="29">
        <f>COUNTIFS(SUROESTE!A:A,"Montebello",SUROESTE!S:S,"BAJO")</f>
        <v>1</v>
      </c>
      <c r="G116" s="48">
        <f>(F116/$B$116)*100</f>
        <v>5.2631578947368416</v>
      </c>
      <c r="H116" s="29">
        <f>COUNTIFS(SUROESTE!A:A,"Montebello",SUROESTE!S:S,"MEDIO")</f>
        <v>0</v>
      </c>
      <c r="I116" s="48">
        <f>(H116/$B$116)*100</f>
        <v>0</v>
      </c>
      <c r="J116" s="29">
        <f>COUNTIFS(SUROESTE!A:A,"Montebello",SUROESTE!S:S,"ALTO")</f>
        <v>2</v>
      </c>
      <c r="K116" s="48">
        <f>(J116/$B$116)*100</f>
        <v>10.526315789473683</v>
      </c>
      <c r="L116" s="29">
        <f>COUNTIFS(SUROESTE!A:A,"Montebello",SUROESTE!S:S,"INVIABLE SANITARIAMENTE")</f>
        <v>15</v>
      </c>
      <c r="M116" s="48">
        <f>(L116/$B$116)*100</f>
        <v>78.94736842105263</v>
      </c>
      <c r="N116" s="206">
        <f t="shared" si="11"/>
        <v>1</v>
      </c>
      <c r="O116" s="48">
        <f>(N116/$B$116)*100</f>
        <v>5.2631578947368416</v>
      </c>
      <c r="P116" s="24"/>
    </row>
    <row r="117" spans="1:16" ht="15.75" x14ac:dyDescent="0.2">
      <c r="A117" s="293" t="s">
        <v>172</v>
      </c>
      <c r="B117" s="44">
        <f>'CONSOLIDADO-ACUEDUCTOSRURALES1'!D83</f>
        <v>6</v>
      </c>
      <c r="C117" s="48">
        <f t="shared" si="10"/>
        <v>1.1695906432748537</v>
      </c>
      <c r="D117" s="29">
        <f>COUNTIFS(SUROESTE!A:A,"Pueblorrico",SUROESTE!S:S,"SIN RIESGO")</f>
        <v>0</v>
      </c>
      <c r="E117" s="48">
        <f>(D117/$B$117)*100</f>
        <v>0</v>
      </c>
      <c r="F117" s="29">
        <f>COUNTIFS(SUROESTE!A:A,"Pueblorrico",SUROESTE!S:S,"BAJO")</f>
        <v>0</v>
      </c>
      <c r="G117" s="48">
        <f>(F117/$B$117)*100</f>
        <v>0</v>
      </c>
      <c r="H117" s="29">
        <f>COUNTIFS(SUROESTE!A:A,"Pueblorrico",SUROESTE!S:S,"MEDIO")</f>
        <v>0</v>
      </c>
      <c r="I117" s="48">
        <f>(H117/$B$117)*100</f>
        <v>0</v>
      </c>
      <c r="J117" s="29">
        <f>COUNTIFS(SUROESTE!A:A,"Pueblorrico",SUROESTE!S:S,"ALTO")</f>
        <v>0</v>
      </c>
      <c r="K117" s="48">
        <f>(J117/$B$117)*100</f>
        <v>0</v>
      </c>
      <c r="L117" s="29">
        <f>COUNTIFS(SUROESTE!A:A,"Pueblorrico",SUROESTE!S:S,"INVIABLE SANITARIAMENTE")</f>
        <v>6</v>
      </c>
      <c r="M117" s="48">
        <f>(L117/$B$117)*100</f>
        <v>100</v>
      </c>
      <c r="N117" s="206">
        <f t="shared" si="11"/>
        <v>0</v>
      </c>
      <c r="O117" s="48">
        <f>(N117/$B$117)*100</f>
        <v>0</v>
      </c>
      <c r="P117" s="24"/>
    </row>
    <row r="118" spans="1:16" ht="15.75" x14ac:dyDescent="0.2">
      <c r="A118" s="293" t="s">
        <v>173</v>
      </c>
      <c r="B118" s="44">
        <f>'CONSOLIDADO-ACUEDUCTOSRURALES1'!D84</f>
        <v>28</v>
      </c>
      <c r="C118" s="48">
        <f t="shared" si="10"/>
        <v>5.4580896686159841</v>
      </c>
      <c r="D118" s="29">
        <f>COUNTIFS(SUROESTE!A:A,"Salgar",SUROESTE!S:S,"SIN RIESGO")</f>
        <v>4</v>
      </c>
      <c r="E118" s="48">
        <f>(D118/$B$118)*100</f>
        <v>14.285714285714285</v>
      </c>
      <c r="F118" s="29">
        <f>COUNTIFS(SUROESTE!A:A,"Salgar",SUROESTE!S:S,"BAJO")</f>
        <v>0</v>
      </c>
      <c r="G118" s="48">
        <f>(F118/$B$118)*100</f>
        <v>0</v>
      </c>
      <c r="H118" s="29">
        <f>COUNTIFS(SUROESTE!A:A,"Salgar",SUROESTE!S:S,"MEDIO")</f>
        <v>0</v>
      </c>
      <c r="I118" s="48">
        <f>(H118/$B$118)*100</f>
        <v>0</v>
      </c>
      <c r="J118" s="29">
        <f>COUNTIFS(SUROESTE!A:A,"Salgar",SUROESTE!S:S,"ALTO")</f>
        <v>21</v>
      </c>
      <c r="K118" s="48">
        <f>(J118/$B$118)*100</f>
        <v>75</v>
      </c>
      <c r="L118" s="29">
        <f>COUNTIFS(SUROESTE!A:A,"Salgar",SUROESTE!S:S,"INVIABLE SANITARIAMENTE")</f>
        <v>0</v>
      </c>
      <c r="M118" s="48">
        <f>(L118/$B$118)*100</f>
        <v>0</v>
      </c>
      <c r="N118" s="206">
        <f t="shared" si="11"/>
        <v>3</v>
      </c>
      <c r="O118" s="48">
        <f>(N118/$B$118)*100</f>
        <v>10.714285714285714</v>
      </c>
      <c r="P118" s="24"/>
    </row>
    <row r="119" spans="1:16" ht="15.75" x14ac:dyDescent="0.2">
      <c r="A119" s="293" t="s">
        <v>174</v>
      </c>
      <c r="B119" s="44">
        <f>'CONSOLIDADO-ACUEDUCTOSRURALES1'!D85</f>
        <v>41</v>
      </c>
      <c r="C119" s="48">
        <f t="shared" si="10"/>
        <v>7.9922027290448341</v>
      </c>
      <c r="D119" s="29">
        <f>COUNTIFS(SUROESTE!A:A,"Santa Bárbara",SUROESTE!S:S,"SIN RIESGO")</f>
        <v>17</v>
      </c>
      <c r="E119" s="48">
        <f>(D119/$B$119)*100</f>
        <v>41.463414634146339</v>
      </c>
      <c r="F119" s="29">
        <f>COUNTIFS(SUROESTE!A:A,"Santa Bárbara",SUROESTE!S:S,"BAJO")</f>
        <v>0</v>
      </c>
      <c r="G119" s="48">
        <f>(F119/$B$119)*100</f>
        <v>0</v>
      </c>
      <c r="H119" s="29">
        <f>COUNTIFS(SUROESTE!A:A,"Santa Bárbara",SUROESTE!S:S,"MEDIO")</f>
        <v>0</v>
      </c>
      <c r="I119" s="48">
        <f>(H119/$B$119)*100</f>
        <v>0</v>
      </c>
      <c r="J119" s="29">
        <f>COUNTIFS(SUROESTE!A:A,"Santa Bárbara",SUROESTE!S:S,"ALTO")</f>
        <v>1</v>
      </c>
      <c r="K119" s="48">
        <f>(J119/$B$119)*100</f>
        <v>2.4390243902439024</v>
      </c>
      <c r="L119" s="29">
        <f>COUNTIFS(SUROESTE!A:A,"Santa Bárbara",SUROESTE!S:S,"INVIABLE SANITARIAMENTE")</f>
        <v>23</v>
      </c>
      <c r="M119" s="48">
        <f>(L119/$B$119)*100</f>
        <v>56.09756097560976</v>
      </c>
      <c r="N119" s="206">
        <f t="shared" si="11"/>
        <v>0</v>
      </c>
      <c r="O119" s="48">
        <f>(N119/$B$119)*100</f>
        <v>0</v>
      </c>
      <c r="P119" s="24"/>
    </row>
    <row r="120" spans="1:16" ht="15.75" x14ac:dyDescent="0.2">
      <c r="A120" s="293" t="s">
        <v>175</v>
      </c>
      <c r="B120" s="44">
        <f>'CONSOLIDADO-ACUEDUCTOSRURALES1'!D86</f>
        <v>33</v>
      </c>
      <c r="C120" s="48">
        <f t="shared" si="10"/>
        <v>6.4327485380116958</v>
      </c>
      <c r="D120" s="29">
        <f>COUNTIFS(SUROESTE!A:A,"Támesis",SUROESTE!S:S,"SIN RIESGO")</f>
        <v>5</v>
      </c>
      <c r="E120" s="48">
        <f>(D120/$B$120)*100</f>
        <v>15.151515151515152</v>
      </c>
      <c r="F120" s="29">
        <f>COUNTIFS(SUROESTE!A:A,"Támesis",SUROESTE!S:S,"BAJO")</f>
        <v>1</v>
      </c>
      <c r="G120" s="48">
        <f>(F120/$B$120)*100</f>
        <v>3.0303030303030303</v>
      </c>
      <c r="H120" s="29">
        <f>COUNTIFS(SUROESTE!A:A,"Támesis",SUROESTE!S:S,"MEDIO")</f>
        <v>0</v>
      </c>
      <c r="I120" s="48">
        <f>(H120/$B$120)*100</f>
        <v>0</v>
      </c>
      <c r="J120" s="29">
        <f>COUNTIFS(SUROESTE!A:A,"Támesis",SUROESTE!S:S,"ALTO")</f>
        <v>22</v>
      </c>
      <c r="K120" s="48">
        <f>(J120/$B$120)*100</f>
        <v>66.666666666666657</v>
      </c>
      <c r="L120" s="29">
        <f>COUNTIFS(SUROESTE!A:A,"Támesis",SUROESTE!S:S,"INVIABLE SANITARIAMENTE")</f>
        <v>5</v>
      </c>
      <c r="M120" s="48">
        <f>(L120/$B$120)*100</f>
        <v>15.151515151515152</v>
      </c>
      <c r="N120" s="206">
        <f t="shared" si="11"/>
        <v>0</v>
      </c>
      <c r="O120" s="48">
        <f>(N120/$B$120)*100</f>
        <v>0</v>
      </c>
      <c r="P120" s="24"/>
    </row>
    <row r="121" spans="1:16" ht="15.75" x14ac:dyDescent="0.2">
      <c r="A121" s="293" t="s">
        <v>176</v>
      </c>
      <c r="B121" s="44">
        <f>'CONSOLIDADO-ACUEDUCTOSRURALES1'!D87</f>
        <v>13</v>
      </c>
      <c r="C121" s="48">
        <f t="shared" si="10"/>
        <v>2.53411306042885</v>
      </c>
      <c r="D121" s="29">
        <f>COUNTIFS(SUROESTE!A:A,"Tarso",SUROESTE!S:S,"SIN RIESGO")</f>
        <v>7</v>
      </c>
      <c r="E121" s="48">
        <f>(D121/$B$121)*100</f>
        <v>53.846153846153847</v>
      </c>
      <c r="F121" s="29">
        <f>COUNTIFS(SUROESTE!A:A,"Tarso",SUROESTE!S:S,"BAJO")</f>
        <v>0</v>
      </c>
      <c r="G121" s="48">
        <f>(F121/$B$121)*100</f>
        <v>0</v>
      </c>
      <c r="H121" s="29">
        <f>COUNTIFS(SUROESTE!A:A,"Tarso",SUROESTE!S:S,"MEDIO")</f>
        <v>0</v>
      </c>
      <c r="I121" s="48">
        <f>(H121/$B$121)*100</f>
        <v>0</v>
      </c>
      <c r="J121" s="29">
        <f>COUNTIFS(SUROESTE!A:A,"Tarso",SUROESTE!S:S,"ALTO")</f>
        <v>0</v>
      </c>
      <c r="K121" s="48">
        <f>(J121/$B$121)*100</f>
        <v>0</v>
      </c>
      <c r="L121" s="29">
        <f>COUNTIFS(SUROESTE!A:A,"Tarso",SUROESTE!S:S,"INVIABLE SANITARIAMENTE")</f>
        <v>3</v>
      </c>
      <c r="M121" s="48">
        <f>(L121/$B$121)*100</f>
        <v>23.076923076923077</v>
      </c>
      <c r="N121" s="206">
        <f t="shared" si="11"/>
        <v>3</v>
      </c>
      <c r="O121" s="48">
        <f>(N121/$B$121)*100</f>
        <v>23.076923076923077</v>
      </c>
      <c r="P121" s="24"/>
    </row>
    <row r="122" spans="1:16" ht="15.75" x14ac:dyDescent="0.2">
      <c r="A122" s="293" t="s">
        <v>177</v>
      </c>
      <c r="B122" s="44">
        <f>'CONSOLIDADO-ACUEDUCTOSRURALES1'!D88</f>
        <v>23</v>
      </c>
      <c r="C122" s="48">
        <f t="shared" si="10"/>
        <v>4.4834307992202724</v>
      </c>
      <c r="D122" s="29">
        <f>COUNTIFS(SUROESTE!A:A,"Titiribí",SUROESTE!S:S,"SIN RIESGO")</f>
        <v>1</v>
      </c>
      <c r="E122" s="48">
        <f>(D122/$B$122)*100</f>
        <v>4.3478260869565215</v>
      </c>
      <c r="F122" s="29">
        <f>COUNTIFS(SUROESTE!A:A,"Titiribí",SUROESTE!S:S,"BAJO")</f>
        <v>0</v>
      </c>
      <c r="G122" s="48">
        <f>(F122/$B$122)*100</f>
        <v>0</v>
      </c>
      <c r="H122" s="29">
        <f>COUNTIFS(SUROESTE!A:A,"Titiribí",SUROESTE!S:S,"MEDIO")</f>
        <v>1</v>
      </c>
      <c r="I122" s="48">
        <f>(H122/$B$122)*100</f>
        <v>4.3478260869565215</v>
      </c>
      <c r="J122" s="29">
        <f>COUNTIFS(SUROESTE!A:A,"Titiribí",SUROESTE!S:S,"ALTO")</f>
        <v>0</v>
      </c>
      <c r="K122" s="48">
        <f>(J122/$B$122)*100</f>
        <v>0</v>
      </c>
      <c r="L122" s="29">
        <f>COUNTIFS(SUROESTE!A:A,"Titiribí",SUROESTE!S:S,"INVIABLE SANITARIAMENTE")</f>
        <v>21</v>
      </c>
      <c r="M122" s="48">
        <f>(L122/$B$122)*100</f>
        <v>91.304347826086953</v>
      </c>
      <c r="N122" s="206">
        <f t="shared" si="11"/>
        <v>0</v>
      </c>
      <c r="O122" s="48">
        <f>(N122/$B$122)*100</f>
        <v>0</v>
      </c>
      <c r="P122" s="24"/>
    </row>
    <row r="123" spans="1:16" ht="15.75" x14ac:dyDescent="0.2">
      <c r="A123" s="293" t="s">
        <v>178</v>
      </c>
      <c r="B123" s="44">
        <f>'CONSOLIDADO-ACUEDUCTOSRURALES1'!D89</f>
        <v>31</v>
      </c>
      <c r="C123" s="48">
        <f t="shared" si="10"/>
        <v>6.0428849902534107</v>
      </c>
      <c r="D123" s="29">
        <f>COUNTIFS(SUROESTE!A:A,"Urrao",SUROESTE!S:S,"SIN RIESGO")</f>
        <v>0</v>
      </c>
      <c r="E123" s="48">
        <f>(D123/$B$123)*100</f>
        <v>0</v>
      </c>
      <c r="F123" s="29">
        <f>COUNTIFS(SUROESTE!A:A,"Urrao",SUROESTE!S:S,"BAJO")</f>
        <v>0</v>
      </c>
      <c r="G123" s="48">
        <f>(F123/$B$123)*100</f>
        <v>0</v>
      </c>
      <c r="H123" s="29">
        <f>COUNTIFS(SUROESTE!A:A,"Urrao",SUROESTE!S:S,"MEDIO")</f>
        <v>2</v>
      </c>
      <c r="I123" s="48">
        <f>(H123/$B$123)*100</f>
        <v>6.4516129032258061</v>
      </c>
      <c r="J123" s="29">
        <f>COUNTIFS(SUROESTE!A:A,"Urrao",SUROESTE!S:S,"ALTO")</f>
        <v>0</v>
      </c>
      <c r="K123" s="48">
        <f>(J123/$B$123)*100</f>
        <v>0</v>
      </c>
      <c r="L123" s="29">
        <f>COUNTIFS(SUROESTE!A:A,"Urrao",SUROESTE!S:S,"INVIABLE SANITARIAMENTE")</f>
        <v>16</v>
      </c>
      <c r="M123" s="48">
        <f>(L123/$B$123)*100</f>
        <v>51.612903225806448</v>
      </c>
      <c r="N123" s="206">
        <f t="shared" si="11"/>
        <v>13</v>
      </c>
      <c r="O123" s="48">
        <f>(N123/$B$123)*100</f>
        <v>41.935483870967744</v>
      </c>
      <c r="P123" s="24"/>
    </row>
    <row r="124" spans="1:16" ht="15.75" x14ac:dyDescent="0.2">
      <c r="A124" s="293" t="s">
        <v>179</v>
      </c>
      <c r="B124" s="44">
        <f>'CONSOLIDADO-ACUEDUCTOSRURALES1'!D90</f>
        <v>16</v>
      </c>
      <c r="C124" s="48">
        <f t="shared" si="10"/>
        <v>3.1189083820662766</v>
      </c>
      <c r="D124" s="29">
        <f>COUNTIFS(SUROESTE!A:A,"Valparaíso",SUROESTE!S:S,"SIN RIESGO")</f>
        <v>0</v>
      </c>
      <c r="E124" s="48">
        <f>(D124/$B$124)*100</f>
        <v>0</v>
      </c>
      <c r="F124" s="29">
        <f>COUNTIFS(SUROESTE!A:A,"Valparaíso",SUROESTE!S:S,"BAJO")</f>
        <v>0</v>
      </c>
      <c r="G124" s="48">
        <f>(F124/$B$124)*100</f>
        <v>0</v>
      </c>
      <c r="H124" s="29">
        <f>COUNTIFS(SUROESTE!A:A,"Valparaíso",SUROESTE!S:S,"MEDIO")</f>
        <v>0</v>
      </c>
      <c r="I124" s="48">
        <f>(H124/$B$124)*100</f>
        <v>0</v>
      </c>
      <c r="J124" s="29">
        <f>COUNTIFS(SUROESTE!A:A,"Valparaíso",SUROESTE!S:S,"ALTO")</f>
        <v>6</v>
      </c>
      <c r="K124" s="48">
        <f>(J124/$B$124)*100</f>
        <v>37.5</v>
      </c>
      <c r="L124" s="29">
        <f>COUNTIFS(SUROESTE!A:A,"Valparaíso",SUROESTE!S:S,"INVIABLE SANITARIAMENTE")</f>
        <v>8</v>
      </c>
      <c r="M124" s="48">
        <f>(L124/$B$124)*100</f>
        <v>50</v>
      </c>
      <c r="N124" s="206">
        <f t="shared" si="11"/>
        <v>2</v>
      </c>
      <c r="O124" s="48">
        <f>(N124/$B$124)*100</f>
        <v>12.5</v>
      </c>
      <c r="P124" s="24"/>
    </row>
    <row r="125" spans="1:16" ht="15.75" x14ac:dyDescent="0.2">
      <c r="A125" s="293" t="s">
        <v>180</v>
      </c>
      <c r="B125" s="44">
        <f>'CONSOLIDADO-ACUEDUCTOSRURALES1'!D91</f>
        <v>11</v>
      </c>
      <c r="C125" s="48">
        <f t="shared" si="10"/>
        <v>2.144249512670565</v>
      </c>
      <c r="D125" s="29">
        <f>COUNTIFS(SUROESTE!A:A,"Venecia",SUROESTE!S:S,"SIN RIESGO")</f>
        <v>1</v>
      </c>
      <c r="E125" s="48">
        <f>(D125/$B$125)*100</f>
        <v>9.0909090909090917</v>
      </c>
      <c r="F125" s="29">
        <f>COUNTIFS(SUROESTE!A:A,"Venecia",SUROESTE!S:S,"BAJO")</f>
        <v>2</v>
      </c>
      <c r="G125" s="48">
        <f>(F125/$B$125)*100</f>
        <v>18.181818181818183</v>
      </c>
      <c r="H125" s="29">
        <f>COUNTIFS(SUROESTE!A:A,"Venecia",SUROESTE!S:S,"MEDIO")</f>
        <v>3</v>
      </c>
      <c r="I125" s="48">
        <f>(H125/$B$125)*100</f>
        <v>27.27272727272727</v>
      </c>
      <c r="J125" s="29">
        <f>COUNTIFS(SUROESTE!A:A,"Venecia",SUROESTE!S:S,"ALTO")</f>
        <v>5</v>
      </c>
      <c r="K125" s="48">
        <f>(J125/$B$125)*100</f>
        <v>45.454545454545453</v>
      </c>
      <c r="L125" s="29">
        <f>COUNTIFS(SUROESTE!A:A,"Venecia",SUROESTE!S:S,"INVIABLE SANITARIAMENTE")</f>
        <v>0</v>
      </c>
      <c r="M125" s="48">
        <f>(L125/$B$125)*100</f>
        <v>0</v>
      </c>
      <c r="N125" s="206">
        <f t="shared" si="11"/>
        <v>0</v>
      </c>
      <c r="O125" s="48">
        <f>(N125/$B$125)*100</f>
        <v>0</v>
      </c>
      <c r="P125" s="24"/>
    </row>
    <row r="126" spans="1:16" ht="34.5" customHeight="1" x14ac:dyDescent="0.2">
      <c r="A126" s="71" t="s">
        <v>222</v>
      </c>
      <c r="B126" s="67">
        <f>SUM(B103:B125)</f>
        <v>513</v>
      </c>
      <c r="C126" s="73">
        <f>SUM(C103:C125)</f>
        <v>100</v>
      </c>
      <c r="D126" s="72">
        <f>SUM(D103:D125)</f>
        <v>77</v>
      </c>
      <c r="E126" s="73">
        <f>(D126/$B$126)*100</f>
        <v>15.009746588693956</v>
      </c>
      <c r="F126" s="72">
        <f>SUM(F103:F125)</f>
        <v>7</v>
      </c>
      <c r="G126" s="73">
        <f>(F126/$B$126)*100</f>
        <v>1.364522417153996</v>
      </c>
      <c r="H126" s="72">
        <f>SUM(H103:H125)</f>
        <v>27</v>
      </c>
      <c r="I126" s="73">
        <f>(H126/$B$126)*100</f>
        <v>5.2631578947368416</v>
      </c>
      <c r="J126" s="72">
        <f>SUM(J103:J125)</f>
        <v>148</v>
      </c>
      <c r="K126" s="73">
        <f>(J126/$B$126)*100</f>
        <v>28.84990253411306</v>
      </c>
      <c r="L126" s="72">
        <f>SUM(L103:L125)</f>
        <v>205</v>
      </c>
      <c r="M126" s="73">
        <f>(L126/$B$126)*100</f>
        <v>39.96101364522417</v>
      </c>
      <c r="N126" s="72">
        <f>SUM(N103:N125)</f>
        <v>49</v>
      </c>
      <c r="O126" s="73">
        <f>(N126/$B$126)*100</f>
        <v>9.5516569200779724</v>
      </c>
      <c r="P126" s="24"/>
    </row>
    <row r="127" spans="1:16" x14ac:dyDescent="0.2">
      <c r="A127" s="33"/>
      <c r="B127" s="62"/>
      <c r="C127" s="33"/>
      <c r="D127" s="62"/>
      <c r="E127" s="33"/>
      <c r="F127" s="62"/>
      <c r="G127" s="33"/>
      <c r="H127" s="62"/>
      <c r="I127" s="33"/>
      <c r="J127" s="62"/>
      <c r="K127" s="33"/>
      <c r="L127" s="62"/>
      <c r="M127" s="33"/>
      <c r="N127" s="62"/>
      <c r="O127" s="33"/>
      <c r="P127" s="4"/>
    </row>
    <row r="128" spans="1:16" x14ac:dyDescent="0.2">
      <c r="A128" s="33"/>
      <c r="B128" s="62"/>
      <c r="C128" s="33"/>
      <c r="D128" s="62"/>
      <c r="E128" s="33"/>
      <c r="F128" s="62"/>
      <c r="G128" s="33"/>
      <c r="H128" s="62"/>
      <c r="I128" s="33"/>
      <c r="J128" s="62"/>
      <c r="K128" s="33"/>
      <c r="L128" s="62"/>
      <c r="M128" s="33"/>
      <c r="N128" s="62"/>
      <c r="O128" s="33"/>
      <c r="P128" s="4"/>
    </row>
    <row r="129" spans="1:16" x14ac:dyDescent="0.2">
      <c r="A129" s="33"/>
      <c r="B129" s="62"/>
      <c r="C129" s="33"/>
      <c r="D129" s="62"/>
      <c r="E129" s="33"/>
      <c r="F129" s="62"/>
      <c r="G129" s="33"/>
      <c r="H129" s="62"/>
      <c r="I129" s="33"/>
      <c r="J129" s="62"/>
      <c r="K129" s="33"/>
      <c r="L129" s="62"/>
      <c r="M129" s="33"/>
      <c r="N129" s="62"/>
      <c r="O129" s="33"/>
      <c r="P129" s="4"/>
    </row>
    <row r="130" spans="1:16" ht="23.25" customHeight="1" x14ac:dyDescent="0.2">
      <c r="A130" s="352" t="s">
        <v>4560</v>
      </c>
      <c r="B130" s="352"/>
      <c r="C130" s="352"/>
      <c r="D130" s="352"/>
      <c r="E130" s="352"/>
      <c r="F130" s="352"/>
      <c r="G130" s="352"/>
      <c r="H130" s="352"/>
      <c r="I130" s="352"/>
      <c r="J130" s="352"/>
      <c r="K130" s="352"/>
      <c r="L130" s="352"/>
      <c r="M130" s="352"/>
      <c r="N130" s="352"/>
      <c r="O130" s="352"/>
      <c r="P130" s="24"/>
    </row>
    <row r="131" spans="1:16" ht="129.75" customHeight="1" x14ac:dyDescent="0.2">
      <c r="A131" s="252" t="s">
        <v>11</v>
      </c>
      <c r="B131" s="68" t="s">
        <v>252</v>
      </c>
      <c r="C131" s="252" t="s">
        <v>102</v>
      </c>
      <c r="D131" s="255" t="s">
        <v>246</v>
      </c>
      <c r="E131" s="252" t="s">
        <v>102</v>
      </c>
      <c r="F131" s="256" t="s">
        <v>247</v>
      </c>
      <c r="G131" s="252" t="s">
        <v>102</v>
      </c>
      <c r="H131" s="257" t="s">
        <v>248</v>
      </c>
      <c r="I131" s="252" t="s">
        <v>102</v>
      </c>
      <c r="J131" s="258" t="s">
        <v>249</v>
      </c>
      <c r="K131" s="252" t="s">
        <v>102</v>
      </c>
      <c r="L131" s="259" t="s">
        <v>250</v>
      </c>
      <c r="M131" s="252" t="s">
        <v>102</v>
      </c>
      <c r="N131" s="68" t="s">
        <v>251</v>
      </c>
      <c r="O131" s="252" t="s">
        <v>102</v>
      </c>
      <c r="P131" s="24"/>
    </row>
    <row r="132" spans="1:16" ht="15.75" x14ac:dyDescent="0.2">
      <c r="A132" s="293" t="s">
        <v>182</v>
      </c>
      <c r="B132" s="44">
        <f>+'CONSOLIDADO-ACUEDUCTOSRURALES1'!D94</f>
        <v>20</v>
      </c>
      <c r="C132" s="48">
        <f t="shared" ref="C132:C137" si="12">(B132/$B$138)*100</f>
        <v>32.258064516129032</v>
      </c>
      <c r="D132" s="29">
        <f>COUNTIFS('BAJO CAUCA'!A:A,"Caucasia",'BAJO CAUCA'!S:S,"SIN RIESGO")</f>
        <v>0</v>
      </c>
      <c r="E132" s="48">
        <f>(D132/$B$132)*100</f>
        <v>0</v>
      </c>
      <c r="F132" s="29">
        <f>COUNTIFS('BAJO CAUCA'!A:A,"Caucasia",'BAJO CAUCA'!S:S,"BAJO")</f>
        <v>0</v>
      </c>
      <c r="G132" s="48">
        <f>(F132/$B$132)*100</f>
        <v>0</v>
      </c>
      <c r="H132" s="29">
        <f>COUNTIFS('BAJO CAUCA'!A:A,"Caucasia",'BAJO CAUCA'!S:S,"MEDIO")</f>
        <v>0</v>
      </c>
      <c r="I132" s="48">
        <f>(H132/$B$132)*100</f>
        <v>0</v>
      </c>
      <c r="J132" s="29">
        <f>COUNTIFS('BAJO CAUCA'!A:A,"Caucasia",'BAJO CAUCA'!S:S,"ALTO")</f>
        <v>0</v>
      </c>
      <c r="K132" s="48">
        <f>(J132/$B$132)*100</f>
        <v>0</v>
      </c>
      <c r="L132" s="29">
        <f>COUNTIFS('BAJO CAUCA'!A:A,"Caucasia",'BAJO CAUCA'!S:S,"INVIABLE SANITARIAMENTE")</f>
        <v>17</v>
      </c>
      <c r="M132" s="48">
        <f>(L132/$B$132)*100</f>
        <v>85</v>
      </c>
      <c r="N132" s="206">
        <f t="shared" ref="N132:N137" si="13">B132-(D132+F132+H132+J132+L132)</f>
        <v>3</v>
      </c>
      <c r="O132" s="48">
        <f>(N132/$B$132)*100</f>
        <v>15</v>
      </c>
      <c r="P132" s="24"/>
    </row>
    <row r="133" spans="1:16" ht="15.75" x14ac:dyDescent="0.2">
      <c r="A133" s="293" t="s">
        <v>183</v>
      </c>
      <c r="B133" s="44">
        <f>+'CONSOLIDADO-ACUEDUCTOSRURALES1'!D93</f>
        <v>8</v>
      </c>
      <c r="C133" s="48">
        <f t="shared" si="12"/>
        <v>12.903225806451612</v>
      </c>
      <c r="D133" s="29">
        <f>COUNTIFS('BAJO CAUCA'!A:A,"Caceres",'BAJO CAUCA'!S:S,"SIN RIESGO")</f>
        <v>0</v>
      </c>
      <c r="E133" s="48">
        <f>(D133/$B$133)*100</f>
        <v>0</v>
      </c>
      <c r="F133" s="29">
        <f>COUNTIFS('BAJO CAUCA'!A:A,"Caceres",'BAJO CAUCA'!S:S,"BAJO")</f>
        <v>1</v>
      </c>
      <c r="G133" s="48">
        <f>(F133/$B$133)*100</f>
        <v>12.5</v>
      </c>
      <c r="H133" s="29">
        <f>COUNTIFS('BAJO CAUCA'!A:A,"Caceres",'BAJO CAUCA'!S:S,"MEDIO")</f>
        <v>0</v>
      </c>
      <c r="I133" s="48">
        <f>(H133/$B$133)*100</f>
        <v>0</v>
      </c>
      <c r="J133" s="29">
        <f>COUNTIFS('BAJO CAUCA'!A:A,"Caceres",'BAJO CAUCA'!S:S,"ALTO")</f>
        <v>0</v>
      </c>
      <c r="K133" s="48">
        <f>(J133/$B$133)*100</f>
        <v>0</v>
      </c>
      <c r="L133" s="29">
        <f>COUNTIFS('BAJO CAUCA'!A:A,"Caceres",'BAJO CAUCA'!S:S,"INVIABLE SANITARIAMENTE")</f>
        <v>6</v>
      </c>
      <c r="M133" s="48">
        <f>(L133/$B$133)*100</f>
        <v>75</v>
      </c>
      <c r="N133" s="206">
        <f t="shared" si="13"/>
        <v>1</v>
      </c>
      <c r="O133" s="48">
        <f>(N133/$B$133)*100</f>
        <v>12.5</v>
      </c>
      <c r="P133" s="24"/>
    </row>
    <row r="134" spans="1:16" ht="15.75" x14ac:dyDescent="0.2">
      <c r="A134" s="293" t="s">
        <v>184</v>
      </c>
      <c r="B134" s="44">
        <f>'CONSOLIDADO-ACUEDUCTOSRURALES1'!D95</f>
        <v>4</v>
      </c>
      <c r="C134" s="48">
        <f t="shared" si="12"/>
        <v>6.4516129032258061</v>
      </c>
      <c r="D134" s="29">
        <f>COUNTIFS('BAJO CAUCA'!A:A,"El Bagre",'BAJO CAUCA'!S:S,"SIN RIESGO")</f>
        <v>1</v>
      </c>
      <c r="E134" s="48">
        <f>(D134/$B$134)*100</f>
        <v>25</v>
      </c>
      <c r="F134" s="29">
        <f>COUNTIFS('BAJO CAUCA'!A:A,"El Bagre",'BAJO CAUCA'!S:S,"BAJO")</f>
        <v>0</v>
      </c>
      <c r="G134" s="48">
        <f>(F134/$B$134)*100</f>
        <v>0</v>
      </c>
      <c r="H134" s="29">
        <f>COUNTIFS('BAJO CAUCA'!A:A,"El Bagre",'BAJO CAUCA'!S:S,"MEDIO")</f>
        <v>0</v>
      </c>
      <c r="I134" s="48">
        <f>(H134/$B$134)*100</f>
        <v>0</v>
      </c>
      <c r="J134" s="29">
        <f>COUNTIFS('BAJO CAUCA'!A:A,"El Bagre",'BAJO CAUCA'!S:S,"ALTO")</f>
        <v>2</v>
      </c>
      <c r="K134" s="48">
        <f>(J134/$B$134)*100</f>
        <v>50</v>
      </c>
      <c r="L134" s="29">
        <f>COUNTIFS('BAJO CAUCA'!A:A,"El Bagre",'BAJO CAUCA'!S:S,"INVIABLE SANITARIAMENTE")</f>
        <v>1</v>
      </c>
      <c r="M134" s="48">
        <f>(L134/$B$134)*100</f>
        <v>25</v>
      </c>
      <c r="N134" s="206">
        <f t="shared" si="13"/>
        <v>0</v>
      </c>
      <c r="O134" s="48">
        <f>(N134/$B$134)*100</f>
        <v>0</v>
      </c>
      <c r="P134" s="24"/>
    </row>
    <row r="135" spans="1:16" ht="15.75" x14ac:dyDescent="0.2">
      <c r="A135" s="293" t="s">
        <v>15</v>
      </c>
      <c r="B135" s="44">
        <f>'CONSOLIDADO-ACUEDUCTOSRURALES1'!D96</f>
        <v>5</v>
      </c>
      <c r="C135" s="48">
        <f t="shared" si="12"/>
        <v>8.064516129032258</v>
      </c>
      <c r="D135" s="29">
        <f>COUNTIFS('BAJO CAUCA'!A:A,"Nechí",'BAJO CAUCA'!S:S,"SIN RIESGO")</f>
        <v>0</v>
      </c>
      <c r="E135" s="48">
        <f>(D135/$B$135)*100</f>
        <v>0</v>
      </c>
      <c r="F135" s="29">
        <f>COUNTIFS('BAJO CAUCA'!A:A,"Nechí",'BAJO CAUCA'!S:S,"BAJO")</f>
        <v>0</v>
      </c>
      <c r="G135" s="48">
        <f>(F135/$B$135)*100</f>
        <v>0</v>
      </c>
      <c r="H135" s="29">
        <f>COUNTIFS('BAJO CAUCA'!A:A,"Nechí",'BAJO CAUCA'!S:S,"MEDIO")</f>
        <v>0</v>
      </c>
      <c r="I135" s="48">
        <f>(H135/$B$135)*100</f>
        <v>0</v>
      </c>
      <c r="J135" s="29">
        <f>COUNTIFS('BAJO CAUCA'!A:A,"Nechí",'BAJO CAUCA'!S:S,"ALTO")</f>
        <v>0</v>
      </c>
      <c r="K135" s="48">
        <f>(J135/$B$135)*100</f>
        <v>0</v>
      </c>
      <c r="L135" s="29">
        <f>COUNTIFS('BAJO CAUCA'!A:A,"Nechí",'BAJO CAUCA'!S:S,"INVIABLE SANITARIAMENTE")</f>
        <v>2</v>
      </c>
      <c r="M135" s="48">
        <f>(L135/$B$135)*100</f>
        <v>40</v>
      </c>
      <c r="N135" s="206">
        <f t="shared" si="13"/>
        <v>3</v>
      </c>
      <c r="O135" s="48">
        <f>(N135/$B$135)*100</f>
        <v>60</v>
      </c>
      <c r="P135" s="24"/>
    </row>
    <row r="136" spans="1:16" ht="15.75" x14ac:dyDescent="0.2">
      <c r="A136" s="293" t="s">
        <v>185</v>
      </c>
      <c r="B136" s="44">
        <f>'CONSOLIDADO-ACUEDUCTOSRURALES1'!D97</f>
        <v>9</v>
      </c>
      <c r="C136" s="48">
        <f t="shared" si="12"/>
        <v>14.516129032258066</v>
      </c>
      <c r="D136" s="29">
        <f>COUNTIFS('BAJO CAUCA'!A:A,"Tarazá",'BAJO CAUCA'!S:S,"SIN RIESGO")</f>
        <v>0</v>
      </c>
      <c r="E136" s="48">
        <f>(D136/$B$136)*100</f>
        <v>0</v>
      </c>
      <c r="F136" s="29">
        <f>COUNTIFS('BAJO CAUCA'!A:A,"Tarazá",'BAJO CAUCA'!S:S,"BAJO")</f>
        <v>0</v>
      </c>
      <c r="G136" s="48">
        <f>(F136/$B$136)*100</f>
        <v>0</v>
      </c>
      <c r="H136" s="29">
        <f>COUNTIFS('BAJO CAUCA'!A:A,"Tarazá",'BAJO CAUCA'!S:S,"MEDIO")</f>
        <v>1</v>
      </c>
      <c r="I136" s="48">
        <f>(H136/$B$136)*100</f>
        <v>11.111111111111111</v>
      </c>
      <c r="J136" s="29">
        <f>COUNTIFS('BAJO CAUCA'!A:A,"Tarazá",'BAJO CAUCA'!S:S,"ALTO")</f>
        <v>1</v>
      </c>
      <c r="K136" s="48">
        <f>(J136/$B$136)*100</f>
        <v>11.111111111111111</v>
      </c>
      <c r="L136" s="29">
        <f>COUNTIFS('BAJO CAUCA'!A:A,"Tarazá",'BAJO CAUCA'!S:S,"INVIABLE SANITARIAMENTE")</f>
        <v>7</v>
      </c>
      <c r="M136" s="48">
        <f>(L136/$B$136)*100</f>
        <v>77.777777777777786</v>
      </c>
      <c r="N136" s="206">
        <f t="shared" si="13"/>
        <v>0</v>
      </c>
      <c r="O136" s="48">
        <f>(N136/$B$136)*100</f>
        <v>0</v>
      </c>
      <c r="P136" s="24"/>
    </row>
    <row r="137" spans="1:16" ht="15.75" x14ac:dyDescent="0.2">
      <c r="A137" s="293" t="s">
        <v>186</v>
      </c>
      <c r="B137" s="44">
        <f>'CONSOLIDADO-ACUEDUCTOSRURALES1'!D98</f>
        <v>16</v>
      </c>
      <c r="C137" s="48">
        <f t="shared" si="12"/>
        <v>25.806451612903224</v>
      </c>
      <c r="D137" s="29">
        <f>COUNTIFS('BAJO CAUCA'!A:A,"Zaragoza",'BAJO CAUCA'!S:S,"SIN RIESGO")</f>
        <v>0</v>
      </c>
      <c r="E137" s="48">
        <f>(D137/$B$137)*100</f>
        <v>0</v>
      </c>
      <c r="F137" s="29">
        <f>COUNTIFS('BAJO CAUCA'!A:A,"Zaragoza",'BAJO CAUCA'!S:S,"BAJO")</f>
        <v>0</v>
      </c>
      <c r="G137" s="48">
        <f>(F137/$B$137)*100</f>
        <v>0</v>
      </c>
      <c r="H137" s="29">
        <f>COUNTIFS('BAJO CAUCA'!A:A,"Zaragoza",'BAJO CAUCA'!S:S,"MEDIO")</f>
        <v>0</v>
      </c>
      <c r="I137" s="48">
        <f>(H137/$B$137)*100</f>
        <v>0</v>
      </c>
      <c r="J137" s="29">
        <f>COUNTIFS('BAJO CAUCA'!A:A,"Zaragoza",'BAJO CAUCA'!S:S,"ALTO")</f>
        <v>1</v>
      </c>
      <c r="K137" s="48">
        <f>(J137/$B$137)*100</f>
        <v>6.25</v>
      </c>
      <c r="L137" s="29">
        <f>COUNTIFS('BAJO CAUCA'!A:A,"Zaragoza",'BAJO CAUCA'!S:S,"INVIABLE SANITARIAMENTE")</f>
        <v>3</v>
      </c>
      <c r="M137" s="48">
        <f>(L137/$B$137)*100</f>
        <v>18.75</v>
      </c>
      <c r="N137" s="206">
        <f t="shared" si="13"/>
        <v>12</v>
      </c>
      <c r="O137" s="48">
        <f>(N137/$B$137)*100</f>
        <v>75</v>
      </c>
      <c r="P137" s="24"/>
    </row>
    <row r="138" spans="1:16" ht="22.5" customHeight="1" x14ac:dyDescent="0.2">
      <c r="A138" s="71" t="s">
        <v>222</v>
      </c>
      <c r="B138" s="67">
        <f>SUM(B132:B137)</f>
        <v>62</v>
      </c>
      <c r="C138" s="73">
        <f>SUM(C132:C137)</f>
        <v>100</v>
      </c>
      <c r="D138" s="72">
        <f>SUM(D132:D137)</f>
        <v>1</v>
      </c>
      <c r="E138" s="73">
        <f>(D138/$B$138)*100</f>
        <v>1.6129032258064515</v>
      </c>
      <c r="F138" s="72">
        <f>SUM(F132:F137)</f>
        <v>1</v>
      </c>
      <c r="G138" s="73">
        <f>(F138/$B$138)*100</f>
        <v>1.6129032258064515</v>
      </c>
      <c r="H138" s="72">
        <f>SUM(H132:H137)</f>
        <v>1</v>
      </c>
      <c r="I138" s="73">
        <f>(H138/$B$138)*100</f>
        <v>1.6129032258064515</v>
      </c>
      <c r="J138" s="72">
        <f>SUM(J132:J137)</f>
        <v>4</v>
      </c>
      <c r="K138" s="73">
        <f>(J138/$B$138)*100</f>
        <v>6.4516129032258061</v>
      </c>
      <c r="L138" s="72">
        <f>SUM(L132:L137)</f>
        <v>36</v>
      </c>
      <c r="M138" s="73">
        <f>(L138/$B$138)*100</f>
        <v>58.064516129032263</v>
      </c>
      <c r="N138" s="72">
        <f>SUM(N132:N137)</f>
        <v>19</v>
      </c>
      <c r="O138" s="73">
        <f>(N138/$B$138)*100</f>
        <v>30.64516129032258</v>
      </c>
      <c r="P138" s="24"/>
    </row>
    <row r="139" spans="1:16" x14ac:dyDescent="0.2">
      <c r="A139" s="33"/>
      <c r="B139" s="62"/>
      <c r="C139" s="33"/>
      <c r="D139" s="62"/>
      <c r="E139" s="33"/>
      <c r="F139" s="62"/>
      <c r="G139" s="33"/>
      <c r="H139" s="62"/>
      <c r="I139" s="33"/>
      <c r="J139" s="62"/>
      <c r="K139" s="33"/>
      <c r="L139" s="62"/>
      <c r="M139" s="33"/>
      <c r="N139" s="62"/>
      <c r="O139" s="33"/>
    </row>
    <row r="140" spans="1:16" x14ac:dyDescent="0.2">
      <c r="A140" s="33"/>
      <c r="B140" s="62"/>
      <c r="C140" s="33"/>
      <c r="D140" s="62"/>
      <c r="E140" s="33"/>
      <c r="F140" s="62"/>
      <c r="G140" s="33"/>
      <c r="H140" s="62"/>
      <c r="I140" s="33"/>
      <c r="J140" s="62"/>
      <c r="K140" s="33"/>
      <c r="L140" s="62"/>
      <c r="M140" s="33"/>
      <c r="N140" s="62"/>
      <c r="O140" s="33"/>
    </row>
    <row r="141" spans="1:16" ht="23.25" customHeight="1" x14ac:dyDescent="0.2">
      <c r="A141" s="352" t="s">
        <v>4559</v>
      </c>
      <c r="B141" s="352"/>
      <c r="C141" s="352"/>
      <c r="D141" s="352"/>
      <c r="E141" s="352"/>
      <c r="F141" s="352"/>
      <c r="G141" s="352"/>
      <c r="H141" s="352"/>
      <c r="I141" s="352"/>
      <c r="J141" s="352"/>
      <c r="K141" s="352"/>
      <c r="L141" s="352"/>
      <c r="M141" s="352"/>
      <c r="N141" s="352"/>
      <c r="O141" s="352"/>
    </row>
    <row r="142" spans="1:16" ht="129" customHeight="1" x14ac:dyDescent="0.2">
      <c r="A142" s="252" t="s">
        <v>11</v>
      </c>
      <c r="B142" s="68" t="s">
        <v>252</v>
      </c>
      <c r="C142" s="252" t="s">
        <v>102</v>
      </c>
      <c r="D142" s="255" t="s">
        <v>246</v>
      </c>
      <c r="E142" s="252" t="s">
        <v>102</v>
      </c>
      <c r="F142" s="256" t="s">
        <v>247</v>
      </c>
      <c r="G142" s="252" t="s">
        <v>102</v>
      </c>
      <c r="H142" s="257" t="s">
        <v>248</v>
      </c>
      <c r="I142" s="252" t="s">
        <v>102</v>
      </c>
      <c r="J142" s="258" t="s">
        <v>249</v>
      </c>
      <c r="K142" s="252" t="s">
        <v>102</v>
      </c>
      <c r="L142" s="259" t="s">
        <v>250</v>
      </c>
      <c r="M142" s="252" t="s">
        <v>102</v>
      </c>
      <c r="N142" s="68" t="s">
        <v>251</v>
      </c>
      <c r="O142" s="252" t="s">
        <v>102</v>
      </c>
    </row>
    <row r="143" spans="1:16" ht="15.75" x14ac:dyDescent="0.2">
      <c r="A143" s="58" t="s">
        <v>188</v>
      </c>
      <c r="B143" s="44">
        <f>'CONSOLIDADO-ACUEDUCTOSRURALES1'!D100</f>
        <v>9</v>
      </c>
      <c r="C143" s="48">
        <f t="shared" ref="C143:C148" si="14">(B143/$B$149)*100</f>
        <v>12.5</v>
      </c>
      <c r="D143" s="29">
        <f>COUNTIFS('MAGDALENA MEDIO'!A:A,"Caracolí",'MAGDALENA MEDIO'!S:S,"SIN RIESGO")</f>
        <v>0</v>
      </c>
      <c r="E143" s="48">
        <f>(D143/$B$143)*100</f>
        <v>0</v>
      </c>
      <c r="F143" s="29">
        <f>COUNTIFS('MAGDALENA MEDIO'!$A:$A,"Caracolí",'MAGDALENA MEDIO'!$S:$S,"BAJO")</f>
        <v>0</v>
      </c>
      <c r="G143" s="48">
        <f>(F143/$B$143)*100</f>
        <v>0</v>
      </c>
      <c r="H143" s="29">
        <f>COUNTIFS('MAGDALENA MEDIO'!$A:$A,"Caracolí",'MAGDALENA MEDIO'!$S:$S,"MEDIO")</f>
        <v>0</v>
      </c>
      <c r="I143" s="48">
        <f>(H143/$B$143)*100</f>
        <v>0</v>
      </c>
      <c r="J143" s="29">
        <f>COUNTIFS('MAGDALENA MEDIO'!$A:$A,"Caracolí",'MAGDALENA MEDIO'!$S:$S,"ALTO")</f>
        <v>0</v>
      </c>
      <c r="K143" s="48">
        <f>(J143/$B$143)*100</f>
        <v>0</v>
      </c>
      <c r="L143" s="29">
        <f>COUNTIFS('MAGDALENA MEDIO'!$A:$A,"Caracolí",'MAGDALENA MEDIO'!$S:$S,"INVIABLE SANITARIAMENTE")</f>
        <v>0</v>
      </c>
      <c r="M143" s="48">
        <f>(L143/$B$143)*100</f>
        <v>0</v>
      </c>
      <c r="N143" s="206">
        <f t="shared" ref="N143:N148" si="15">B143-(D143+F143+H143+J143+L143)</f>
        <v>9</v>
      </c>
      <c r="O143" s="48">
        <f>(N143/$B$143)*100</f>
        <v>100</v>
      </c>
    </row>
    <row r="144" spans="1:16" ht="15.75" x14ac:dyDescent="0.2">
      <c r="A144" s="58" t="s">
        <v>189</v>
      </c>
      <c r="B144" s="44">
        <f>'CONSOLIDADO-ACUEDUCTOSRURALES1'!D101</f>
        <v>8</v>
      </c>
      <c r="C144" s="48">
        <f t="shared" si="14"/>
        <v>11.111111111111111</v>
      </c>
      <c r="D144" s="29">
        <f>COUNTIFS('MAGDALENA MEDIO'!A:A,"Maceo",'MAGDALENA MEDIO'!S:S,"SIN RIESGO")</f>
        <v>0</v>
      </c>
      <c r="E144" s="48">
        <f>(D144/$B$144)*100</f>
        <v>0</v>
      </c>
      <c r="F144" s="29">
        <f>COUNTIFS('MAGDALENA MEDIO'!$A:$A,"Maceo",'MAGDALENA MEDIO'!$S:$S,"BAJO")</f>
        <v>0</v>
      </c>
      <c r="G144" s="48">
        <f>(F144/$B$144)*100</f>
        <v>0</v>
      </c>
      <c r="H144" s="29">
        <f>COUNTIFS('MAGDALENA MEDIO'!$A:$A,"Maceo",'MAGDALENA MEDIO'!$S:$S,"MEDIO")</f>
        <v>0</v>
      </c>
      <c r="I144" s="48">
        <f>(H144/$B$144)*100</f>
        <v>0</v>
      </c>
      <c r="J144" s="29">
        <f>COUNTIFS('MAGDALENA MEDIO'!$A:$A,"Maceo",'MAGDALENA MEDIO'!$S:$S,"ALTO")</f>
        <v>4</v>
      </c>
      <c r="K144" s="48">
        <f>(J144/$B$144)*100</f>
        <v>50</v>
      </c>
      <c r="L144" s="29">
        <f>COUNTIFS('MAGDALENA MEDIO'!$A:$A,"Maceo",'MAGDALENA MEDIO'!$S:$S,"INVIABLE SANITARIAMENTE")</f>
        <v>2</v>
      </c>
      <c r="M144" s="48">
        <f>(L144/$B$144)*100</f>
        <v>25</v>
      </c>
      <c r="N144" s="206">
        <f t="shared" si="15"/>
        <v>2</v>
      </c>
      <c r="O144" s="48">
        <f>(N144/$B$144)*100</f>
        <v>25</v>
      </c>
    </row>
    <row r="145" spans="1:16" ht="15.75" x14ac:dyDescent="0.2">
      <c r="A145" s="58" t="s">
        <v>190</v>
      </c>
      <c r="B145" s="44">
        <f>'CONSOLIDADO-ACUEDUCTOSRURALES1'!D102</f>
        <v>15</v>
      </c>
      <c r="C145" s="48">
        <f t="shared" si="14"/>
        <v>20.833333333333336</v>
      </c>
      <c r="D145" s="29">
        <f>COUNTIFS('MAGDALENA MEDIO'!A:A,"Puerto Berrío",'MAGDALENA MEDIO'!S:S,"SIN RIESGO")</f>
        <v>0</v>
      </c>
      <c r="E145" s="48">
        <f>(D145/$B$145)*100</f>
        <v>0</v>
      </c>
      <c r="F145" s="29">
        <f>COUNTIFS('MAGDALENA MEDIO'!$A:$A,"Puerto Berrío",'MAGDALENA MEDIO'!$S:$S,"BAJO")</f>
        <v>0</v>
      </c>
      <c r="G145" s="48">
        <f>(F145/$B$145)*100</f>
        <v>0</v>
      </c>
      <c r="H145" s="29">
        <f>COUNTIFS('MAGDALENA MEDIO'!$A:$A,"Puerto Berrío",'MAGDALENA MEDIO'!$S:$S,"MEDIO")</f>
        <v>1</v>
      </c>
      <c r="I145" s="48">
        <f>(H145/$B$145)*100</f>
        <v>6.666666666666667</v>
      </c>
      <c r="J145" s="29">
        <f>COUNTIFS('MAGDALENA MEDIO'!$A:$A,"Puerto Berrío",'MAGDALENA MEDIO'!$S:$S,"ALTO")</f>
        <v>6</v>
      </c>
      <c r="K145" s="48">
        <f>(J145/$B$145)*100</f>
        <v>40</v>
      </c>
      <c r="L145" s="29">
        <f>COUNTIFS('MAGDALENA MEDIO'!$A:$A,"Puerto Berrío",'MAGDALENA MEDIO'!$S:$S,"INVIABLE SANITARIAMENTE")</f>
        <v>5</v>
      </c>
      <c r="M145" s="48">
        <f>(L145/$B$145)*100</f>
        <v>33.333333333333329</v>
      </c>
      <c r="N145" s="206">
        <f t="shared" si="15"/>
        <v>3</v>
      </c>
      <c r="O145" s="48">
        <f>(N145/$B$145)*100</f>
        <v>20</v>
      </c>
    </row>
    <row r="146" spans="1:16" ht="15.75" x14ac:dyDescent="0.2">
      <c r="A146" s="58" t="s">
        <v>191</v>
      </c>
      <c r="B146" s="44">
        <f>'CONSOLIDADO-ACUEDUCTOSRURALES1'!D103</f>
        <v>7</v>
      </c>
      <c r="C146" s="48">
        <f t="shared" si="14"/>
        <v>9.7222222222222232</v>
      </c>
      <c r="D146" s="29">
        <f>COUNTIFS('MAGDALENA MEDIO'!A:A,"Puerto Nare",'MAGDALENA MEDIO'!S:S,"SIN RIESGO")</f>
        <v>5</v>
      </c>
      <c r="E146" s="48">
        <f>(D146/$B$146)*100</f>
        <v>71.428571428571431</v>
      </c>
      <c r="F146" s="29">
        <f>COUNTIFS('MAGDALENA MEDIO'!$A:$A,"Puerto Nare",'MAGDALENA MEDIO'!$S:$S,"BAJO")</f>
        <v>0</v>
      </c>
      <c r="G146" s="48">
        <f>(F146/$B$146)*100</f>
        <v>0</v>
      </c>
      <c r="H146" s="29">
        <f>COUNTIFS('MAGDALENA MEDIO'!$A:$A,"Puerto Nare",'MAGDALENA MEDIO'!$S:$S,"MEDIO")</f>
        <v>0</v>
      </c>
      <c r="I146" s="48">
        <f>(H146/$B$146)*100</f>
        <v>0</v>
      </c>
      <c r="J146" s="29">
        <f>COUNTIFS('MAGDALENA MEDIO'!$A:$A,"Puerto Nare",'MAGDALENA MEDIO'!$S:$S,"ALTO")</f>
        <v>2</v>
      </c>
      <c r="K146" s="48">
        <f>(J146/$B$146)*100</f>
        <v>28.571428571428569</v>
      </c>
      <c r="L146" s="29">
        <f>COUNTIFS('MAGDALENA MEDIO'!$A:$A,"Puerto Nare",'MAGDALENA MEDIO'!$S:$S,"INVIABLE SANITARIAMENTE")</f>
        <v>0</v>
      </c>
      <c r="M146" s="48">
        <f>(L146/$B$146)*100</f>
        <v>0</v>
      </c>
      <c r="N146" s="206">
        <f t="shared" si="15"/>
        <v>0</v>
      </c>
      <c r="O146" s="48">
        <f>(N146/$B$146)*100</f>
        <v>0</v>
      </c>
    </row>
    <row r="147" spans="1:16" ht="15.75" x14ac:dyDescent="0.2">
      <c r="A147" s="58" t="s">
        <v>55</v>
      </c>
      <c r="B147" s="44">
        <f>'CONSOLIDADO-ACUEDUCTOSRURALES1'!D104</f>
        <v>11</v>
      </c>
      <c r="C147" s="48">
        <f t="shared" si="14"/>
        <v>15.277777777777779</v>
      </c>
      <c r="D147" s="29">
        <f>COUNTIFS('MAGDALENA MEDIO'!A:A,"Puerto Triunfo",'MAGDALENA MEDIO'!S:S,"SIN RIESGO")</f>
        <v>2</v>
      </c>
      <c r="E147" s="48">
        <f>(D147/$B$147)*100</f>
        <v>18.181818181818183</v>
      </c>
      <c r="F147" s="29">
        <f>COUNTIFS('MAGDALENA MEDIO'!$A:$A,"Puerto Triunfo",'MAGDALENA MEDIO'!$S:$S,"BAJO")</f>
        <v>2</v>
      </c>
      <c r="G147" s="48">
        <f>(F147/$B$147)*100</f>
        <v>18.181818181818183</v>
      </c>
      <c r="H147" s="29">
        <f>COUNTIFS('MAGDALENA MEDIO'!$A:$A,"Puerto Truinfo",'MAGDALENA MEDIO'!$S:$S,"MEDIO")</f>
        <v>0</v>
      </c>
      <c r="I147" s="48">
        <f>(H147/$B$147)*100</f>
        <v>0</v>
      </c>
      <c r="J147" s="29">
        <f>COUNTIFS('MAGDALENA MEDIO'!$A:$A,"Puerto Triunfo",'MAGDALENA MEDIO'!$S:$S,"ALTO")</f>
        <v>7</v>
      </c>
      <c r="K147" s="48">
        <f>(J147/$B$147)*100</f>
        <v>63.636363636363633</v>
      </c>
      <c r="L147" s="29">
        <f>COUNTIFS('MAGDALENA MEDIO'!$A:$A,"Puerto Triunfo",'MAGDALENA MEDIO'!$S:$S,"INVIABLE SANITARIAMENTE")</f>
        <v>0</v>
      </c>
      <c r="M147" s="48">
        <f>(L147/$B$147)*100</f>
        <v>0</v>
      </c>
      <c r="N147" s="206">
        <f t="shared" si="15"/>
        <v>0</v>
      </c>
      <c r="O147" s="48">
        <f>(N147/$B$147)*100</f>
        <v>0</v>
      </c>
    </row>
    <row r="148" spans="1:16" ht="15.75" x14ac:dyDescent="0.2">
      <c r="A148" s="58" t="s">
        <v>192</v>
      </c>
      <c r="B148" s="44">
        <f>'CONSOLIDADO-ACUEDUCTOSRURALES1'!D105</f>
        <v>22</v>
      </c>
      <c r="C148" s="48">
        <f t="shared" si="14"/>
        <v>30.555555555555557</v>
      </c>
      <c r="D148" s="29">
        <f>COUNTIFS('MAGDALENA MEDIO'!A:A,"Yondó",'MAGDALENA MEDIO'!S:S,"SIN RIESGO")</f>
        <v>0</v>
      </c>
      <c r="E148" s="48">
        <f>(D148/$B$148)*100</f>
        <v>0</v>
      </c>
      <c r="F148" s="29">
        <f>COUNTIFS('MAGDALENA MEDIO'!$A:$A,"Yondó",'MAGDALENA MEDIO'!$S:$S,"BAJO")</f>
        <v>2</v>
      </c>
      <c r="G148" s="48">
        <f>(F148/$B$148)*100</f>
        <v>9.0909090909090917</v>
      </c>
      <c r="H148" s="29">
        <f>COUNTIFS('MAGDALENA MEDIO'!$A:$A,"Yondó",'MAGDALENA MEDIO'!$S:$S,"MEDIO")</f>
        <v>1</v>
      </c>
      <c r="I148" s="48">
        <f>(H148/$B$148)*100</f>
        <v>4.5454545454545459</v>
      </c>
      <c r="J148" s="29">
        <f>COUNTIFS('MAGDALENA MEDIO'!$A:$A,"Yondó",'MAGDALENA MEDIO'!$S:$S,"ALTO")</f>
        <v>9</v>
      </c>
      <c r="K148" s="48">
        <f>(J148/$B$148)*100</f>
        <v>40.909090909090914</v>
      </c>
      <c r="L148" s="29">
        <f>COUNTIFS('MAGDALENA MEDIO'!$A:$A,"Yondó",'MAGDALENA MEDIO'!$S:$S,"INVIABLE SANITARIAMENTE")</f>
        <v>5</v>
      </c>
      <c r="M148" s="48">
        <f>(L148/$B$148)*100</f>
        <v>22.727272727272727</v>
      </c>
      <c r="N148" s="206">
        <f t="shared" si="15"/>
        <v>5</v>
      </c>
      <c r="O148" s="48">
        <f>(N148/$B$148)*100</f>
        <v>22.727272727272727</v>
      </c>
    </row>
    <row r="149" spans="1:16" ht="23.25" customHeight="1" x14ac:dyDescent="0.2">
      <c r="A149" s="71" t="s">
        <v>222</v>
      </c>
      <c r="B149" s="67">
        <f>SUM(B143:B148)</f>
        <v>72</v>
      </c>
      <c r="C149" s="73">
        <f>SUM(C143:C148)</f>
        <v>100</v>
      </c>
      <c r="D149" s="72">
        <f>SUM(D143:D148)</f>
        <v>7</v>
      </c>
      <c r="E149" s="73">
        <f>(D149/$B$149)*100</f>
        <v>9.7222222222222232</v>
      </c>
      <c r="F149" s="72">
        <f>SUM(F143:F148)</f>
        <v>4</v>
      </c>
      <c r="G149" s="73">
        <f>(F149/$B$149)*100</f>
        <v>5.5555555555555554</v>
      </c>
      <c r="H149" s="72">
        <f>SUM(H143:H148)</f>
        <v>2</v>
      </c>
      <c r="I149" s="73">
        <f>(H149/$B$149)*100</f>
        <v>2.7777777777777777</v>
      </c>
      <c r="J149" s="72">
        <f>SUM(J143:J148)</f>
        <v>28</v>
      </c>
      <c r="K149" s="73">
        <f>(J149/$B$149)*100</f>
        <v>38.888888888888893</v>
      </c>
      <c r="L149" s="72">
        <f>SUM(L143:L148)</f>
        <v>12</v>
      </c>
      <c r="M149" s="73">
        <f>(L149/$B$149)*100</f>
        <v>16.666666666666664</v>
      </c>
      <c r="N149" s="72">
        <f>SUM(N143:N148)</f>
        <v>19</v>
      </c>
      <c r="O149" s="73">
        <f>(N149/$B$149)*100</f>
        <v>26.388888888888889</v>
      </c>
      <c r="P149" s="23"/>
    </row>
    <row r="150" spans="1:16" x14ac:dyDescent="0.2">
      <c r="A150" s="33"/>
      <c r="B150" s="62"/>
      <c r="C150" s="33"/>
      <c r="D150" s="62"/>
      <c r="E150" s="33"/>
      <c r="F150" s="62"/>
      <c r="G150" s="33"/>
      <c r="H150" s="62"/>
      <c r="I150" s="33"/>
      <c r="J150" s="62"/>
      <c r="K150" s="33"/>
      <c r="L150" s="62"/>
      <c r="M150" s="33"/>
      <c r="N150" s="62"/>
      <c r="O150" s="33"/>
    </row>
    <row r="151" spans="1:16" x14ac:dyDescent="0.2">
      <c r="A151" s="33"/>
      <c r="B151" s="62"/>
      <c r="C151" s="33"/>
      <c r="D151" s="62"/>
      <c r="E151" s="33"/>
      <c r="F151" s="62"/>
      <c r="G151" s="33"/>
      <c r="H151" s="62"/>
      <c r="I151" s="33"/>
      <c r="J151" s="62"/>
      <c r="K151" s="33"/>
      <c r="L151" s="62"/>
      <c r="M151" s="33"/>
      <c r="N151" s="62"/>
      <c r="O151" s="33"/>
    </row>
    <row r="152" spans="1:16" x14ac:dyDescent="0.2">
      <c r="A152" s="33"/>
      <c r="B152" s="62"/>
      <c r="C152" s="33"/>
      <c r="D152" s="62"/>
      <c r="E152" s="33"/>
      <c r="F152" s="62"/>
      <c r="G152" s="33"/>
      <c r="H152" s="62"/>
      <c r="I152" s="33"/>
      <c r="J152" s="62"/>
      <c r="K152" s="33"/>
      <c r="L152" s="62"/>
      <c r="M152" s="33"/>
      <c r="N152" s="62"/>
      <c r="O152" s="33"/>
    </row>
    <row r="153" spans="1:16" ht="24" customHeight="1" x14ac:dyDescent="0.2">
      <c r="A153" s="353" t="s">
        <v>4558</v>
      </c>
      <c r="B153" s="353"/>
      <c r="C153" s="353"/>
      <c r="D153" s="353"/>
      <c r="E153" s="353"/>
      <c r="F153" s="353"/>
      <c r="G153" s="353"/>
      <c r="H153" s="353"/>
      <c r="I153" s="353"/>
      <c r="J153" s="353"/>
      <c r="K153" s="353"/>
      <c r="L153" s="353"/>
      <c r="M153" s="353"/>
      <c r="N153" s="353"/>
      <c r="O153" s="353"/>
    </row>
    <row r="154" spans="1:16" ht="135" customHeight="1" x14ac:dyDescent="0.2">
      <c r="A154" s="252" t="s">
        <v>11</v>
      </c>
      <c r="B154" s="68" t="s">
        <v>252</v>
      </c>
      <c r="C154" s="252" t="s">
        <v>102</v>
      </c>
      <c r="D154" s="255" t="s">
        <v>246</v>
      </c>
      <c r="E154" s="252" t="s">
        <v>102</v>
      </c>
      <c r="F154" s="256" t="s">
        <v>247</v>
      </c>
      <c r="G154" s="252" t="s">
        <v>102</v>
      </c>
      <c r="H154" s="257" t="s">
        <v>248</v>
      </c>
      <c r="I154" s="252" t="s">
        <v>102</v>
      </c>
      <c r="J154" s="258" t="s">
        <v>249</v>
      </c>
      <c r="K154" s="252" t="s">
        <v>102</v>
      </c>
      <c r="L154" s="259" t="s">
        <v>250</v>
      </c>
      <c r="M154" s="252" t="s">
        <v>102</v>
      </c>
      <c r="N154" s="68" t="s">
        <v>251</v>
      </c>
      <c r="O154" s="252" t="s">
        <v>102</v>
      </c>
    </row>
    <row r="155" spans="1:16" ht="15.75" x14ac:dyDescent="0.2">
      <c r="A155" s="58" t="s">
        <v>194</v>
      </c>
      <c r="B155" s="29">
        <f>'CONSOLIDADO-ACUEDUCTOSRURALES1'!D107</f>
        <v>6</v>
      </c>
      <c r="C155" s="48">
        <f>(B155/$B$165)*100</f>
        <v>5.3571428571428568</v>
      </c>
      <c r="D155" s="29">
        <f>COUNTIFS(NORDESTE!$A:$A,"Amalfi",NORDESTE!$S:$S,"SIN RIESGO")</f>
        <v>0</v>
      </c>
      <c r="E155" s="48">
        <f>(D155/$B$155)*100</f>
        <v>0</v>
      </c>
      <c r="F155" s="29">
        <f>COUNTIFS(NORDESTE!$A:$A,"Amalfi",NORDESTE!$S:$S,"BAJO")</f>
        <v>0</v>
      </c>
      <c r="G155" s="48">
        <f>(F155/$B$155)*100</f>
        <v>0</v>
      </c>
      <c r="H155" s="29">
        <f>COUNTIFS(NORDESTE!$A:$A,"Amalfi",NORDESTE!$S:$S,"MEDIO")</f>
        <v>0</v>
      </c>
      <c r="I155" s="48">
        <f>(H155/$B$155)*100</f>
        <v>0</v>
      </c>
      <c r="J155" s="29">
        <f>COUNTIFS(NORDESTE!$A:$A,"Amalfi",NORDESTE!$S:$S,"ALTO")</f>
        <v>0</v>
      </c>
      <c r="K155" s="48">
        <f>(J155/$B$155)*100</f>
        <v>0</v>
      </c>
      <c r="L155" s="29">
        <f>COUNTIFS(NORDESTE!$A:$A,"Amalfi",NORDESTE!$S:$S,"INVIABLE SANITARIAMENTE")</f>
        <v>3</v>
      </c>
      <c r="M155" s="48">
        <f>(L155/$B$155)*100</f>
        <v>50</v>
      </c>
      <c r="N155" s="29">
        <f>B155-(L155+J155+H155+F155+D155)</f>
        <v>3</v>
      </c>
      <c r="O155" s="48">
        <f>(N155/$B$155)*100</f>
        <v>50</v>
      </c>
    </row>
    <row r="156" spans="1:16" ht="15.75" x14ac:dyDescent="0.2">
      <c r="A156" s="58" t="s">
        <v>195</v>
      </c>
      <c r="B156" s="29">
        <f>'CONSOLIDADO-ACUEDUCTOSRURALES1'!D108</f>
        <v>4</v>
      </c>
      <c r="C156" s="48">
        <f t="shared" ref="C156:C164" si="16">(B156/$B$165)*100</f>
        <v>3.5714285714285712</v>
      </c>
      <c r="D156" s="29">
        <f>COUNTIFS(NORDESTE!$A:$A,"Anorí",NORDESTE!$S:$S,"SIN RIESGO")</f>
        <v>0</v>
      </c>
      <c r="E156" s="48">
        <f>(D156/$B$156)*100</f>
        <v>0</v>
      </c>
      <c r="F156" s="29">
        <f>COUNTIFS(NORDESTE!$A:$A,"Anorí",NORDESTE!$S:$S,"BAJO")</f>
        <v>0</v>
      </c>
      <c r="G156" s="48">
        <f>(F156/$B$156)*100</f>
        <v>0</v>
      </c>
      <c r="H156" s="29">
        <f>COUNTIFS(NORDESTE!$A:$A,"Anorí",NORDESTE!$S:$S,"MEDIO")</f>
        <v>1</v>
      </c>
      <c r="I156" s="48">
        <f>(H156/$B$156)*100</f>
        <v>25</v>
      </c>
      <c r="J156" s="29">
        <f>COUNTIFS(NORDESTE!$A:$A,"Anorí",NORDESTE!$S:$S,"ALTO")</f>
        <v>2</v>
      </c>
      <c r="K156" s="48">
        <f>(J156/$B$156)*100</f>
        <v>50</v>
      </c>
      <c r="L156" s="29">
        <f>COUNTIFS(NORDESTE!$A:$A,"Anorí",NORDESTE!$S:$S,"INVIABLE SANITARIAMENTE")</f>
        <v>0</v>
      </c>
      <c r="M156" s="48">
        <f>(L156/$B$156)*100</f>
        <v>0</v>
      </c>
      <c r="N156" s="29">
        <f>B156-(L156+J156+H156+F156+D156)</f>
        <v>1</v>
      </c>
      <c r="O156" s="48">
        <f>(N156/$B$156)*100</f>
        <v>25</v>
      </c>
    </row>
    <row r="157" spans="1:16" ht="15.75" x14ac:dyDescent="0.2">
      <c r="A157" s="58" t="s">
        <v>196</v>
      </c>
      <c r="B157" s="29">
        <f>'CONSOLIDADO-ACUEDUCTOSRURALES1'!D109</f>
        <v>3</v>
      </c>
      <c r="C157" s="48">
        <f t="shared" si="16"/>
        <v>2.6785714285714284</v>
      </c>
      <c r="D157" s="29">
        <f>COUNTIFS(NORDESTE!$A:$A,"Cisneros",NORDESTE!$S:$S,"SIN RIESGO")</f>
        <v>0</v>
      </c>
      <c r="E157" s="48">
        <f>(D157/$B$157)*100</f>
        <v>0</v>
      </c>
      <c r="F157" s="29">
        <f>COUNTIFS(NORDESTE!$A:$A,"Cisneros",NORDESTE!$S:$S,"BAJO")</f>
        <v>0</v>
      </c>
      <c r="G157" s="48">
        <f>(F157/$B$157)*100</f>
        <v>0</v>
      </c>
      <c r="H157" s="29">
        <f>COUNTIFS(NORDESTE!$A:$A,"Cisneros",NORDESTE!$S:$S,"MEDIO")</f>
        <v>0</v>
      </c>
      <c r="I157" s="48">
        <f>(H157/$B$157)*100</f>
        <v>0</v>
      </c>
      <c r="J157" s="29">
        <f>COUNTIFS(NORDESTE!$A:$A,"Cisneros",NORDESTE!$S:$S,"ALTO")</f>
        <v>0</v>
      </c>
      <c r="K157" s="48">
        <f>(J157/$B$157)*100</f>
        <v>0</v>
      </c>
      <c r="L157" s="29">
        <f>COUNTIFS(NORDESTE!$A:$A,"Cisneros",NORDESTE!$S:$S,"INVIABLE SANITARIAMENTE")</f>
        <v>3</v>
      </c>
      <c r="M157" s="48">
        <f>(L157/$B$157)*100</f>
        <v>100</v>
      </c>
      <c r="N157" s="206">
        <f t="shared" ref="N157:N164" si="17">B157-(L157+J157+H157+F157+D157)</f>
        <v>0</v>
      </c>
      <c r="O157" s="48">
        <f>(N157/$B$157)*100</f>
        <v>0</v>
      </c>
    </row>
    <row r="158" spans="1:16" ht="15.75" x14ac:dyDescent="0.2">
      <c r="A158" s="58" t="s">
        <v>197</v>
      </c>
      <c r="B158" s="29">
        <f>'CONSOLIDADO-ACUEDUCTOSRURALES1'!D110</f>
        <v>7</v>
      </c>
      <c r="C158" s="48">
        <f t="shared" si="16"/>
        <v>6.25</v>
      </c>
      <c r="D158" s="29">
        <f>COUNTIFS(NORDESTE!$A:$A,"Remedios",NORDESTE!$S:$S,"SIN RIESGO")</f>
        <v>0</v>
      </c>
      <c r="E158" s="48">
        <f>(D158/$B$158)*100</f>
        <v>0</v>
      </c>
      <c r="F158" s="29">
        <f>COUNTIFS(NORDESTE!$A:$A,"Remedios",NORDESTE!$S:$S,"BAJO")</f>
        <v>0</v>
      </c>
      <c r="G158" s="48">
        <f>(F158/$B$158)*100</f>
        <v>0</v>
      </c>
      <c r="H158" s="29">
        <f>COUNTIFS(NORDESTE!$A:$A,"Remedios",NORDESTE!$S:$S,"MEDIO")</f>
        <v>0</v>
      </c>
      <c r="I158" s="48">
        <f>(H158/$B$158)*100</f>
        <v>0</v>
      </c>
      <c r="J158" s="29">
        <f>COUNTIFS(NORDESTE!$A:$A,"Remedios",NORDESTE!$S:$S,"ALTO")</f>
        <v>0</v>
      </c>
      <c r="K158" s="48">
        <f>(J158/$B$158)*100</f>
        <v>0</v>
      </c>
      <c r="L158" s="29">
        <f>COUNTIFS(NORDESTE!$A:$A,"Remedios",NORDESTE!$S:$S,"INVIABLE SANITARIAMENTE")</f>
        <v>4</v>
      </c>
      <c r="M158" s="48">
        <f>(L158/$B$158)*100</f>
        <v>57.142857142857139</v>
      </c>
      <c r="N158" s="206">
        <f t="shared" si="17"/>
        <v>3</v>
      </c>
      <c r="O158" s="48">
        <f>(N158/$B$158)*100</f>
        <v>42.857142857142854</v>
      </c>
    </row>
    <row r="159" spans="1:16" ht="15.75" x14ac:dyDescent="0.2">
      <c r="A159" s="58" t="s">
        <v>198</v>
      </c>
      <c r="B159" s="29">
        <f>'CONSOLIDADO-ACUEDUCTOSRURALES1'!D111</f>
        <v>34</v>
      </c>
      <c r="C159" s="48">
        <f t="shared" si="16"/>
        <v>30.357142857142854</v>
      </c>
      <c r="D159" s="29">
        <f>COUNTIFS(NORDESTE!$A:$A,"San Roque",NORDESTE!$S:$S,"SIN RIESGO")</f>
        <v>0</v>
      </c>
      <c r="E159" s="48">
        <f>(D159/$B$159)*100</f>
        <v>0</v>
      </c>
      <c r="F159" s="29">
        <f>COUNTIFS(NORDESTE!$A:$A,"San Roque",NORDESTE!$S:$S,"BAJO")</f>
        <v>0</v>
      </c>
      <c r="G159" s="48">
        <f>(F159/$B$159)*100</f>
        <v>0</v>
      </c>
      <c r="H159" s="29">
        <f>COUNTIFS(NORDESTE!$A:$A,"San Roque",NORDESTE!$S:$S,"MEDIO")</f>
        <v>0</v>
      </c>
      <c r="I159" s="48">
        <f>(H159/$B$159)*100</f>
        <v>0</v>
      </c>
      <c r="J159" s="29">
        <f>COUNTIFS(NORDESTE!$A:$A,"San Roque",NORDESTE!$S:$S,"ALTO")</f>
        <v>0</v>
      </c>
      <c r="K159" s="48">
        <f>(J159/$B$159)*100</f>
        <v>0</v>
      </c>
      <c r="L159" s="29">
        <f>COUNTIFS(NORDESTE!$A:$A,"San Roque",NORDESTE!$S:$S,"INVIABLE SANITARIAMENTE")</f>
        <v>34</v>
      </c>
      <c r="M159" s="48">
        <f>(L159/$B$159)*100</f>
        <v>100</v>
      </c>
      <c r="N159" s="206">
        <f t="shared" si="17"/>
        <v>0</v>
      </c>
      <c r="O159" s="48">
        <f>(N159/$B$159)*100</f>
        <v>0</v>
      </c>
    </row>
    <row r="160" spans="1:16" ht="15.75" x14ac:dyDescent="0.2">
      <c r="A160" s="58" t="s">
        <v>7</v>
      </c>
      <c r="B160" s="29">
        <f>'CONSOLIDADO-ACUEDUCTOSRURALES1'!D112</f>
        <v>17</v>
      </c>
      <c r="C160" s="48">
        <f t="shared" si="16"/>
        <v>15.178571428571427</v>
      </c>
      <c r="D160" s="29">
        <f>COUNTIFS(NORDESTE!$A:$A,"Santo Domingo",NORDESTE!$S:$S,"SIN RIESGO")</f>
        <v>1</v>
      </c>
      <c r="E160" s="48">
        <f>(D160/$B$160)*100</f>
        <v>5.8823529411764701</v>
      </c>
      <c r="F160" s="29">
        <f>COUNTIFS(NORDESTE!$A:$A,"Santo Domingo",NORDESTE!$S:$S,"BAJO")</f>
        <v>3</v>
      </c>
      <c r="G160" s="48">
        <f>(F160/$B$160)*100</f>
        <v>17.647058823529413</v>
      </c>
      <c r="H160" s="29">
        <f>COUNTIFS(NORDESTE!$A:$A,"Santo Domingo",NORDESTE!$S:$S,"MEDIO")</f>
        <v>1</v>
      </c>
      <c r="I160" s="48">
        <f>(H160/$B$160)*100</f>
        <v>5.8823529411764701</v>
      </c>
      <c r="J160" s="29">
        <f>COUNTIFS(NORDESTE!$A:$A,"Santo Domingo",NORDESTE!$S:$S,"ALTO")</f>
        <v>5</v>
      </c>
      <c r="K160" s="48">
        <f>(J160/$B$160)*100</f>
        <v>29.411764705882355</v>
      </c>
      <c r="L160" s="29">
        <f>COUNTIFS(NORDESTE!$A:$A,"Santo Domingo",NORDESTE!$S:$S,"INVIABLE SANITARIAMENTE")</f>
        <v>7</v>
      </c>
      <c r="M160" s="48">
        <f>(L160/$B$160)*100</f>
        <v>41.17647058823529</v>
      </c>
      <c r="N160" s="206">
        <f t="shared" si="17"/>
        <v>0</v>
      </c>
      <c r="O160" s="48">
        <f>(N160/$B$160)*100</f>
        <v>0</v>
      </c>
    </row>
    <row r="161" spans="1:16" ht="15.75" x14ac:dyDescent="0.2">
      <c r="A161" s="58" t="s">
        <v>199</v>
      </c>
      <c r="B161" s="29">
        <f>'CONSOLIDADO-ACUEDUCTOSRURALES1'!D113</f>
        <v>12</v>
      </c>
      <c r="C161" s="48">
        <f t="shared" si="16"/>
        <v>10.714285714285714</v>
      </c>
      <c r="D161" s="29">
        <f>COUNTIFS(NORDESTE!$A:$A,"Segovia",NORDESTE!$S:$S,"SIN RIESGO")</f>
        <v>2</v>
      </c>
      <c r="E161" s="48">
        <f>(D161/$B$161)*100</f>
        <v>16.666666666666664</v>
      </c>
      <c r="F161" s="29">
        <f>COUNTIFS(NORDESTE!$A:$A,"Segovia",NORDESTE!$S:$S,"BAJO")</f>
        <v>0</v>
      </c>
      <c r="G161" s="48">
        <f>(F161/$B$161)*100</f>
        <v>0</v>
      </c>
      <c r="H161" s="29">
        <f>COUNTIFS(NORDESTE!$A:$A,"Segovia",NORDESTE!$S:$S,"MEDIO")</f>
        <v>0</v>
      </c>
      <c r="I161" s="48">
        <f>(H161/$B$161)*100</f>
        <v>0</v>
      </c>
      <c r="J161" s="29">
        <f>COUNTIFS(NORDESTE!$A:$A,"Segovia",NORDESTE!$S:$S,"ALTO")</f>
        <v>1</v>
      </c>
      <c r="K161" s="48">
        <f>(J161/$B$161)*100</f>
        <v>8.3333333333333321</v>
      </c>
      <c r="L161" s="29">
        <f>COUNTIFS(NORDESTE!$A:$A,"Segovia",NORDESTE!$S:$S,"INVIABLE SANITARIAMENTE")</f>
        <v>8</v>
      </c>
      <c r="M161" s="48">
        <f>(L161/$B$161)*100</f>
        <v>66.666666666666657</v>
      </c>
      <c r="N161" s="206">
        <f t="shared" si="17"/>
        <v>1</v>
      </c>
      <c r="O161" s="48">
        <f>(N161/$B$161)*100</f>
        <v>8.3333333333333321</v>
      </c>
    </row>
    <row r="162" spans="1:16" ht="15.75" x14ac:dyDescent="0.2">
      <c r="A162" s="58" t="s">
        <v>200</v>
      </c>
      <c r="B162" s="29">
        <f>'CONSOLIDADO-ACUEDUCTOSRURALES1'!D114</f>
        <v>4</v>
      </c>
      <c r="C162" s="48">
        <f t="shared" si="16"/>
        <v>3.5714285714285712</v>
      </c>
      <c r="D162" s="29">
        <f>COUNTIFS(NORDESTE!$A:$A,"Vegachí",NORDESTE!$S:$S,"SIN RIESGO")</f>
        <v>1</v>
      </c>
      <c r="E162" s="48">
        <f>(D162/$B$162)*100</f>
        <v>25</v>
      </c>
      <c r="F162" s="29">
        <f>COUNTIFS(NORDESTE!$A:$A,"Vegachí",NORDESTE!$S:$S,"BAJO")</f>
        <v>0</v>
      </c>
      <c r="G162" s="48">
        <f>(F162/$B$162)*100</f>
        <v>0</v>
      </c>
      <c r="H162" s="29">
        <f>COUNTIFS(NORDESTE!$A:$A,"Vegachí",NORDESTE!$S:$S,"MEDIO")</f>
        <v>0</v>
      </c>
      <c r="I162" s="48">
        <f>(H162/$B$162)*100</f>
        <v>0</v>
      </c>
      <c r="J162" s="29">
        <f>COUNTIFS(NORDESTE!$A:$A,"Vegachí",NORDESTE!$S:$S,"ALTO")</f>
        <v>3</v>
      </c>
      <c r="K162" s="48">
        <f>(J162/$B$162)*100</f>
        <v>75</v>
      </c>
      <c r="L162" s="29">
        <f>COUNTIFS(NORDESTE!$A:$A,"Vegachí",NORDESTE!$S:$S,"INVIABLE SANITARIAMENTE")</f>
        <v>0</v>
      </c>
      <c r="M162" s="48">
        <f>(L162/$B$162)*100</f>
        <v>0</v>
      </c>
      <c r="N162" s="206">
        <f t="shared" si="17"/>
        <v>0</v>
      </c>
      <c r="O162" s="48">
        <f>(N162/$B$162)*100</f>
        <v>0</v>
      </c>
    </row>
    <row r="163" spans="1:16" ht="15.75" x14ac:dyDescent="0.2">
      <c r="A163" s="58" t="s">
        <v>201</v>
      </c>
      <c r="B163" s="29">
        <f>'CONSOLIDADO-ACUEDUCTOSRURALES1'!D115</f>
        <v>10</v>
      </c>
      <c r="C163" s="48">
        <f t="shared" si="16"/>
        <v>8.9285714285714288</v>
      </c>
      <c r="D163" s="29">
        <f>COUNTIFS(NORDESTE!$A:$A,"Yalí",NORDESTE!$S:$S,"SIN RIESGO")</f>
        <v>0</v>
      </c>
      <c r="E163" s="48">
        <f>(D163/$B$163)*100</f>
        <v>0</v>
      </c>
      <c r="F163" s="29">
        <f>COUNTIFS(NORDESTE!$A:$A,"Yalí",NORDESTE!$S:$S,"BAJO")</f>
        <v>0</v>
      </c>
      <c r="G163" s="48">
        <f>(F163/$B$163)*100</f>
        <v>0</v>
      </c>
      <c r="H163" s="29">
        <f>COUNTIFS(NORDESTE!$A:$A,"Yalí",NORDESTE!$S:$S,"MEDIO")</f>
        <v>0</v>
      </c>
      <c r="I163" s="48">
        <f>(H163/$B$163)*100</f>
        <v>0</v>
      </c>
      <c r="J163" s="29">
        <f>COUNTIFS(NORDESTE!$A:$A,"Yalí",NORDESTE!$S:$S,"ALTO")</f>
        <v>0</v>
      </c>
      <c r="K163" s="48">
        <f>(J163/$B$163)*100</f>
        <v>0</v>
      </c>
      <c r="L163" s="29">
        <f>COUNTIFS(NORDESTE!$A:$A,"Yalí",NORDESTE!$S:$S,"INVIABLE SANITARIAMENTE")</f>
        <v>8</v>
      </c>
      <c r="M163" s="48">
        <f>(L163/$B$163)*100</f>
        <v>80</v>
      </c>
      <c r="N163" s="206">
        <f t="shared" si="17"/>
        <v>2</v>
      </c>
      <c r="O163" s="48">
        <f>(N163/$B$163)*100</f>
        <v>20</v>
      </c>
    </row>
    <row r="164" spans="1:16" ht="15.75" x14ac:dyDescent="0.2">
      <c r="A164" s="58" t="s">
        <v>202</v>
      </c>
      <c r="B164" s="29">
        <f>'CONSOLIDADO-ACUEDUCTOSRURALES1'!D116</f>
        <v>15</v>
      </c>
      <c r="C164" s="48">
        <f t="shared" si="16"/>
        <v>13.392857142857142</v>
      </c>
      <c r="D164" s="29">
        <f>COUNTIFS(NORDESTE!$A:$A,"Yolombó",NORDESTE!$S:$S,"SIN RIESGO")</f>
        <v>2</v>
      </c>
      <c r="E164" s="48">
        <f>(D164/$B$164)*100</f>
        <v>13.333333333333334</v>
      </c>
      <c r="F164" s="29">
        <f>COUNTIFS(NORDESTE!$A:$A,"Yolombó",NORDESTE!$S:$S,"BAJO")</f>
        <v>1</v>
      </c>
      <c r="G164" s="48">
        <f>(F164/$B$164)*100</f>
        <v>6.666666666666667</v>
      </c>
      <c r="H164" s="29">
        <f>COUNTIFS(NORDESTE!$A:$A,"Yolombó",NORDESTE!$S:$S,"MEDIO")</f>
        <v>2</v>
      </c>
      <c r="I164" s="48">
        <f>(H164/$B$164)*100</f>
        <v>13.333333333333334</v>
      </c>
      <c r="J164" s="29">
        <f>COUNTIFS(NORDESTE!$A:$A,"Yolombó",NORDESTE!$S:$S,"ALTO")</f>
        <v>2</v>
      </c>
      <c r="K164" s="48">
        <f>(J164/$B$164)*100</f>
        <v>13.333333333333334</v>
      </c>
      <c r="L164" s="29">
        <f>COUNTIFS(NORDESTE!$A:$A,"Yolombó",NORDESTE!$S:$S,"INVIABLE SANITARIAMENTE")</f>
        <v>8</v>
      </c>
      <c r="M164" s="48">
        <f>(L164/$B$164)*100</f>
        <v>53.333333333333336</v>
      </c>
      <c r="N164" s="206">
        <f t="shared" si="17"/>
        <v>0</v>
      </c>
      <c r="O164" s="48">
        <f>(N164/$B$164)*100</f>
        <v>0</v>
      </c>
    </row>
    <row r="165" spans="1:16" ht="27.75" customHeight="1" x14ac:dyDescent="0.2">
      <c r="A165" s="71" t="s">
        <v>222</v>
      </c>
      <c r="B165" s="72">
        <f>SUM(B155:B164)</f>
        <v>112</v>
      </c>
      <c r="C165" s="73">
        <f>SUM(C155:C164)</f>
        <v>99.999999999999986</v>
      </c>
      <c r="D165" s="72">
        <f>SUM(D155:D164)</f>
        <v>6</v>
      </c>
      <c r="E165" s="73">
        <f>(D165/$B$165)*100</f>
        <v>5.3571428571428568</v>
      </c>
      <c r="F165" s="72">
        <f>SUM(F155:F164)</f>
        <v>4</v>
      </c>
      <c r="G165" s="73">
        <f>(F165/$B$165)*100</f>
        <v>3.5714285714285712</v>
      </c>
      <c r="H165" s="72">
        <f>SUM(H155:H164)</f>
        <v>4</v>
      </c>
      <c r="I165" s="73">
        <f>(H165/$B$165)*100</f>
        <v>3.5714285714285712</v>
      </c>
      <c r="J165" s="72">
        <f>SUM(J155:J164)</f>
        <v>13</v>
      </c>
      <c r="K165" s="73">
        <f>(J165/$B$165)*100</f>
        <v>11.607142857142858</v>
      </c>
      <c r="L165" s="72">
        <f>SUM(L155:L164)</f>
        <v>75</v>
      </c>
      <c r="M165" s="73">
        <f>(L165/$B$165)*100</f>
        <v>66.964285714285708</v>
      </c>
      <c r="N165" s="72">
        <f>SUM(N155:N164)</f>
        <v>10</v>
      </c>
      <c r="O165" s="73">
        <f>(N165/$B$165)*100</f>
        <v>8.9285714285714288</v>
      </c>
      <c r="P165" s="23"/>
    </row>
    <row r="166" spans="1:16" ht="15.75" x14ac:dyDescent="0.25">
      <c r="A166" s="63"/>
      <c r="B166" s="64"/>
      <c r="C166" s="63"/>
      <c r="D166" s="64"/>
      <c r="E166" s="63"/>
      <c r="F166" s="64"/>
      <c r="G166" s="63"/>
      <c r="H166" s="64"/>
      <c r="I166" s="63"/>
      <c r="J166" s="64"/>
      <c r="K166" s="63"/>
      <c r="L166" s="64"/>
      <c r="M166" s="63"/>
      <c r="N166" s="64"/>
      <c r="O166" s="63"/>
    </row>
    <row r="167" spans="1:16" x14ac:dyDescent="0.2">
      <c r="A167" s="33"/>
      <c r="B167" s="62"/>
      <c r="C167" s="33"/>
      <c r="D167" s="62"/>
      <c r="E167" s="33"/>
      <c r="F167" s="62"/>
      <c r="G167" s="33"/>
      <c r="H167" s="62"/>
      <c r="I167" s="33"/>
      <c r="J167" s="62"/>
      <c r="K167" s="33"/>
      <c r="L167" s="62"/>
      <c r="M167" s="33"/>
      <c r="N167" s="62"/>
      <c r="O167" s="33"/>
    </row>
    <row r="168" spans="1:16" x14ac:dyDescent="0.2">
      <c r="A168" s="33"/>
      <c r="B168" s="62"/>
      <c r="C168" s="33"/>
      <c r="D168" s="62"/>
      <c r="E168" s="33"/>
      <c r="F168" s="62"/>
      <c r="G168" s="33"/>
      <c r="H168" s="62"/>
      <c r="I168" s="33"/>
      <c r="J168" s="62"/>
      <c r="K168" s="33"/>
      <c r="L168" s="62"/>
      <c r="M168" s="33"/>
      <c r="N168" s="62"/>
      <c r="O168" s="33"/>
    </row>
    <row r="169" spans="1:16" ht="23.25" customHeight="1" x14ac:dyDescent="0.2">
      <c r="A169" s="353" t="s">
        <v>4557</v>
      </c>
      <c r="B169" s="353"/>
      <c r="C169" s="353"/>
      <c r="D169" s="353"/>
      <c r="E169" s="353"/>
      <c r="F169" s="353"/>
      <c r="G169" s="353"/>
      <c r="H169" s="353"/>
      <c r="I169" s="353"/>
      <c r="J169" s="353"/>
      <c r="K169" s="353"/>
      <c r="L169" s="353"/>
      <c r="M169" s="353"/>
      <c r="N169" s="353"/>
      <c r="O169" s="353"/>
    </row>
    <row r="170" spans="1:16" ht="136.5" customHeight="1" x14ac:dyDescent="0.2">
      <c r="A170" s="252" t="s">
        <v>11</v>
      </c>
      <c r="B170" s="68" t="s">
        <v>252</v>
      </c>
      <c r="C170" s="252" t="s">
        <v>102</v>
      </c>
      <c r="D170" s="255" t="s">
        <v>246</v>
      </c>
      <c r="E170" s="252" t="s">
        <v>102</v>
      </c>
      <c r="F170" s="256" t="s">
        <v>247</v>
      </c>
      <c r="G170" s="252" t="s">
        <v>102</v>
      </c>
      <c r="H170" s="257" t="s">
        <v>248</v>
      </c>
      <c r="I170" s="252" t="s">
        <v>102</v>
      </c>
      <c r="J170" s="258" t="s">
        <v>249</v>
      </c>
      <c r="K170" s="252" t="s">
        <v>102</v>
      </c>
      <c r="L170" s="259" t="s">
        <v>250</v>
      </c>
      <c r="M170" s="252" t="s">
        <v>102</v>
      </c>
      <c r="N170" s="68" t="s">
        <v>251</v>
      </c>
      <c r="O170" s="252" t="s">
        <v>102</v>
      </c>
    </row>
    <row r="171" spans="1:16" ht="15.75" x14ac:dyDescent="0.2">
      <c r="A171" s="58" t="s">
        <v>204</v>
      </c>
      <c r="B171" s="29">
        <f>'CONSOLIDADO-ACUEDUCTOSRURALES1'!D118</f>
        <v>50</v>
      </c>
      <c r="C171" s="48">
        <f>(B171/$B$194)*100</f>
        <v>8.9126559714795004</v>
      </c>
      <c r="D171" s="29">
        <f>COUNTIFS(ORIENTE!$A:$A,"Abejorral",ORIENTE!S:S,"SIN RIESGO")</f>
        <v>0</v>
      </c>
      <c r="E171" s="48">
        <f>(D171/$B$171)*100</f>
        <v>0</v>
      </c>
      <c r="F171" s="29">
        <f>COUNTIFS(ORIENTE!$A:$A,"Abejorral",ORIENTE!S:S,"BAJO")</f>
        <v>0</v>
      </c>
      <c r="G171" s="48">
        <f>(F171/$B$171)*100</f>
        <v>0</v>
      </c>
      <c r="H171" s="211">
        <f>COUNTIFS(ORIENTE!$A:$A,"Abejorral",ORIENTE!S:S,"MEDIO")</f>
        <v>0</v>
      </c>
      <c r="I171" s="48">
        <f>(H171/$B$171)*100</f>
        <v>0</v>
      </c>
      <c r="J171" s="211">
        <f>COUNTIFS(ORIENTE!$A:$A,"Abejorral",ORIENTE!S:S,"Alto")</f>
        <v>5</v>
      </c>
      <c r="K171" s="48">
        <f>(J171/$B$171)*100</f>
        <v>10</v>
      </c>
      <c r="L171" s="211">
        <f>COUNTIFS(ORIENTE!$A:$A,"Abejorral",ORIENTE!$S:$S,"INVIABLE SANITARIAMENTE")</f>
        <v>32</v>
      </c>
      <c r="M171" s="48">
        <f>(L171/$B$171)*100</f>
        <v>64</v>
      </c>
      <c r="N171" s="29">
        <f>B171-(D171+F171+H171+J171+L171)</f>
        <v>13</v>
      </c>
      <c r="O171" s="48">
        <f>(N171/$B$171)*100</f>
        <v>26</v>
      </c>
    </row>
    <row r="172" spans="1:16" ht="15.75" x14ac:dyDescent="0.2">
      <c r="A172" s="58" t="s">
        <v>205</v>
      </c>
      <c r="B172" s="29">
        <f>'CONSOLIDADO-ACUEDUCTOSRURALES1'!D119</f>
        <v>10</v>
      </c>
      <c r="C172" s="48">
        <f t="shared" ref="C172:C193" si="18">(B172/$B$194)*100</f>
        <v>1.7825311942959003</v>
      </c>
      <c r="D172" s="29">
        <f>COUNTIFS(ORIENTE!$A:$A,"Alejandría",ORIENTE!S:S,"SIN RIESGO")</f>
        <v>0</v>
      </c>
      <c r="E172" s="48">
        <f>(D172/$B$172)*100</f>
        <v>0</v>
      </c>
      <c r="F172" s="29">
        <f>COUNTIFS(ORIENTE!$A:$A,"Alejandría",ORIENTE!S:S,"BAJO")</f>
        <v>1</v>
      </c>
      <c r="G172" s="48">
        <f>(F172/$B$172)*100</f>
        <v>10</v>
      </c>
      <c r="H172" s="29">
        <f>COUNTIFS(ORIENTE!$A:$A,"Alejandría",ORIENTE!S:S,"MEDIO")</f>
        <v>1</v>
      </c>
      <c r="I172" s="48">
        <f>(H172/$B$172)*100</f>
        <v>10</v>
      </c>
      <c r="J172" s="29">
        <f>COUNTIFS(ORIENTE!$A:$A,"Alejandría",ORIENTE!S:S,"ALTO")</f>
        <v>7</v>
      </c>
      <c r="K172" s="48">
        <f>(J172/$B$172)*100</f>
        <v>70</v>
      </c>
      <c r="L172" s="211">
        <f>COUNTIFS(ORIENTE!$A:$A,"Alejandria",ORIENTE!S:S,"INVIABLE SANITARIAMENTE")</f>
        <v>0</v>
      </c>
      <c r="M172" s="48">
        <f>(L172/$B$172)*100</f>
        <v>0</v>
      </c>
      <c r="N172" s="206">
        <f t="shared" ref="N172:N193" si="19">B172-(D172+F172+H172+J172+L172)</f>
        <v>1</v>
      </c>
      <c r="O172" s="48">
        <f>(N172/$B$172)*100</f>
        <v>10</v>
      </c>
    </row>
    <row r="173" spans="1:16" ht="15.75" x14ac:dyDescent="0.2">
      <c r="A173" s="58" t="s">
        <v>206</v>
      </c>
      <c r="B173" s="29">
        <f>'CONSOLIDADO-ACUEDUCTOSRURALES1'!D120</f>
        <v>19</v>
      </c>
      <c r="C173" s="48">
        <f t="shared" si="18"/>
        <v>3.3868092691622103</v>
      </c>
      <c r="D173" s="29">
        <f>COUNTIFS(ORIENTE!$A:$A,"Argelia",ORIENTE!S:S,"SIN RIESGO")</f>
        <v>0</v>
      </c>
      <c r="E173" s="48">
        <f>(D173/$B$173)*100</f>
        <v>0</v>
      </c>
      <c r="F173" s="29">
        <f>COUNTIFS(ORIENTE!$A:$A,"Argelia",ORIENTE!S:S,"BAJO")</f>
        <v>0</v>
      </c>
      <c r="G173" s="48">
        <f>(F173/$B$173)*100</f>
        <v>0</v>
      </c>
      <c r="H173" s="29">
        <f>COUNTIFS(ORIENTE!$A:$A,"Argelia",ORIENTE!S:S,"MEDIO")</f>
        <v>0</v>
      </c>
      <c r="I173" s="48">
        <f>(H173/$B$173)*100</f>
        <v>0</v>
      </c>
      <c r="J173" s="29">
        <f>COUNTIFS(ORIENTE!$A:$A,"Argelia",ORIENTE!S:S,"ALTO")</f>
        <v>0</v>
      </c>
      <c r="K173" s="48">
        <f>(J173/$B$173)*100</f>
        <v>0</v>
      </c>
      <c r="L173" s="29">
        <f>COUNTIFS(ORIENTE!$A:$A,"Argelia",ORIENTE!S:S,"INVIABLE SANITARIAMENTE")</f>
        <v>18</v>
      </c>
      <c r="M173" s="48">
        <f>(L173/$B$173)*100</f>
        <v>94.73684210526315</v>
      </c>
      <c r="N173" s="206">
        <f t="shared" si="19"/>
        <v>1</v>
      </c>
      <c r="O173" s="48">
        <f>(N173/$B$173)*100</f>
        <v>5.2631578947368416</v>
      </c>
    </row>
    <row r="174" spans="1:16" ht="15.75" x14ac:dyDescent="0.2">
      <c r="A174" s="58" t="s">
        <v>207</v>
      </c>
      <c r="B174" s="29">
        <f>'CONSOLIDADO-ACUEDUCTOSRURALES1'!D121</f>
        <v>23</v>
      </c>
      <c r="C174" s="48">
        <f t="shared" si="18"/>
        <v>4.0998217468805702</v>
      </c>
      <c r="D174" s="29">
        <f>COUNTIFS(ORIENTE!$A:$A,"Cocorná",ORIENTE!S:S,"SIN RIESGO")</f>
        <v>6</v>
      </c>
      <c r="E174" s="48">
        <f>(D174/$B$174)*100</f>
        <v>26.086956521739129</v>
      </c>
      <c r="F174" s="29">
        <f>COUNTIFS(ORIENTE!$A:$A,"Cocorná",ORIENTE!S:S,"BAJO")</f>
        <v>0</v>
      </c>
      <c r="G174" s="48">
        <f>(F174/$B$174)*100</f>
        <v>0</v>
      </c>
      <c r="H174" s="29">
        <f>COUNTIFS(ORIENTE!$A:$A,"Cocorná",ORIENTE!S:S,"MEDIO")</f>
        <v>1</v>
      </c>
      <c r="I174" s="48">
        <f>(H174/$B$174)*100</f>
        <v>4.3478260869565215</v>
      </c>
      <c r="J174" s="29">
        <f>COUNTIFS(ORIENTE!$A:$A,"Cocorná",ORIENTE!S:S,"ALTO")</f>
        <v>0</v>
      </c>
      <c r="K174" s="48">
        <f>(J174/$B$174)*100</f>
        <v>0</v>
      </c>
      <c r="L174" s="29">
        <f>COUNTIFS(ORIENTE!$A:$A,"Cocorná",ORIENTE!S:S,"INVIABLE SANITARIAMENTE")</f>
        <v>16</v>
      </c>
      <c r="M174" s="48">
        <f>(L174/$B$174)*100</f>
        <v>69.565217391304344</v>
      </c>
      <c r="N174" s="206">
        <f t="shared" si="19"/>
        <v>0</v>
      </c>
      <c r="O174" s="48">
        <f>(N174/$B$174)*100</f>
        <v>0</v>
      </c>
    </row>
    <row r="175" spans="1:16" ht="15.75" x14ac:dyDescent="0.2">
      <c r="A175" s="58" t="s">
        <v>208</v>
      </c>
      <c r="B175" s="29">
        <f>'CONSOLIDADO-ACUEDUCTOSRURALES1'!D122</f>
        <v>4</v>
      </c>
      <c r="C175" s="48">
        <f t="shared" si="18"/>
        <v>0.71301247771836007</v>
      </c>
      <c r="D175" s="29">
        <f>COUNTIFS(ORIENTE!$A:$A,"Concepción",ORIENTE!S:S,"SIN RIESGO")</f>
        <v>0</v>
      </c>
      <c r="E175" s="48">
        <f>(D175/$B$175)*100</f>
        <v>0</v>
      </c>
      <c r="F175" s="29">
        <f>COUNTIFS(ORIENTE!$A:$A,"Concepción",ORIENTE!S:S,"BAJO")</f>
        <v>0</v>
      </c>
      <c r="G175" s="48">
        <f>(F175/$B$175)*100</f>
        <v>0</v>
      </c>
      <c r="H175" s="29">
        <f>COUNTIFS(ORIENTE!$A:$A,"Concepción",ORIENTE!S:S,"MEDIO")</f>
        <v>0</v>
      </c>
      <c r="I175" s="48">
        <f>(H175/$B$175)*100</f>
        <v>0</v>
      </c>
      <c r="J175" s="29">
        <f>COUNTIFS(ORIENTE!$A:$A,"Concepción",ORIENTE!S:S,"ALTO")</f>
        <v>4</v>
      </c>
      <c r="K175" s="48">
        <f>(J175/$B$175)*100</f>
        <v>100</v>
      </c>
      <c r="L175" s="29">
        <f>COUNTIFS(ORIENTE!$A:$A,"Concepción",ORIENTE!S:S,"INVIABLE SANITARIAMENTE")</f>
        <v>0</v>
      </c>
      <c r="M175" s="48">
        <f>(L175/$B$175)*100</f>
        <v>0</v>
      </c>
      <c r="N175" s="206">
        <f t="shared" si="19"/>
        <v>0</v>
      </c>
      <c r="O175" s="48">
        <f>(N175/$B$175)*100</f>
        <v>0</v>
      </c>
    </row>
    <row r="176" spans="1:16" ht="15.75" x14ac:dyDescent="0.2">
      <c r="A176" s="58" t="s">
        <v>209</v>
      </c>
      <c r="B176" s="29">
        <f>'CONSOLIDADO-ACUEDUCTOSRURALES1'!D123</f>
        <v>36</v>
      </c>
      <c r="C176" s="48">
        <f t="shared" si="18"/>
        <v>6.4171122994652414</v>
      </c>
      <c r="D176" s="29">
        <f>COUNTIFS(ORIENTE!$A:$A,"Carmen de Viboral",ORIENTE!S:S,"SIN RIESGO")</f>
        <v>34</v>
      </c>
      <c r="E176" s="48">
        <f>(D176/$B$176)*100</f>
        <v>94.444444444444443</v>
      </c>
      <c r="F176" s="29">
        <f>COUNTIFS(ORIENTE!$A:$A,"Carmen de Viboral",ORIENTE!S:S,"BAJO")</f>
        <v>0</v>
      </c>
      <c r="G176" s="48">
        <f>(F176/$B$176)*100</f>
        <v>0</v>
      </c>
      <c r="H176" s="29">
        <f>COUNTIFS(ORIENTE!$A:$A,"Carmen de Viboral",ORIENTE!S:S,"MEDIO")</f>
        <v>2</v>
      </c>
      <c r="I176" s="48">
        <f>(H176/$B$176)*100</f>
        <v>5.5555555555555554</v>
      </c>
      <c r="J176" s="29">
        <f>COUNTIFS(ORIENTE!$A:$A,"Carmen de Viboral",ORIENTE!S:S,"ALTO")</f>
        <v>0</v>
      </c>
      <c r="K176" s="48">
        <f>(J176/$B$176)*100</f>
        <v>0</v>
      </c>
      <c r="L176" s="29">
        <f>COUNTIFS(ORIENTE!$A:$A,"Carmen de Viboral",ORIENTE!S:S,"INVIABLE SANITARIAMENTE")</f>
        <v>0</v>
      </c>
      <c r="M176" s="48">
        <f>(L176/$B$176)*100</f>
        <v>0</v>
      </c>
      <c r="N176" s="206">
        <f t="shared" si="19"/>
        <v>0</v>
      </c>
      <c r="O176" s="48">
        <f>(N176/$B$176)*100</f>
        <v>0</v>
      </c>
    </row>
    <row r="177" spans="1:15" ht="15.75" x14ac:dyDescent="0.2">
      <c r="A177" s="58" t="s">
        <v>210</v>
      </c>
      <c r="B177" s="29">
        <f>'CONSOLIDADO-ACUEDUCTOSRURALES1'!D124</f>
        <v>28</v>
      </c>
      <c r="C177" s="48">
        <f t="shared" si="18"/>
        <v>4.9910873440285206</v>
      </c>
      <c r="D177" s="29">
        <f>COUNTIFS(ORIENTE!$A:$A,"El Peñol",ORIENTE!S:S,"SIN RIESGO")</f>
        <v>16</v>
      </c>
      <c r="E177" s="48">
        <f>(D177/$B$177)*100</f>
        <v>57.142857142857139</v>
      </c>
      <c r="F177" s="29">
        <f>COUNTIFS(ORIENTE!$A:$A,"El Peñol",ORIENTE!S:S,"BAJO")</f>
        <v>2</v>
      </c>
      <c r="G177" s="48">
        <f>(F177/$B$177)*100</f>
        <v>7.1428571428571423</v>
      </c>
      <c r="H177" s="29">
        <f>COUNTIFS(ORIENTE!$A:$A,"El Peñol",ORIENTE!S:S,"MEDIO")</f>
        <v>3</v>
      </c>
      <c r="I177" s="48">
        <f>(H177/$B$177)*100</f>
        <v>10.714285714285714</v>
      </c>
      <c r="J177" s="29">
        <f>COUNTIFS(ORIENTE!$A:$A,"El Peñol",ORIENTE!S:S,"ALTO")</f>
        <v>4</v>
      </c>
      <c r="K177" s="48">
        <f>(J177/$B$177)*100</f>
        <v>14.285714285714285</v>
      </c>
      <c r="L177" s="29">
        <f>COUNTIFS(ORIENTE!$A:$A,"El Peñol",ORIENTE!S:S,"INVIABLE SANITARIAMENTE")</f>
        <v>2</v>
      </c>
      <c r="M177" s="48">
        <f>(L177/$B$177)*100</f>
        <v>7.1428571428571423</v>
      </c>
      <c r="N177" s="206">
        <f t="shared" si="19"/>
        <v>1</v>
      </c>
      <c r="O177" s="48">
        <f>(N177/$B$177)*100</f>
        <v>3.5714285714285712</v>
      </c>
    </row>
    <row r="178" spans="1:15" ht="15.75" x14ac:dyDescent="0.2">
      <c r="A178" s="58" t="s">
        <v>211</v>
      </c>
      <c r="B178" s="29">
        <f>'CONSOLIDADO-ACUEDUCTOSRURALES1'!D125</f>
        <v>22</v>
      </c>
      <c r="C178" s="48">
        <f t="shared" si="18"/>
        <v>3.9215686274509802</v>
      </c>
      <c r="D178" s="29">
        <f>COUNTIFS(ORIENTE!$A:$A,"El Retiro",ORIENTE!S:S,"SIN RIESGO")</f>
        <v>2</v>
      </c>
      <c r="E178" s="48">
        <f>(D178/$B$178)*100</f>
        <v>9.0909090909090917</v>
      </c>
      <c r="F178" s="29">
        <f>COUNTIFS(ORIENTE!$A:$A,"El Retiro",ORIENTE!S:S,"BAJO")</f>
        <v>2</v>
      </c>
      <c r="G178" s="48">
        <f>(F178/$B$178)*100</f>
        <v>9.0909090909090917</v>
      </c>
      <c r="H178" s="29">
        <f>COUNTIFS(ORIENTE!$A:$A,"El Retiro",ORIENTE!S:S,"MEDIO")</f>
        <v>4</v>
      </c>
      <c r="I178" s="48">
        <f>(H178/$B$178)*100</f>
        <v>18.181818181818183</v>
      </c>
      <c r="J178" s="29">
        <f>COUNTIFS(ORIENTE!$A:$A,"El Retiro",ORIENTE!S:S,"ALTO")</f>
        <v>8</v>
      </c>
      <c r="K178" s="48">
        <f>(J178/$B$178)*100</f>
        <v>36.363636363636367</v>
      </c>
      <c r="L178" s="29">
        <f>COUNTIFS(ORIENTE!$A:$A,"El Retiro",ORIENTE!S:S,"INVIABLE SANITARIAMENTE")</f>
        <v>3</v>
      </c>
      <c r="M178" s="48">
        <f>(L178/$B$178)*100</f>
        <v>13.636363636363635</v>
      </c>
      <c r="N178" s="206">
        <f t="shared" si="19"/>
        <v>3</v>
      </c>
      <c r="O178" s="48">
        <f>(N178/$B$178)*100</f>
        <v>13.636363636363635</v>
      </c>
    </row>
    <row r="179" spans="1:15" ht="15.75" x14ac:dyDescent="0.2">
      <c r="A179" s="58" t="s">
        <v>212</v>
      </c>
      <c r="B179" s="29">
        <f>'CONSOLIDADO-ACUEDUCTOSRURALES1'!D126</f>
        <v>37</v>
      </c>
      <c r="C179" s="48">
        <f t="shared" si="18"/>
        <v>6.5953654188948301</v>
      </c>
      <c r="D179" s="29">
        <f>COUNTIFS(ORIENTE!$A:$A,"El Santuario",ORIENTE!S:S,"SIN RIESGO")</f>
        <v>4</v>
      </c>
      <c r="E179" s="48">
        <f>(D179/$B$179)*100</f>
        <v>10.810810810810811</v>
      </c>
      <c r="F179" s="29">
        <f>COUNTIFS(ORIENTE!$A:$A,"El Santuario",ORIENTE!S:S,"BAJO")</f>
        <v>1</v>
      </c>
      <c r="G179" s="48">
        <f>(F179/$B$179)*100</f>
        <v>2.7027027027027026</v>
      </c>
      <c r="H179" s="29">
        <f>COUNTIFS(ORIENTE!$A:$A,"El Santuario",ORIENTE!S:S,"MEDIO")</f>
        <v>7</v>
      </c>
      <c r="I179" s="48">
        <f>(H179/$B$179)*100</f>
        <v>18.918918918918919</v>
      </c>
      <c r="J179" s="29">
        <f>COUNTIFS(ORIENTE!$A:$A,"El Santuario",ORIENTE!S:S,"ALTO")</f>
        <v>4</v>
      </c>
      <c r="K179" s="48">
        <f>(J179/$B$179)*100</f>
        <v>10.810810810810811</v>
      </c>
      <c r="L179" s="29">
        <f>COUNTIFS(ORIENTE!$A:$A,"El Santuario",ORIENTE!S:S,"INVIABLE SANITARIAMENTE")</f>
        <v>8</v>
      </c>
      <c r="M179" s="48">
        <f>(L179/$B$179)*100</f>
        <v>21.621621621621621</v>
      </c>
      <c r="N179" s="206">
        <f t="shared" si="19"/>
        <v>13</v>
      </c>
      <c r="O179" s="48">
        <f>(N179/$B$179)*100</f>
        <v>35.135135135135137</v>
      </c>
    </row>
    <row r="180" spans="1:15" ht="15.75" x14ac:dyDescent="0.2">
      <c r="A180" s="58" t="s">
        <v>213</v>
      </c>
      <c r="B180" s="29">
        <f>'CONSOLIDADO-ACUEDUCTOSRURALES1'!D127</f>
        <v>25</v>
      </c>
      <c r="C180" s="48">
        <f t="shared" si="18"/>
        <v>4.4563279857397502</v>
      </c>
      <c r="D180" s="29">
        <f>COUNTIFS(ORIENTE!$A:$A,"Granada",ORIENTE!S:S,"SIN RIESGO")</f>
        <v>0</v>
      </c>
      <c r="E180" s="48">
        <f>(D180/$B$180)*100</f>
        <v>0</v>
      </c>
      <c r="F180" s="29">
        <f>COUNTIFS(ORIENTE!$A:$A,"Granada",ORIENTE!S:S,"BAJO")</f>
        <v>0</v>
      </c>
      <c r="G180" s="48">
        <f>(F180/$B$180)*100</f>
        <v>0</v>
      </c>
      <c r="H180" s="29">
        <f>COUNTIFS(ORIENTE!$A:$A,"Granada",ORIENTE!S:S,"MEDIO")</f>
        <v>0</v>
      </c>
      <c r="I180" s="48">
        <f>(H180/$B$180)*100</f>
        <v>0</v>
      </c>
      <c r="J180" s="29">
        <f>COUNTIFS(ORIENTE!$A:$A,"Granada",ORIENTE!S:S,"ALTO")</f>
        <v>3</v>
      </c>
      <c r="K180" s="48">
        <f>(J180/$B$180)*100</f>
        <v>12</v>
      </c>
      <c r="L180" s="29">
        <f>COUNTIFS(ORIENTE!$A:$A,"Granada",ORIENTE!S:S,"INVIABLE SANITARIAMENTE")</f>
        <v>12</v>
      </c>
      <c r="M180" s="48">
        <f>(L180/$B$180)*100</f>
        <v>48</v>
      </c>
      <c r="N180" s="206">
        <f t="shared" si="19"/>
        <v>10</v>
      </c>
      <c r="O180" s="48">
        <f>(N180/$B$180)*100</f>
        <v>40</v>
      </c>
    </row>
    <row r="181" spans="1:15" ht="15.75" x14ac:dyDescent="0.2">
      <c r="A181" s="58" t="s">
        <v>214</v>
      </c>
      <c r="B181" s="29">
        <f>'CONSOLIDADO-ACUEDUCTOSRURALES1'!D128</f>
        <v>80</v>
      </c>
      <c r="C181" s="48">
        <f t="shared" si="18"/>
        <v>14.260249554367203</v>
      </c>
      <c r="D181" s="29">
        <f>COUNTIFS(ORIENTE!$A:$A,"Guarne",ORIENTE!S:S,"SIN RIESGO")</f>
        <v>34</v>
      </c>
      <c r="E181" s="48">
        <f>(D181/$B$181)*100</f>
        <v>42.5</v>
      </c>
      <c r="F181" s="29">
        <f>COUNTIFS(ORIENTE!$A:$A,"Guarne",ORIENTE!S:S,"BAJO")</f>
        <v>13</v>
      </c>
      <c r="G181" s="48">
        <f>(F181/$B$181)*100</f>
        <v>16.25</v>
      </c>
      <c r="H181" s="29">
        <f>COUNTIFS(ORIENTE!$A:$A,"Guarne",ORIENTE!S:S,"MEDIO")</f>
        <v>8</v>
      </c>
      <c r="I181" s="48">
        <f>(H181/$B$181)*100</f>
        <v>10</v>
      </c>
      <c r="J181" s="29">
        <f>COUNTIFS(ORIENTE!$A:$A,"Guarne",ORIENTE!S:S,"ALTO")</f>
        <v>0</v>
      </c>
      <c r="K181" s="48">
        <f>(J181/$B$181)*100</f>
        <v>0</v>
      </c>
      <c r="L181" s="29">
        <f>COUNTIFS(ORIENTE!$A:$A,"Guarne",ORIENTE!S:S,"INVIABLE SANITARIAMENTE")</f>
        <v>0</v>
      </c>
      <c r="M181" s="48">
        <f>(L181/$B$181)*100</f>
        <v>0</v>
      </c>
      <c r="N181" s="206">
        <f t="shared" si="19"/>
        <v>25</v>
      </c>
      <c r="O181" s="48">
        <f>(N181/$B$181)*100</f>
        <v>31.25</v>
      </c>
    </row>
    <row r="182" spans="1:15" ht="15.75" x14ac:dyDescent="0.2">
      <c r="A182" s="58" t="s">
        <v>215</v>
      </c>
      <c r="B182" s="29">
        <f>'CONSOLIDADO-ACUEDUCTOSRURALES1'!D129</f>
        <v>6</v>
      </c>
      <c r="C182" s="48">
        <f t="shared" si="18"/>
        <v>1.0695187165775399</v>
      </c>
      <c r="D182" s="29">
        <f>COUNTIFS(ORIENTE!$A:$A,"Guatapé",ORIENTE!S:S,"SIN RIESGO")</f>
        <v>3</v>
      </c>
      <c r="E182" s="48">
        <f>(D182/$B$182)*100</f>
        <v>50</v>
      </c>
      <c r="F182" s="29">
        <f>COUNTIFS(ORIENTE!$A:$A,"Guatapé",ORIENTE!S:S,"BAJO")</f>
        <v>0</v>
      </c>
      <c r="G182" s="48">
        <f>(F182/$B$182)*100</f>
        <v>0</v>
      </c>
      <c r="H182" s="29">
        <f>COUNTIFS(ORIENTE!$A:$A,"Guatapé",ORIENTE!S:S,"MEDIO")</f>
        <v>0</v>
      </c>
      <c r="I182" s="48">
        <f>(H182/$B$182)*100</f>
        <v>0</v>
      </c>
      <c r="J182" s="29">
        <f>COUNTIFS(ORIENTE!$A:$A,"Guatapé",ORIENTE!S:S,"ALTO")</f>
        <v>0</v>
      </c>
      <c r="K182" s="48">
        <f>(J182/$B$182)*100</f>
        <v>0</v>
      </c>
      <c r="L182" s="29">
        <f>COUNTIFS(ORIENTE!$A:$A,"Guatapé",ORIENTE!S:S,"INVIABLE SANITARIAMENTE")</f>
        <v>1</v>
      </c>
      <c r="M182" s="48">
        <f>(L182/$B$182)*100</f>
        <v>16.666666666666664</v>
      </c>
      <c r="N182" s="206">
        <f t="shared" si="19"/>
        <v>2</v>
      </c>
      <c r="O182" s="48">
        <f>(N182/$B$182)*100</f>
        <v>33.333333333333329</v>
      </c>
    </row>
    <row r="183" spans="1:15" ht="15.75" x14ac:dyDescent="0.2">
      <c r="A183" s="58" t="s">
        <v>44</v>
      </c>
      <c r="B183" s="29">
        <f>'CONSOLIDADO-ACUEDUCTOSRURALES1'!D130</f>
        <v>18</v>
      </c>
      <c r="C183" s="48">
        <f t="shared" si="18"/>
        <v>3.2085561497326207</v>
      </c>
      <c r="D183" s="29">
        <f>COUNTIFS(ORIENTE!$A:$A,"La Ceja",ORIENTE!S:S,"SIN RIESGO")</f>
        <v>1</v>
      </c>
      <c r="E183" s="48">
        <f>(D183/$B$183)*100</f>
        <v>5.5555555555555554</v>
      </c>
      <c r="F183" s="29">
        <f>COUNTIFS(ORIENTE!$A:$A,"La Ceja",ORIENTE!S:S,"BAJO")</f>
        <v>4</v>
      </c>
      <c r="G183" s="48">
        <f>(F183/$B$183)*100</f>
        <v>22.222222222222221</v>
      </c>
      <c r="H183" s="29">
        <f>COUNTIFS(ORIENTE!$A:$A,"La Ceja",ORIENTE!S:S,"MEDIO")</f>
        <v>1</v>
      </c>
      <c r="I183" s="48">
        <f>(H183/$B$183)*100</f>
        <v>5.5555555555555554</v>
      </c>
      <c r="J183" s="29">
        <f>COUNTIFS(ORIENTE!$A:$A,"La Ceja",ORIENTE!S:S,"ALTO")</f>
        <v>5</v>
      </c>
      <c r="K183" s="48">
        <f>(J183/$B$183)*100</f>
        <v>27.777777777777779</v>
      </c>
      <c r="L183" s="29">
        <f>COUNTIFS(ORIENTE!$A:$A,"La Ceja",ORIENTE!S:S,"INVIABLE SANITARIAMENTE")</f>
        <v>4</v>
      </c>
      <c r="M183" s="48">
        <f>(L183/$B$183)*100</f>
        <v>22.222222222222221</v>
      </c>
      <c r="N183" s="206">
        <f t="shared" si="19"/>
        <v>3</v>
      </c>
      <c r="O183" s="48">
        <f>(N183/$B$183)*100</f>
        <v>16.666666666666664</v>
      </c>
    </row>
    <row r="184" spans="1:15" ht="15.75" x14ac:dyDescent="0.2">
      <c r="A184" s="58" t="s">
        <v>216</v>
      </c>
      <c r="B184" s="29">
        <f>'CONSOLIDADO-ACUEDUCTOSRURALES1'!D131</f>
        <v>18</v>
      </c>
      <c r="C184" s="48">
        <f t="shared" si="18"/>
        <v>3.2085561497326207</v>
      </c>
      <c r="D184" s="29">
        <f>COUNTIFS(ORIENTE!$A:$A,"La Unión",ORIENTE!S:S,"SIN RIESGO")</f>
        <v>6</v>
      </c>
      <c r="E184" s="48">
        <f>(D184/$B$184)*100</f>
        <v>33.333333333333329</v>
      </c>
      <c r="F184" s="29">
        <f>COUNTIFS(ORIENTE!$A:$A,"La Unión",ORIENTE!S:S,"BAJO")</f>
        <v>2</v>
      </c>
      <c r="G184" s="48">
        <f>(F184/$B$184)*100</f>
        <v>11.111111111111111</v>
      </c>
      <c r="H184" s="29">
        <f>COUNTIFS(ORIENTE!$A:$A,"La Unión",ORIENTE!S:S,"MEDIO")</f>
        <v>0</v>
      </c>
      <c r="I184" s="48">
        <f>(H184/$B$184)*100</f>
        <v>0</v>
      </c>
      <c r="J184" s="29">
        <f>COUNTIFS(ORIENTE!$A:$A,"La Unión",ORIENTE!S:S,"ALTO")</f>
        <v>0</v>
      </c>
      <c r="K184" s="48">
        <f>(J184/$B$184)*100</f>
        <v>0</v>
      </c>
      <c r="L184" s="29">
        <f>COUNTIFS(ORIENTE!$A:$A,"La Unión",ORIENTE!S:S,"INVIABLE SANITARIAMENTE")</f>
        <v>10</v>
      </c>
      <c r="M184" s="48">
        <f>(L184/$B$184)*100</f>
        <v>55.555555555555557</v>
      </c>
      <c r="N184" s="206">
        <f t="shared" si="19"/>
        <v>0</v>
      </c>
      <c r="O184" s="48">
        <f>(N184/$B$184)*100</f>
        <v>0</v>
      </c>
    </row>
    <row r="185" spans="1:15" ht="15.75" x14ac:dyDescent="0.2">
      <c r="A185" s="58" t="s">
        <v>217</v>
      </c>
      <c r="B185" s="29">
        <f>'CONSOLIDADO-ACUEDUCTOSRURALES1'!D132</f>
        <v>38</v>
      </c>
      <c r="C185" s="48">
        <f t="shared" si="18"/>
        <v>6.7736185383244205</v>
      </c>
      <c r="D185" s="29">
        <f>COUNTIFS(ORIENTE!$A:$A,"Marinilla",ORIENTE!S:S,"SIN RIESGO")</f>
        <v>30</v>
      </c>
      <c r="E185" s="48">
        <f>(D185/$B$185)*100</f>
        <v>78.94736842105263</v>
      </c>
      <c r="F185" s="29">
        <f>COUNTIFS(ORIENTE!$A:$A,"Marinilla",ORIENTE!S:S,"BAJO")</f>
        <v>8</v>
      </c>
      <c r="G185" s="48">
        <f>(F185/$B$185)*100</f>
        <v>21.052631578947366</v>
      </c>
      <c r="H185" s="29">
        <f>COUNTIFS(ORIENTE!$A:$A,"Marinilla",ORIENTE!S:S,"MEDIO")</f>
        <v>0</v>
      </c>
      <c r="I185" s="48">
        <f>(H185/$B$185)*100</f>
        <v>0</v>
      </c>
      <c r="J185" s="29">
        <f>COUNTIFS(ORIENTE!$A:$A,"Marinilla",ORIENTE!S:S,"ALTO")</f>
        <v>0</v>
      </c>
      <c r="K185" s="48">
        <f>(J185/$B$185)*100</f>
        <v>0</v>
      </c>
      <c r="L185" s="29">
        <f>COUNTIFS(ORIENTE!$A:$A,"Marinilla",ORIENTE!S:S,"INVIABLE SANITARIAMENTE")</f>
        <v>0</v>
      </c>
      <c r="M185" s="48">
        <f>(L185/$B$185)*100</f>
        <v>0</v>
      </c>
      <c r="N185" s="206">
        <f t="shared" si="19"/>
        <v>0</v>
      </c>
      <c r="O185" s="48">
        <f>(N185/$B$185)*100</f>
        <v>0</v>
      </c>
    </row>
    <row r="186" spans="1:15" ht="15.75" x14ac:dyDescent="0.2">
      <c r="A186" s="58" t="s">
        <v>218</v>
      </c>
      <c r="B186" s="29">
        <f>'CONSOLIDADO-ACUEDUCTOSRURALES1'!D133</f>
        <v>11</v>
      </c>
      <c r="C186" s="48">
        <f t="shared" si="18"/>
        <v>1.9607843137254901</v>
      </c>
      <c r="D186" s="29">
        <f>COUNTIFS(ORIENTE!$A:$A,"Nariño",ORIENTE!S:S,"SIN RIESGO")</f>
        <v>1</v>
      </c>
      <c r="E186" s="48">
        <f>(D186/$B$186)*100</f>
        <v>9.0909090909090917</v>
      </c>
      <c r="F186" s="29">
        <f>COUNTIFS(ORIENTE!$A:$A,"Nariño",ORIENTE!S:S,"BAJO")</f>
        <v>0</v>
      </c>
      <c r="G186" s="48">
        <f>(F186/$B$186)*100</f>
        <v>0</v>
      </c>
      <c r="H186" s="29">
        <f>COUNTIFS(ORIENTE!$A:$A,"Nariño",ORIENTE!S:S,"MEDIO")</f>
        <v>0</v>
      </c>
      <c r="I186" s="48">
        <f>(H186/$B$186)*100</f>
        <v>0</v>
      </c>
      <c r="J186" s="29">
        <f>COUNTIFS(ORIENTE!$A:$A,"Nariño",ORIENTE!S:S,"ALTO")</f>
        <v>10</v>
      </c>
      <c r="K186" s="48">
        <f>(J186/$B$186)*100</f>
        <v>90.909090909090907</v>
      </c>
      <c r="L186" s="29">
        <f>COUNTIFS(ORIENTE!$A:$A,"Nariño",ORIENTE!S:S,"INVIABLE SANITARIAMENTE")</f>
        <v>0</v>
      </c>
      <c r="M186" s="48">
        <f>(L186/$B$186)*100</f>
        <v>0</v>
      </c>
      <c r="N186" s="206">
        <f t="shared" si="19"/>
        <v>0</v>
      </c>
      <c r="O186" s="48">
        <f>(N186/$B$186)*100</f>
        <v>0</v>
      </c>
    </row>
    <row r="187" spans="1:15" ht="15.75" x14ac:dyDescent="0.2">
      <c r="A187" s="58" t="s">
        <v>81</v>
      </c>
      <c r="B187" s="29">
        <f>'CONSOLIDADO-ACUEDUCTOSRURALES1'!D134</f>
        <v>24</v>
      </c>
      <c r="C187" s="48">
        <f t="shared" si="18"/>
        <v>4.2780748663101598</v>
      </c>
      <c r="D187" s="29">
        <f>COUNTIFS(ORIENTE!$A:$A,"Rionegro",ORIENTE!S:S,"SIN RIESGO")</f>
        <v>18</v>
      </c>
      <c r="E187" s="48">
        <f>(D187/$B$187)*100</f>
        <v>75</v>
      </c>
      <c r="F187" s="29">
        <f>COUNTIFS(ORIENTE!$A:$A,"Rionegro",ORIENTE!S:S,"BAJO")</f>
        <v>1</v>
      </c>
      <c r="G187" s="48">
        <f>(F187/$B$187)*100</f>
        <v>4.1666666666666661</v>
      </c>
      <c r="H187" s="29">
        <f>COUNTIFS(ORIENTE!$A:$A,"Rionegro",ORIENTE!S:S,"MEDIO")</f>
        <v>5</v>
      </c>
      <c r="I187" s="48">
        <f>(H187/$B$187)*100</f>
        <v>20.833333333333336</v>
      </c>
      <c r="J187" s="29">
        <f>COUNTIFS(ORIENTE!$A:$A,"Rionegro",ORIENTE!S:S,"ALTO")</f>
        <v>0</v>
      </c>
      <c r="K187" s="48">
        <f>(J187/$B$187)*100</f>
        <v>0</v>
      </c>
      <c r="L187" s="29">
        <f>COUNTIFS(ORIENTE!$A:$A,"Rionegro",ORIENTE!S:S,"INVIABLE SANITARIAMENTE")</f>
        <v>0</v>
      </c>
      <c r="M187" s="48">
        <f>(L187/$B$187)*100</f>
        <v>0</v>
      </c>
      <c r="N187" s="206">
        <f t="shared" si="19"/>
        <v>0</v>
      </c>
      <c r="O187" s="48">
        <f>(N187/$B$187)*100</f>
        <v>0</v>
      </c>
    </row>
    <row r="188" spans="1:15" ht="15.75" x14ac:dyDescent="0.2">
      <c r="A188" s="58" t="s">
        <v>53</v>
      </c>
      <c r="B188" s="29">
        <f>'CONSOLIDADO-ACUEDUCTOSRURALES1'!D135</f>
        <v>15</v>
      </c>
      <c r="C188" s="48">
        <f t="shared" si="18"/>
        <v>2.6737967914438503</v>
      </c>
      <c r="D188" s="29">
        <f>COUNTIFS(ORIENTE!$A:$A,"San Carlos",ORIENTE!S:S,"SIN RIESGO")</f>
        <v>3</v>
      </c>
      <c r="E188" s="48">
        <f>(D188/$B$188)*100</f>
        <v>20</v>
      </c>
      <c r="F188" s="29">
        <f>COUNTIFS(ORIENTE!$A:$A,"San Carlos",ORIENTE!S:S,"BAJO")</f>
        <v>0</v>
      </c>
      <c r="G188" s="48">
        <f>(F188/$B$188)*100</f>
        <v>0</v>
      </c>
      <c r="H188" s="29">
        <f>COUNTIFS(ORIENTE!$A:$A,"San Carlos",ORIENTE!S:S,"MEDIO")</f>
        <v>0</v>
      </c>
      <c r="I188" s="48">
        <f>(H188/$B$188)*100</f>
        <v>0</v>
      </c>
      <c r="J188" s="29">
        <f>COUNTIFS(ORIENTE!$A:$A,"San Carlos",ORIENTE!S:S,"ALTO")</f>
        <v>4</v>
      </c>
      <c r="K188" s="48">
        <f>(J188/$B$188)*100</f>
        <v>26.666666666666668</v>
      </c>
      <c r="L188" s="29">
        <f>COUNTIFS(ORIENTE!$A:$A,"San Carlos",ORIENTE!S:S,"INVIABLE SANITARIAMENTE")</f>
        <v>8</v>
      </c>
      <c r="M188" s="48">
        <f>(L188/$B$188)*100</f>
        <v>53.333333333333336</v>
      </c>
      <c r="N188" s="206">
        <f t="shared" si="19"/>
        <v>0</v>
      </c>
      <c r="O188" s="48">
        <f>(N188/$B$188)*100</f>
        <v>0</v>
      </c>
    </row>
    <row r="189" spans="1:15" ht="15.75" x14ac:dyDescent="0.2">
      <c r="A189" s="58" t="s">
        <v>219</v>
      </c>
      <c r="B189" s="29">
        <f>'CONSOLIDADO-ACUEDUCTOSRURALES1'!D136</f>
        <v>7</v>
      </c>
      <c r="C189" s="48">
        <f t="shared" si="18"/>
        <v>1.2477718360071302</v>
      </c>
      <c r="D189" s="29">
        <f>COUNTIFS(ORIENTE!$A:$A,"San Francisco",ORIENTE!S:S,"SIN RIESGO")</f>
        <v>0</v>
      </c>
      <c r="E189" s="48">
        <f>(D189/$B$189)*100</f>
        <v>0</v>
      </c>
      <c r="F189" s="29">
        <f>COUNTIFS(ORIENTE!$A:$A,"San Francisco",ORIENTE!S:S,"BAJO")</f>
        <v>0</v>
      </c>
      <c r="G189" s="48">
        <f>(F189/$B$189)*100</f>
        <v>0</v>
      </c>
      <c r="H189" s="29">
        <f>COUNTIFS(ORIENTE!$A:$A,"San Francisco",ORIENTE!S:S,"MEDIO")</f>
        <v>0</v>
      </c>
      <c r="I189" s="48">
        <f>(H189/$B$189)*100</f>
        <v>0</v>
      </c>
      <c r="J189" s="29">
        <f>COUNTIFS(ORIENTE!$A:$A,"San Francisco",ORIENTE!S:S,"ALTO")</f>
        <v>0</v>
      </c>
      <c r="K189" s="48">
        <f>(J189/$B$189)*100</f>
        <v>0</v>
      </c>
      <c r="L189" s="29">
        <f>COUNTIFS(ORIENTE!$A:$A,"San Francisco",ORIENTE!S:S,"INVIABLE SANITARIAMENTE")</f>
        <v>7</v>
      </c>
      <c r="M189" s="48">
        <f>(L189/$B$189)*100</f>
        <v>100</v>
      </c>
      <c r="N189" s="206">
        <f t="shared" si="19"/>
        <v>0</v>
      </c>
      <c r="O189" s="48">
        <f>(N189/$B$189)*100</f>
        <v>0</v>
      </c>
    </row>
    <row r="190" spans="1:15" ht="15.75" x14ac:dyDescent="0.2">
      <c r="A190" s="58" t="s">
        <v>74</v>
      </c>
      <c r="B190" s="29">
        <f>'CONSOLIDADO-ACUEDUCTOSRURALES1'!D137</f>
        <v>9</v>
      </c>
      <c r="C190" s="48">
        <f t="shared" si="18"/>
        <v>1.6042780748663104</v>
      </c>
      <c r="D190" s="29">
        <f>COUNTIFS(ORIENTE!$A:$A,"San Luis",ORIENTE!S:S,"SIN RIESGO")</f>
        <v>0</v>
      </c>
      <c r="E190" s="48">
        <f>(D190/$B$190)*100</f>
        <v>0</v>
      </c>
      <c r="F190" s="29">
        <f>COUNTIFS(ORIENTE!$A:$A,"San Luis",ORIENTE!S:S,"BAJO")</f>
        <v>0</v>
      </c>
      <c r="G190" s="48">
        <f>(F190/$B$190)*100</f>
        <v>0</v>
      </c>
      <c r="H190" s="29">
        <f>COUNTIFS(ORIENTE!$A:$A,"San Luis",ORIENTE!S:S,"MEDIO")</f>
        <v>0</v>
      </c>
      <c r="I190" s="48">
        <f>(H190/$B$190)*100</f>
        <v>0</v>
      </c>
      <c r="J190" s="29">
        <f>COUNTIFS(ORIENTE!$A:$A,"San Luis",ORIENTE!S:S,"ALTO")</f>
        <v>6</v>
      </c>
      <c r="K190" s="48">
        <f>(J190/$B$190)*100</f>
        <v>66.666666666666657</v>
      </c>
      <c r="L190" s="29">
        <f>COUNTIFS(ORIENTE!$A:$A,"San Luis",ORIENTE!S:S,"INVIABLE SANITARIAMENTE")</f>
        <v>3</v>
      </c>
      <c r="M190" s="48">
        <f>(L190/$B$190)*100</f>
        <v>33.333333333333329</v>
      </c>
      <c r="N190" s="206">
        <f t="shared" si="19"/>
        <v>0</v>
      </c>
      <c r="O190" s="48">
        <f>(N190/$B$190)*100</f>
        <v>0</v>
      </c>
    </row>
    <row r="191" spans="1:15" ht="15.75" x14ac:dyDescent="0.2">
      <c r="A191" s="58" t="s">
        <v>94</v>
      </c>
      <c r="B191" s="29">
        <f>'CONSOLIDADO-ACUEDUCTOSRURALES1'!D138</f>
        <v>17</v>
      </c>
      <c r="C191" s="48">
        <f t="shared" si="18"/>
        <v>3.0303030303030303</v>
      </c>
      <c r="D191" s="29">
        <f>COUNTIFS(ORIENTE!$A:$A,"San Rafael",ORIENTE!S:S,"SIN RIESGO")</f>
        <v>0</v>
      </c>
      <c r="E191" s="48">
        <f>(D191/$B$191)*100</f>
        <v>0</v>
      </c>
      <c r="F191" s="29">
        <f>COUNTIFS(ORIENTE!$A:$A,"San Rafael",ORIENTE!S:S,"BAJO")</f>
        <v>0</v>
      </c>
      <c r="G191" s="48">
        <f>(F191/$B$191)*100</f>
        <v>0</v>
      </c>
      <c r="H191" s="29">
        <f>COUNTIFS(ORIENTE!$A:$A,"San Rafael",ORIENTE!S:S,"MEDIO")</f>
        <v>0</v>
      </c>
      <c r="I191" s="48">
        <f>(H191/$B$191)*100</f>
        <v>0</v>
      </c>
      <c r="J191" s="29">
        <f>COUNTIFS(ORIENTE!$A:$A,"San Rafael",ORIENTE!S:S,"ALTO")</f>
        <v>1</v>
      </c>
      <c r="K191" s="48">
        <f>(J191/$B$191)*100</f>
        <v>5.8823529411764701</v>
      </c>
      <c r="L191" s="29">
        <f>COUNTIFS(ORIENTE!$A:$A,"San Rafael",ORIENTE!S:S,"INVIABLE SANITARIAMENTE")</f>
        <v>16</v>
      </c>
      <c r="M191" s="48">
        <f>(L191/$B$191)*100</f>
        <v>94.117647058823522</v>
      </c>
      <c r="N191" s="206">
        <f t="shared" si="19"/>
        <v>0</v>
      </c>
      <c r="O191" s="48">
        <f>(N191/$B$191)*100</f>
        <v>0</v>
      </c>
    </row>
    <row r="192" spans="1:15" ht="15.75" x14ac:dyDescent="0.2">
      <c r="A192" s="58" t="s">
        <v>220</v>
      </c>
      <c r="B192" s="29">
        <f>'CONSOLIDADO-ACUEDUCTOSRURALES1'!D139</f>
        <v>47</v>
      </c>
      <c r="C192" s="48">
        <f t="shared" si="18"/>
        <v>8.3778966131907318</v>
      </c>
      <c r="D192" s="29">
        <f>COUNTIFS(ORIENTE!$A:$A,"San Vicente",ORIENTE!S:S,"SIN RIESGO")</f>
        <v>36</v>
      </c>
      <c r="E192" s="48">
        <f>(D192/$B$192)*100</f>
        <v>76.59574468085107</v>
      </c>
      <c r="F192" s="29">
        <f>COUNTIFS(ORIENTE!$A:$A,"San Vicente",ORIENTE!S:S,"BAJO")</f>
        <v>0</v>
      </c>
      <c r="G192" s="48">
        <f>(F192/$B$192)*100</f>
        <v>0</v>
      </c>
      <c r="H192" s="29">
        <f>COUNTIFS(ORIENTE!$A:$A,"San Vicente",ORIENTE!S:S,"MEDIO")</f>
        <v>0</v>
      </c>
      <c r="I192" s="48">
        <f>(H192/$B$192)*100</f>
        <v>0</v>
      </c>
      <c r="J192" s="29">
        <f>COUNTIFS(ORIENTE!$A:$A,"San Vicente",ORIENTE!S:S,"ALTO")</f>
        <v>0</v>
      </c>
      <c r="K192" s="48">
        <f>(J192/$B$192)*100</f>
        <v>0</v>
      </c>
      <c r="L192" s="29">
        <f>COUNTIFS(ORIENTE!$A:$A,"San Vicente",ORIENTE!S:S,"INVIABLE SANITARIAMENTE")</f>
        <v>0</v>
      </c>
      <c r="M192" s="48">
        <f>(L192/$B$192)*100</f>
        <v>0</v>
      </c>
      <c r="N192" s="206">
        <f t="shared" si="19"/>
        <v>11</v>
      </c>
      <c r="O192" s="48">
        <f>(N192/$B$192)*100</f>
        <v>23.404255319148938</v>
      </c>
    </row>
    <row r="193" spans="1:15" ht="15.75" x14ac:dyDescent="0.2">
      <c r="A193" s="58" t="s">
        <v>221</v>
      </c>
      <c r="B193" s="29">
        <f>'CONSOLIDADO-ACUEDUCTOSRURALES1'!D140</f>
        <v>17</v>
      </c>
      <c r="C193" s="48">
        <f t="shared" si="18"/>
        <v>3.0303030303030303</v>
      </c>
      <c r="D193" s="29">
        <f>COUNTIFS(ORIENTE!$A:$A,"Sonsón",ORIENTE!S:S,"SIN RIESGO")</f>
        <v>1</v>
      </c>
      <c r="E193" s="48">
        <f>(D193/$B$193)*100</f>
        <v>5.8823529411764701</v>
      </c>
      <c r="F193" s="29">
        <f>COUNTIFS(ORIENTE!$A:$A,"Sonsón",ORIENTE!S:S,"BAJO")</f>
        <v>0</v>
      </c>
      <c r="G193" s="48">
        <f>(F193/$B$193)*100</f>
        <v>0</v>
      </c>
      <c r="H193" s="29">
        <f>COUNTIFS(ORIENTE!$A:$A,"Sonsón",ORIENTE!S:S,"MEDIO")</f>
        <v>0</v>
      </c>
      <c r="I193" s="48">
        <f>(H193/$B$193)*100</f>
        <v>0</v>
      </c>
      <c r="J193" s="29">
        <f>COUNTIFS(ORIENTE!$A:$A,"Sonsón",ORIENTE!S:S,"ALTO")</f>
        <v>6</v>
      </c>
      <c r="K193" s="48">
        <f>(J193/$B$193)*100</f>
        <v>35.294117647058826</v>
      </c>
      <c r="L193" s="29">
        <f>COUNTIFS(ORIENTE!$A:$A,"Sonsón",ORIENTE!S:S,"INVIABLE SANITARIAMENTE")</f>
        <v>9</v>
      </c>
      <c r="M193" s="48">
        <f>(L193/$B$193)*100</f>
        <v>52.941176470588239</v>
      </c>
      <c r="N193" s="206">
        <f t="shared" si="19"/>
        <v>1</v>
      </c>
      <c r="O193" s="48">
        <f>(N193/$B$193)*100</f>
        <v>5.8823529411764701</v>
      </c>
    </row>
    <row r="194" spans="1:15" ht="28.5" customHeight="1" x14ac:dyDescent="0.2">
      <c r="A194" s="71" t="s">
        <v>222</v>
      </c>
      <c r="B194" s="72">
        <f>SUM(B171:B193)</f>
        <v>561</v>
      </c>
      <c r="C194" s="73">
        <f>SUM(C171:C193)</f>
        <v>99.999999999999986</v>
      </c>
      <c r="D194" s="72">
        <f>SUM(D171:D193)</f>
        <v>195</v>
      </c>
      <c r="E194" s="73">
        <f>(D194/$B$194)*100</f>
        <v>34.759358288770052</v>
      </c>
      <c r="F194" s="72">
        <f>SUM(F171:F193)</f>
        <v>34</v>
      </c>
      <c r="G194" s="73">
        <f>(F194/$B$194)*100</f>
        <v>6.0606060606060606</v>
      </c>
      <c r="H194" s="72">
        <f>SUM(H171:H193)</f>
        <v>32</v>
      </c>
      <c r="I194" s="73">
        <f>(H194/$B$194)*100</f>
        <v>5.7040998217468806</v>
      </c>
      <c r="J194" s="72">
        <f>SUM(J171:J193)</f>
        <v>67</v>
      </c>
      <c r="K194" s="73">
        <f>(J194/$B$194)*100</f>
        <v>11.942959001782532</v>
      </c>
      <c r="L194" s="72">
        <f>SUM(L171:L193)</f>
        <v>149</v>
      </c>
      <c r="M194" s="73">
        <f>(L194/$B$194)*100</f>
        <v>26.559714795008915</v>
      </c>
      <c r="N194" s="72">
        <f>SUM(N171:N193)</f>
        <v>84</v>
      </c>
      <c r="O194" s="73">
        <f>(N194/$B$194)*100</f>
        <v>14.973262032085561</v>
      </c>
    </row>
    <row r="197" spans="1:15" ht="33.75" customHeight="1" x14ac:dyDescent="0.2">
      <c r="A197" s="350" t="s">
        <v>4556</v>
      </c>
      <c r="B197" s="350"/>
      <c r="C197" s="350"/>
      <c r="D197" s="350"/>
      <c r="E197" s="350"/>
      <c r="F197" s="350"/>
      <c r="G197" s="350"/>
      <c r="H197" s="350"/>
      <c r="I197" s="350"/>
      <c r="J197" s="350"/>
      <c r="K197" s="350"/>
      <c r="L197" s="350"/>
      <c r="M197" s="350"/>
      <c r="N197" s="350"/>
      <c r="O197" s="350"/>
    </row>
    <row r="198" spans="1:15" ht="78" customHeight="1" x14ac:dyDescent="0.2">
      <c r="A198" s="249" t="s">
        <v>253</v>
      </c>
      <c r="B198" s="68" t="s">
        <v>252</v>
      </c>
      <c r="C198" s="249" t="s">
        <v>102</v>
      </c>
      <c r="D198" s="255" t="s">
        <v>246</v>
      </c>
      <c r="E198" s="249" t="s">
        <v>102</v>
      </c>
      <c r="F198" s="256" t="s">
        <v>247</v>
      </c>
      <c r="G198" s="249" t="s">
        <v>102</v>
      </c>
      <c r="H198" s="257" t="s">
        <v>248</v>
      </c>
      <c r="I198" s="249" t="s">
        <v>102</v>
      </c>
      <c r="J198" s="258" t="s">
        <v>249</v>
      </c>
      <c r="K198" s="249" t="s">
        <v>102</v>
      </c>
      <c r="L198" s="259" t="s">
        <v>250</v>
      </c>
      <c r="M198" s="249" t="s">
        <v>102</v>
      </c>
      <c r="N198" s="68" t="s">
        <v>4077</v>
      </c>
      <c r="O198" s="249" t="s">
        <v>102</v>
      </c>
    </row>
    <row r="199" spans="1:15" ht="15.75" x14ac:dyDescent="0.2">
      <c r="A199" s="74" t="s">
        <v>245</v>
      </c>
      <c r="B199" s="250">
        <f>'CONSOLIDADO-ACUEDUCTOSRURALES1'!D18</f>
        <v>223</v>
      </c>
      <c r="C199" s="54">
        <f t="shared" ref="C199:C207" si="20">(B199/$B$17)*100</f>
        <v>9.1281211625051171</v>
      </c>
      <c r="D199" s="250">
        <f>'VALLE DE ABURRA'!B238</f>
        <v>511</v>
      </c>
      <c r="E199" s="54">
        <f>(D199/$D$208)*100</f>
        <v>26.894736842105267</v>
      </c>
      <c r="F199" s="251">
        <f>'VALLE DE ABURRA'!B239</f>
        <v>80</v>
      </c>
      <c r="G199" s="54">
        <f>(F199/$F$208)*100</f>
        <v>64.516129032258064</v>
      </c>
      <c r="H199" s="251">
        <f>'VALLE DE ABURRA'!B240</f>
        <v>170</v>
      </c>
      <c r="I199" s="54">
        <f>(H199/$H$208)*100</f>
        <v>41.76904176904177</v>
      </c>
      <c r="J199" s="251">
        <f>'VALLE DE ABURRA'!B241</f>
        <v>138</v>
      </c>
      <c r="K199" s="54">
        <f>(J199/$J$208)*100</f>
        <v>19.546742209631731</v>
      </c>
      <c r="L199" s="251">
        <f>'VALLE DE ABURRA'!B242</f>
        <v>67</v>
      </c>
      <c r="M199" s="54">
        <f>(L199/$L$208)*100</f>
        <v>5.0074738415545594</v>
      </c>
      <c r="N199" s="250">
        <f>D199+F199+H199+J199+L199</f>
        <v>966</v>
      </c>
      <c r="O199" s="54">
        <f>(N199/$N$208)*100</f>
        <v>21.58659217877095</v>
      </c>
    </row>
    <row r="200" spans="1:15" ht="15.75" x14ac:dyDescent="0.2">
      <c r="A200" s="45" t="s">
        <v>223</v>
      </c>
      <c r="B200" s="250">
        <f>'CONSOLIDADO-ACUEDUCTOSRURALES1'!D30</f>
        <v>117</v>
      </c>
      <c r="C200" s="54">
        <f t="shared" si="20"/>
        <v>4.7891936144085143</v>
      </c>
      <c r="D200" s="250">
        <f>URABA!B131</f>
        <v>68</v>
      </c>
      <c r="E200" s="54">
        <f t="shared" ref="E200:E207" si="21">(D200/$D$208)*100</f>
        <v>3.5789473684210522</v>
      </c>
      <c r="F200" s="251">
        <f>URABA!B132</f>
        <v>1</v>
      </c>
      <c r="G200" s="54">
        <f t="shared" ref="G200:G207" si="22">(F200/$F$208)*100</f>
        <v>0.80645161290322576</v>
      </c>
      <c r="H200" s="251">
        <f>URABA!B133</f>
        <v>31</v>
      </c>
      <c r="I200" s="54">
        <f t="shared" ref="I200:I207" si="23">(H200/$H$208)*100</f>
        <v>7.6167076167076173</v>
      </c>
      <c r="J200" s="251">
        <f>URABA!B134</f>
        <v>26</v>
      </c>
      <c r="K200" s="54">
        <f t="shared" ref="K200:K207" si="24">(J200/$J$208)*100</f>
        <v>3.6827195467422094</v>
      </c>
      <c r="L200" s="251">
        <f>URABA!B135</f>
        <v>86</v>
      </c>
      <c r="M200" s="54">
        <f t="shared" ref="M200:M207" si="25">(L200/$L$208)*100</f>
        <v>6.4275037369207766</v>
      </c>
      <c r="N200" s="251">
        <f t="shared" ref="N200:N207" si="26">D200+F200+H200+J200+L200</f>
        <v>212</v>
      </c>
      <c r="O200" s="54">
        <f t="shared" ref="O200:O207" si="27">(N200/$N$208)*100</f>
        <v>4.7374301675977657</v>
      </c>
    </row>
    <row r="201" spans="1:15" ht="15.75" x14ac:dyDescent="0.2">
      <c r="A201" s="45" t="s">
        <v>224</v>
      </c>
      <c r="B201" s="250">
        <f>'CONSOLIDADO-ACUEDUCTOSRURALES1'!D48</f>
        <v>261</v>
      </c>
      <c r="C201" s="54">
        <f t="shared" si="20"/>
        <v>10.683585755218992</v>
      </c>
      <c r="D201" s="251">
        <f>NORTE!B275</f>
        <v>82</v>
      </c>
      <c r="E201" s="54">
        <f t="shared" si="21"/>
        <v>4.3157894736842106</v>
      </c>
      <c r="F201" s="251">
        <f>NORTE!B276</f>
        <v>0</v>
      </c>
      <c r="G201" s="54">
        <f t="shared" si="22"/>
        <v>0</v>
      </c>
      <c r="H201" s="251">
        <f>NORTE!B277</f>
        <v>5</v>
      </c>
      <c r="I201" s="54">
        <f t="shared" si="23"/>
        <v>1.2285012285012284</v>
      </c>
      <c r="J201" s="251">
        <f>NORTE!B278</f>
        <v>130</v>
      </c>
      <c r="K201" s="54">
        <f t="shared" si="24"/>
        <v>18.413597733711047</v>
      </c>
      <c r="L201" s="251">
        <f>NORTE!B279</f>
        <v>110</v>
      </c>
      <c r="M201" s="54">
        <f t="shared" si="25"/>
        <v>8.2212257100149486</v>
      </c>
      <c r="N201" s="251">
        <f t="shared" si="26"/>
        <v>327</v>
      </c>
      <c r="O201" s="54">
        <f t="shared" si="27"/>
        <v>7.3072625698324023</v>
      </c>
    </row>
    <row r="202" spans="1:15" ht="15.75" x14ac:dyDescent="0.2">
      <c r="A202" s="234" t="s">
        <v>225</v>
      </c>
      <c r="B202" s="235">
        <f>'CONSOLIDADO-ACUEDUCTOSRURALES1'!D68</f>
        <v>522</v>
      </c>
      <c r="C202" s="236">
        <f t="shared" si="20"/>
        <v>21.367171510437984</v>
      </c>
      <c r="D202" s="235">
        <f>OCCIDENTE!B536</f>
        <v>89</v>
      </c>
      <c r="E202" s="54">
        <f t="shared" si="21"/>
        <v>4.6842105263157894</v>
      </c>
      <c r="F202" s="235">
        <f>OCCIDENTE!B537</f>
        <v>1</v>
      </c>
      <c r="G202" s="54">
        <f t="shared" si="22"/>
        <v>0.80645161290322576</v>
      </c>
      <c r="H202" s="235">
        <f>OCCIDENTE!B538</f>
        <v>6</v>
      </c>
      <c r="I202" s="54">
        <f t="shared" si="23"/>
        <v>1.4742014742014742</v>
      </c>
      <c r="J202" s="235">
        <f>OCCIDENTE!B539</f>
        <v>75</v>
      </c>
      <c r="K202" s="54">
        <f t="shared" si="24"/>
        <v>10.623229461756374</v>
      </c>
      <c r="L202" s="235">
        <f>OCCIDENTE!B540</f>
        <v>389</v>
      </c>
      <c r="M202" s="54">
        <f t="shared" si="25"/>
        <v>29.07324364723468</v>
      </c>
      <c r="N202" s="251">
        <f>D202+F202+H202+J202+L202</f>
        <v>560</v>
      </c>
      <c r="O202" s="54">
        <f t="shared" si="27"/>
        <v>12.513966480446928</v>
      </c>
    </row>
    <row r="203" spans="1:15" ht="15.75" x14ac:dyDescent="0.2">
      <c r="A203" s="234" t="s">
        <v>226</v>
      </c>
      <c r="B203" s="235">
        <f>'CONSOLIDADO-ACUEDUCTOSRURALES1'!D92</f>
        <v>513</v>
      </c>
      <c r="C203" s="236">
        <f t="shared" si="20"/>
        <v>20.998772001637331</v>
      </c>
      <c r="D203" s="235">
        <f>SUROESTE!B527</f>
        <v>221</v>
      </c>
      <c r="E203" s="54">
        <f t="shared" si="21"/>
        <v>11.631578947368421</v>
      </c>
      <c r="F203" s="235">
        <f>SUROESTE!B528</f>
        <v>0</v>
      </c>
      <c r="G203" s="54">
        <f t="shared" si="22"/>
        <v>0</v>
      </c>
      <c r="H203" s="235">
        <f>SUROESTE!B529</f>
        <v>53</v>
      </c>
      <c r="I203" s="54">
        <f t="shared" si="23"/>
        <v>13.022113022113022</v>
      </c>
      <c r="J203" s="235">
        <f>SUROESTE!B530</f>
        <v>176</v>
      </c>
      <c r="K203" s="54">
        <f t="shared" si="24"/>
        <v>24.929178470254957</v>
      </c>
      <c r="L203" s="235">
        <f>SUROESTE!B531</f>
        <v>272</v>
      </c>
      <c r="M203" s="54">
        <f t="shared" si="25"/>
        <v>20.328849028400597</v>
      </c>
      <c r="N203" s="251">
        <f t="shared" si="26"/>
        <v>722</v>
      </c>
      <c r="O203" s="54">
        <f t="shared" si="27"/>
        <v>16.134078212290504</v>
      </c>
    </row>
    <row r="204" spans="1:15" ht="15.75" x14ac:dyDescent="0.2">
      <c r="A204" s="234" t="s">
        <v>227</v>
      </c>
      <c r="B204" s="235">
        <f>'CONSOLIDADO-ACUEDUCTOSRURALES1'!D99</f>
        <v>62</v>
      </c>
      <c r="C204" s="236">
        <f t="shared" si="20"/>
        <v>2.5378632828489565</v>
      </c>
      <c r="D204" s="235">
        <f>'BAJO CAUCA'!B75</f>
        <v>8</v>
      </c>
      <c r="E204" s="54">
        <f t="shared" si="21"/>
        <v>0.42105263157894735</v>
      </c>
      <c r="F204" s="235">
        <f>'BAJO CAUCA'!B76</f>
        <v>1</v>
      </c>
      <c r="G204" s="54">
        <f t="shared" si="22"/>
        <v>0.80645161290322576</v>
      </c>
      <c r="H204" s="235">
        <f>'BAJO CAUCA'!B77</f>
        <v>3</v>
      </c>
      <c r="I204" s="54">
        <f t="shared" si="23"/>
        <v>0.73710073710073709</v>
      </c>
      <c r="J204" s="235">
        <f>'BAJO CAUCA'!B78</f>
        <v>3</v>
      </c>
      <c r="K204" s="54">
        <f t="shared" si="24"/>
        <v>0.42492917847025502</v>
      </c>
      <c r="L204" s="235">
        <f>'BAJO CAUCA'!B79</f>
        <v>54</v>
      </c>
      <c r="M204" s="54">
        <f t="shared" si="25"/>
        <v>4.0358744394618835</v>
      </c>
      <c r="N204" s="251">
        <f t="shared" si="26"/>
        <v>69</v>
      </c>
      <c r="O204" s="54">
        <f t="shared" si="27"/>
        <v>1.5418994413407823</v>
      </c>
    </row>
    <row r="205" spans="1:15" ht="15.75" x14ac:dyDescent="0.2">
      <c r="A205" s="234" t="s">
        <v>228</v>
      </c>
      <c r="B205" s="235">
        <f>'CONSOLIDADO-ACUEDUCTOSRURALES1'!D106</f>
        <v>72</v>
      </c>
      <c r="C205" s="236">
        <f t="shared" si="20"/>
        <v>2.9471960704052393</v>
      </c>
      <c r="D205" s="235">
        <f>'MAGDALENA MEDIO'!B85</f>
        <v>41</v>
      </c>
      <c r="E205" s="54">
        <f t="shared" si="21"/>
        <v>2.1578947368421053</v>
      </c>
      <c r="F205" s="235">
        <f>'MAGDALENA MEDIO'!B86</f>
        <v>5</v>
      </c>
      <c r="G205" s="54">
        <f t="shared" si="22"/>
        <v>4.032258064516129</v>
      </c>
      <c r="H205" s="235">
        <f>'MAGDALENA MEDIO'!B87</f>
        <v>11</v>
      </c>
      <c r="I205" s="54">
        <f t="shared" si="23"/>
        <v>2.7027027027027026</v>
      </c>
      <c r="J205" s="235">
        <f>'MAGDALENA MEDIO'!B88</f>
        <v>28</v>
      </c>
      <c r="K205" s="54">
        <f t="shared" si="24"/>
        <v>3.9660056657223794</v>
      </c>
      <c r="L205" s="235">
        <f>'MAGDALENA MEDIO'!B89</f>
        <v>13</v>
      </c>
      <c r="M205" s="54">
        <f t="shared" si="25"/>
        <v>0.97159940209267559</v>
      </c>
      <c r="N205" s="251">
        <f t="shared" si="26"/>
        <v>98</v>
      </c>
      <c r="O205" s="54">
        <f t="shared" si="27"/>
        <v>2.1899441340782122</v>
      </c>
    </row>
    <row r="206" spans="1:15" ht="15.75" x14ac:dyDescent="0.2">
      <c r="A206" s="234" t="s">
        <v>229</v>
      </c>
      <c r="B206" s="235">
        <f>'CONSOLIDADO-ACUEDUCTOSRURALES1'!D117</f>
        <v>112</v>
      </c>
      <c r="C206" s="236">
        <f t="shared" si="20"/>
        <v>4.5845272206303722</v>
      </c>
      <c r="D206" s="235">
        <f>NORDESTE!B127</f>
        <v>26</v>
      </c>
      <c r="E206" s="54">
        <f t="shared" si="21"/>
        <v>1.368421052631579</v>
      </c>
      <c r="F206" s="235">
        <f>NORDESTE!B128</f>
        <v>1</v>
      </c>
      <c r="G206" s="54">
        <f t="shared" si="22"/>
        <v>0.80645161290322576</v>
      </c>
      <c r="H206" s="235">
        <f>NORDESTE!B129</f>
        <v>12</v>
      </c>
      <c r="I206" s="54">
        <f t="shared" si="23"/>
        <v>2.9484029484029484</v>
      </c>
      <c r="J206" s="235">
        <f>NORDESTE!B130</f>
        <v>20</v>
      </c>
      <c r="K206" s="54">
        <f t="shared" si="24"/>
        <v>2.8328611898017</v>
      </c>
      <c r="L206" s="235">
        <f>NORDESTE!B131</f>
        <v>112</v>
      </c>
      <c r="M206" s="54">
        <f t="shared" si="25"/>
        <v>8.3707025411061284</v>
      </c>
      <c r="N206" s="251">
        <f t="shared" si="26"/>
        <v>171</v>
      </c>
      <c r="O206" s="54">
        <f t="shared" si="27"/>
        <v>3.8212290502793298</v>
      </c>
    </row>
    <row r="207" spans="1:15" ht="15.75" x14ac:dyDescent="0.2">
      <c r="A207" s="234" t="s">
        <v>230</v>
      </c>
      <c r="B207" s="235">
        <f>'CONSOLIDADO-ACUEDUCTOSRURALES1'!D141</f>
        <v>561</v>
      </c>
      <c r="C207" s="236">
        <f t="shared" si="20"/>
        <v>22.963569381907494</v>
      </c>
      <c r="D207" s="235">
        <f>ORIENTE!B575</f>
        <v>854</v>
      </c>
      <c r="E207" s="54">
        <f t="shared" si="21"/>
        <v>44.94736842105263</v>
      </c>
      <c r="F207" s="235">
        <f>ORIENTE!B576</f>
        <v>35</v>
      </c>
      <c r="G207" s="54">
        <f t="shared" si="22"/>
        <v>28.225806451612907</v>
      </c>
      <c r="H207" s="235">
        <f>ORIENTE!B577</f>
        <v>116</v>
      </c>
      <c r="I207" s="54">
        <f t="shared" si="23"/>
        <v>28.501228501228503</v>
      </c>
      <c r="J207" s="235">
        <f>ORIENTE!B578</f>
        <v>110</v>
      </c>
      <c r="K207" s="54">
        <f t="shared" si="24"/>
        <v>15.580736543909349</v>
      </c>
      <c r="L207" s="235">
        <f>ORIENTE!B579</f>
        <v>235</v>
      </c>
      <c r="M207" s="54">
        <f t="shared" si="25"/>
        <v>17.56352765321375</v>
      </c>
      <c r="N207" s="253">
        <f t="shared" si="26"/>
        <v>1350</v>
      </c>
      <c r="O207" s="54">
        <f t="shared" si="27"/>
        <v>30.16759776536313</v>
      </c>
    </row>
    <row r="208" spans="1:15" ht="21" customHeight="1" x14ac:dyDescent="0.2">
      <c r="A208" s="70" t="s">
        <v>222</v>
      </c>
      <c r="B208" s="254">
        <f>SUM(B199:B207)</f>
        <v>2443</v>
      </c>
      <c r="C208" s="69">
        <f>SUM(C199:C207)</f>
        <v>100.00000000000001</v>
      </c>
      <c r="D208" s="252">
        <f>SUM(D199:D207)</f>
        <v>1900</v>
      </c>
      <c r="E208" s="69">
        <f>(D208/$N$208)*100</f>
        <v>42.458100558659218</v>
      </c>
      <c r="F208" s="252">
        <f>SUM(F199:F207)</f>
        <v>124</v>
      </c>
      <c r="G208" s="69">
        <f>(F208/$N$208)*100</f>
        <v>2.7709497206703912</v>
      </c>
      <c r="H208" s="252">
        <f>SUM(H199:H207)</f>
        <v>407</v>
      </c>
      <c r="I208" s="69">
        <f>(H208/$N$208)*100</f>
        <v>9.0949720670391052</v>
      </c>
      <c r="J208" s="252">
        <f>SUM(J199:J207)</f>
        <v>706</v>
      </c>
      <c r="K208" s="69">
        <f>(J208/$N$208)*100</f>
        <v>15.776536312849162</v>
      </c>
      <c r="L208" s="252">
        <f>SUM(L199:L207)</f>
        <v>1338</v>
      </c>
      <c r="M208" s="69">
        <f>(L208/$N$208)*100</f>
        <v>29.899441340782122</v>
      </c>
      <c r="N208" s="254">
        <f>SUM(N199:N207)</f>
        <v>4475</v>
      </c>
      <c r="O208" s="69">
        <f>SUM(O199:O207)</f>
        <v>100</v>
      </c>
    </row>
  </sheetData>
  <sortState ref="A79:O97">
    <sortCondition ref="A79:A97"/>
  </sortState>
  <customSheetViews>
    <customSheetView guid="{45C8AF51-29EC-46A5-AB7F-1F0634E55D82}" scale="60">
      <pane xSplit="1" ySplit="7" topLeftCell="B134" activePane="bottomRight" state="frozen"/>
      <selection pane="bottomRight" activeCell="H135" sqref="H135"/>
      <pageMargins left="0.70866141732283472" right="0.70866141732283472" top="0.74803149606299213" bottom="0.74803149606299213" header="0.31496062992125984" footer="0.31496062992125984"/>
      <pageSetup paperSize="14" scale="50" orientation="landscape" r:id="rId1"/>
    </customSheetView>
    <customSheetView guid="{FCC3B493-4306-43B2-9C73-76324485DD47}" scale="60" topLeftCell="A142">
      <selection activeCell="M88" sqref="M88"/>
      <pageMargins left="0.70866141732283472" right="0.70866141732283472" top="0.74803149606299213" bottom="0.74803149606299213" header="0.31496062992125984" footer="0.31496062992125984"/>
      <pageSetup paperSize="14" scale="50" orientation="landscape" r:id="rId2"/>
    </customSheetView>
    <customSheetView guid="{AEDE1BDB-8710-4CDA-8488-31F49D423ACE}" scale="70" topLeftCell="A40">
      <selection activeCell="D73" sqref="D73"/>
      <pageMargins left="0.70866141732283472" right="0.70866141732283472" top="0.74803149606299213" bottom="0.74803149606299213" header="0.31496062992125984" footer="0.31496062992125984"/>
      <pageSetup paperSize="14" scale="50" orientation="landscape" r:id="rId3"/>
    </customSheetView>
    <customSheetView guid="{75DD7674-E7DE-4BB1-A36D-76AA33452CB3}" scale="60" topLeftCell="C1">
      <selection activeCell="H17" activeCellId="2" sqref="D17 F17 H17"/>
      <pageMargins left="0.70866141732283472" right="0.70866141732283472" top="0.74803149606299213" bottom="0.74803149606299213" header="0.31496062992125984" footer="0.31496062992125984"/>
      <pageSetup paperSize="14" scale="50" orientation="landscape" r:id="rId4"/>
    </customSheetView>
  </customSheetViews>
  <mergeCells count="16">
    <mergeCell ref="A197:O197"/>
    <mergeCell ref="C1:O1"/>
    <mergeCell ref="A141:O141"/>
    <mergeCell ref="A153:O153"/>
    <mergeCell ref="A169:O169"/>
    <mergeCell ref="A22:O22"/>
    <mergeCell ref="A37:O37"/>
    <mergeCell ref="A54:O54"/>
    <mergeCell ref="A77:O77"/>
    <mergeCell ref="A6:O6"/>
    <mergeCell ref="A101:O101"/>
    <mergeCell ref="A130:O130"/>
    <mergeCell ref="C3:O3"/>
    <mergeCell ref="C2:O2"/>
    <mergeCell ref="C4:O4"/>
    <mergeCell ref="C5:O5"/>
  </mergeCells>
  <pageMargins left="0.70866141732283472" right="0.70866141732283472" top="0.74803149606299213" bottom="0.74803149606299213" header="0.31496062992125984" footer="0.31496062992125984"/>
  <pageSetup paperSize="14" scale="50" orientation="landscape" r:id="rId5"/>
  <ignoredErrors>
    <ignoredError sqref="M208 K208 I208 E208" formula="1"/>
  </ignoredErrors>
  <drawing r:id="rId6"/>
  <legacy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election activeCell="F52" sqref="F52"/>
    </sheetView>
  </sheetViews>
  <sheetFormatPr baseColWidth="10" defaultRowHeight="12.75" x14ac:dyDescent="0.2"/>
  <sheetData/>
  <customSheetViews>
    <customSheetView guid="{45C8AF51-29EC-46A5-AB7F-1F0634E55D82}" state="hidden">
      <selection activeCell="F52" sqref="F52"/>
      <pageMargins left="0.7" right="0.7" top="0.75" bottom="0.75" header="0.3" footer="0.3"/>
    </customSheetView>
    <customSheetView guid="{FCC3B493-4306-43B2-9C73-76324485DD47}" state="hidden">
      <selection activeCell="F52" sqref="F52"/>
      <pageMargins left="0.7" right="0.7" top="0.75" bottom="0.75" header="0.3" footer="0.3"/>
    </customSheetView>
    <customSheetView guid="{AEDE1BDB-8710-4CDA-8488-31F49D423ACE}" state="hidden">
      <pageMargins left="0.7" right="0.7" top="0.75" bottom="0.75" header="0.3" footer="0.3"/>
    </customSheetView>
    <customSheetView guid="{75DD7674-E7DE-4BB1-A36D-76AA33452CB3}">
      <selection activeCell="F52" sqref="F52"/>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x14ac:dyDescent="0.2"/>
  <sheetData/>
  <customSheetViews>
    <customSheetView guid="{45C8AF51-29EC-46A5-AB7F-1F0634E55D82}" state="hidden">
      <pageMargins left="0.7" right="0.7" top="0.75" bottom="0.75" header="0.3" footer="0.3"/>
    </customSheetView>
    <customSheetView guid="{FCC3B493-4306-43B2-9C73-76324485DD47}" state="hidden">
      <pageMargins left="0.7" right="0.7" top="0.75" bottom="0.75" header="0.3" footer="0.3"/>
    </customSheetView>
    <customSheetView guid="{AEDE1BDB-8710-4CDA-8488-31F49D423ACE}" state="hidden">
      <pageMargins left="0.7" right="0.7" top="0.75" bottom="0.75" header="0.3" footer="0.3"/>
    </customSheetView>
    <customSheetView guid="{75DD7674-E7DE-4BB1-A36D-76AA33452CB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theme="0"/>
  </sheetPr>
  <dimension ref="A1:W503"/>
  <sheetViews>
    <sheetView zoomScale="70" zoomScaleNormal="70" workbookViewId="0">
      <selection activeCell="A11" sqref="A11"/>
    </sheetView>
  </sheetViews>
  <sheetFormatPr baseColWidth="10" defaultColWidth="0" defaultRowHeight="12.75" zeroHeight="1" x14ac:dyDescent="0.2"/>
  <cols>
    <col min="1" max="1" width="37.28515625" style="34" customWidth="1"/>
    <col min="2" max="2" width="54.7109375" style="14" customWidth="1"/>
    <col min="3" max="3" width="55.42578125" style="14" customWidth="1"/>
    <col min="4" max="4" width="26.5703125" style="13" customWidth="1"/>
    <col min="5" max="18" width="10.7109375" style="13" customWidth="1"/>
    <col min="19" max="19" width="42.42578125" style="13" bestFit="1" customWidth="1"/>
    <col min="20" max="20" width="9.85546875" style="13" hidden="1" customWidth="1"/>
    <col min="21" max="16384" width="11.42578125" style="13" hidden="1"/>
  </cols>
  <sheetData>
    <row r="1" spans="1:23" s="7" customFormat="1" ht="18" customHeight="1" x14ac:dyDescent="0.2">
      <c r="A1" s="108"/>
      <c r="B1" s="326" t="s">
        <v>254</v>
      </c>
      <c r="C1" s="326"/>
      <c r="D1" s="326"/>
      <c r="E1" s="86"/>
      <c r="F1" s="86"/>
      <c r="G1" s="86"/>
      <c r="H1" s="86"/>
      <c r="I1" s="86"/>
      <c r="J1" s="86"/>
      <c r="K1" s="86"/>
      <c r="L1" s="86"/>
      <c r="M1" s="86"/>
      <c r="N1" s="86"/>
      <c r="O1" s="86"/>
      <c r="P1" s="86"/>
      <c r="Q1" s="86"/>
      <c r="R1" s="87"/>
      <c r="S1" s="39" t="s">
        <v>492</v>
      </c>
      <c r="T1" s="3"/>
      <c r="U1" s="5"/>
      <c r="V1" s="6"/>
      <c r="W1" s="6"/>
    </row>
    <row r="2" spans="1:23" s="9" customFormat="1" ht="18" customHeight="1" x14ac:dyDescent="0.2">
      <c r="A2" s="108"/>
      <c r="B2" s="326" t="s">
        <v>4587</v>
      </c>
      <c r="C2" s="326"/>
      <c r="D2" s="326"/>
      <c r="E2" s="310"/>
      <c r="F2" s="310"/>
      <c r="G2" s="310"/>
      <c r="H2" s="310"/>
      <c r="I2" s="310"/>
      <c r="J2" s="310"/>
      <c r="K2" s="310"/>
      <c r="L2" s="310"/>
      <c r="M2" s="310"/>
      <c r="N2" s="310"/>
      <c r="O2" s="310"/>
      <c r="P2" s="310"/>
      <c r="Q2" s="310"/>
      <c r="R2" s="88"/>
      <c r="S2" s="40" t="s">
        <v>255</v>
      </c>
      <c r="T2" s="3"/>
      <c r="U2" s="8"/>
      <c r="V2" s="6"/>
      <c r="W2" s="6"/>
    </row>
    <row r="3" spans="1:23" s="7" customFormat="1" ht="18" customHeight="1" x14ac:dyDescent="0.2">
      <c r="A3" s="108"/>
      <c r="B3" s="327" t="s">
        <v>4588</v>
      </c>
      <c r="C3" s="327"/>
      <c r="D3" s="327"/>
      <c r="E3" s="309"/>
      <c r="F3" s="309"/>
      <c r="G3" s="309"/>
      <c r="H3" s="309"/>
      <c r="I3" s="309"/>
      <c r="J3" s="309"/>
      <c r="K3" s="309"/>
      <c r="L3" s="309"/>
      <c r="M3" s="309"/>
      <c r="N3" s="309"/>
      <c r="O3" s="309"/>
      <c r="P3" s="309"/>
      <c r="Q3" s="309"/>
      <c r="R3" s="89"/>
      <c r="S3" s="40" t="s">
        <v>493</v>
      </c>
      <c r="T3" s="3"/>
      <c r="U3" s="5"/>
      <c r="V3" s="6"/>
      <c r="W3" s="6"/>
    </row>
    <row r="4" spans="1:23" s="7" customFormat="1" ht="18" customHeight="1" x14ac:dyDescent="0.25">
      <c r="A4" s="108"/>
      <c r="B4" s="60" t="s">
        <v>4119</v>
      </c>
      <c r="C4" s="309"/>
      <c r="D4" s="309"/>
      <c r="E4" s="37"/>
      <c r="F4" s="37"/>
      <c r="G4" s="37"/>
      <c r="H4" s="37"/>
      <c r="I4" s="37"/>
      <c r="J4" s="37"/>
      <c r="K4" s="37"/>
      <c r="L4" s="37"/>
      <c r="M4" s="37"/>
      <c r="N4" s="37"/>
      <c r="O4" s="37"/>
      <c r="P4" s="37"/>
      <c r="Q4" s="37"/>
      <c r="R4" s="38"/>
      <c r="S4" s="40" t="s">
        <v>256</v>
      </c>
      <c r="T4" s="3"/>
      <c r="U4" s="5"/>
      <c r="V4" s="6"/>
      <c r="W4" s="6"/>
    </row>
    <row r="5" spans="1:23" s="32" customFormat="1" ht="15" customHeight="1" x14ac:dyDescent="0.2">
      <c r="A5" s="109"/>
      <c r="B5" s="326" t="s">
        <v>4291</v>
      </c>
      <c r="C5" s="326"/>
      <c r="D5" s="326"/>
      <c r="E5" s="319" t="s">
        <v>251</v>
      </c>
      <c r="F5" s="319"/>
      <c r="G5" s="319"/>
      <c r="H5" s="314" t="s">
        <v>258</v>
      </c>
      <c r="I5" s="314"/>
      <c r="J5" s="314"/>
      <c r="K5" s="321" t="s">
        <v>491</v>
      </c>
      <c r="L5" s="321"/>
      <c r="M5" s="321"/>
      <c r="N5" s="318" t="s">
        <v>422</v>
      </c>
      <c r="O5" s="318"/>
      <c r="P5" s="318"/>
      <c r="Q5" s="334" t="s">
        <v>259</v>
      </c>
      <c r="R5" s="334"/>
      <c r="S5" s="313" t="s">
        <v>261</v>
      </c>
    </row>
    <row r="6" spans="1:23" s="32" customFormat="1" ht="16.5" customHeight="1" x14ac:dyDescent="0.2">
      <c r="A6" s="109"/>
      <c r="B6" s="174"/>
      <c r="C6" s="360"/>
      <c r="D6" s="359" t="s">
        <v>260</v>
      </c>
      <c r="E6" s="319"/>
      <c r="F6" s="319"/>
      <c r="G6" s="319"/>
      <c r="H6" s="314"/>
      <c r="I6" s="314"/>
      <c r="J6" s="314"/>
      <c r="K6" s="321"/>
      <c r="L6" s="321"/>
      <c r="M6" s="321"/>
      <c r="N6" s="318"/>
      <c r="O6" s="318"/>
      <c r="P6" s="318"/>
      <c r="Q6" s="334"/>
      <c r="R6" s="334"/>
      <c r="S6" s="313"/>
    </row>
    <row r="7" spans="1:23" s="32" customFormat="1" ht="12" customHeight="1" x14ac:dyDescent="0.2">
      <c r="A7" s="329"/>
      <c r="B7" s="329"/>
      <c r="C7" s="42"/>
      <c r="D7" s="92"/>
      <c r="E7" s="43"/>
      <c r="F7" s="43"/>
      <c r="G7" s="43"/>
      <c r="H7" s="43"/>
      <c r="I7" s="43"/>
      <c r="J7" s="43"/>
      <c r="K7" s="43"/>
      <c r="L7" s="43"/>
      <c r="M7" s="43"/>
      <c r="N7" s="43"/>
      <c r="O7" s="43"/>
      <c r="P7" s="43"/>
      <c r="Q7" s="43"/>
      <c r="R7" s="43"/>
      <c r="S7" s="41"/>
    </row>
    <row r="8" spans="1:23" s="32" customFormat="1" ht="27" customHeight="1" x14ac:dyDescent="0.2">
      <c r="A8" s="503" t="s">
        <v>4625</v>
      </c>
      <c r="B8" s="155"/>
      <c r="C8" s="176"/>
      <c r="D8" s="107"/>
      <c r="E8" s="107"/>
      <c r="F8" s="107"/>
      <c r="G8" s="107"/>
      <c r="H8" s="107"/>
      <c r="I8" s="107"/>
      <c r="J8" s="107"/>
      <c r="K8" s="107"/>
      <c r="L8" s="107"/>
      <c r="M8" s="107"/>
      <c r="N8" s="107"/>
      <c r="O8" s="107"/>
      <c r="P8" s="107"/>
      <c r="Q8" s="107"/>
      <c r="R8" s="107"/>
      <c r="S8" s="175"/>
    </row>
    <row r="9" spans="1:23" s="10" customFormat="1" ht="18" customHeight="1" x14ac:dyDescent="0.2">
      <c r="A9" s="330" t="s">
        <v>37</v>
      </c>
      <c r="B9" s="328" t="s">
        <v>38</v>
      </c>
      <c r="C9" s="328" t="s">
        <v>257</v>
      </c>
      <c r="D9" s="337" t="s">
        <v>419</v>
      </c>
      <c r="E9" s="315" t="s">
        <v>33</v>
      </c>
      <c r="F9" s="315"/>
      <c r="G9" s="315"/>
      <c r="H9" s="315"/>
      <c r="I9" s="315"/>
      <c r="J9" s="315"/>
      <c r="K9" s="315"/>
      <c r="L9" s="315"/>
      <c r="M9" s="315"/>
      <c r="N9" s="315"/>
      <c r="O9" s="315"/>
      <c r="P9" s="315"/>
      <c r="Q9" s="335" t="s">
        <v>34</v>
      </c>
      <c r="R9" s="335" t="s">
        <v>36</v>
      </c>
      <c r="S9" s="328" t="s">
        <v>35</v>
      </c>
      <c r="T9" s="11"/>
    </row>
    <row r="10" spans="1:23" s="10" customFormat="1" ht="24" customHeight="1" x14ac:dyDescent="0.2">
      <c r="A10" s="330"/>
      <c r="B10" s="328"/>
      <c r="C10" s="328"/>
      <c r="D10" s="338"/>
      <c r="E10" s="154" t="s">
        <v>21</v>
      </c>
      <c r="F10" s="154" t="s">
        <v>22</v>
      </c>
      <c r="G10" s="154" t="s">
        <v>23</v>
      </c>
      <c r="H10" s="154" t="s">
        <v>24</v>
      </c>
      <c r="I10" s="154" t="s">
        <v>25</v>
      </c>
      <c r="J10" s="154" t="s">
        <v>26</v>
      </c>
      <c r="K10" s="154" t="s">
        <v>27</v>
      </c>
      <c r="L10" s="154" t="s">
        <v>28</v>
      </c>
      <c r="M10" s="154" t="s">
        <v>29</v>
      </c>
      <c r="N10" s="154" t="s">
        <v>30</v>
      </c>
      <c r="O10" s="154" t="s">
        <v>31</v>
      </c>
      <c r="P10" s="154" t="s">
        <v>32</v>
      </c>
      <c r="Q10" s="335"/>
      <c r="R10" s="336"/>
      <c r="S10" s="333"/>
      <c r="T10" s="11"/>
    </row>
    <row r="11" spans="1:23" ht="32.1" customHeight="1" x14ac:dyDescent="0.2">
      <c r="A11" s="361" t="s">
        <v>3935</v>
      </c>
      <c r="B11" s="362" t="s">
        <v>466</v>
      </c>
      <c r="C11" s="373" t="s">
        <v>3426</v>
      </c>
      <c r="D11" s="364">
        <v>1780</v>
      </c>
      <c r="E11" s="47"/>
      <c r="F11" s="47">
        <v>0</v>
      </c>
      <c r="G11" s="47">
        <v>0</v>
      </c>
      <c r="H11" s="47">
        <v>0</v>
      </c>
      <c r="I11" s="47">
        <v>0</v>
      </c>
      <c r="J11" s="47">
        <v>0</v>
      </c>
      <c r="K11" s="47">
        <v>0</v>
      </c>
      <c r="L11" s="47">
        <v>0</v>
      </c>
      <c r="M11" s="47">
        <v>0</v>
      </c>
      <c r="N11" s="47">
        <v>0</v>
      </c>
      <c r="O11" s="47">
        <v>0</v>
      </c>
      <c r="P11" s="47">
        <v>0</v>
      </c>
      <c r="Q11" s="374">
        <f t="shared" ref="Q11:Q44" si="0">AVERAGE(E11:P11)</f>
        <v>0</v>
      </c>
      <c r="R11" s="375" t="str">
        <f t="shared" ref="R11:R44" si="1">IF(Q11&lt;5,"SI","NO")</f>
        <v>SI</v>
      </c>
      <c r="S11" s="376" t="str">
        <f t="shared" ref="S11:S78" si="2">IF(Q11&lt;5,"Sin Riesgo",IF(Q11 &lt;=14,"Bajo",IF(Q11&lt;=35,"Medio",IF(Q11&lt;=80,"Alto","Inviable Sanitariamente"))))</f>
        <v>Sin Riesgo</v>
      </c>
      <c r="T11" s="15"/>
    </row>
    <row r="12" spans="1:23" ht="32.1" customHeight="1" x14ac:dyDescent="0.2">
      <c r="A12" s="361" t="s">
        <v>3935</v>
      </c>
      <c r="B12" s="362" t="s">
        <v>341</v>
      </c>
      <c r="C12" s="373" t="s">
        <v>3427</v>
      </c>
      <c r="D12" s="364">
        <v>232</v>
      </c>
      <c r="E12" s="47"/>
      <c r="F12" s="47"/>
      <c r="G12" s="47"/>
      <c r="H12" s="47"/>
      <c r="I12" s="47"/>
      <c r="J12" s="47"/>
      <c r="K12" s="47"/>
      <c r="L12" s="47">
        <v>21.88</v>
      </c>
      <c r="M12" s="47"/>
      <c r="N12" s="47"/>
      <c r="O12" s="47"/>
      <c r="P12" s="47"/>
      <c r="Q12" s="374">
        <f t="shared" si="0"/>
        <v>21.88</v>
      </c>
      <c r="R12" s="375" t="str">
        <f t="shared" si="1"/>
        <v>NO</v>
      </c>
      <c r="S12" s="376" t="str">
        <f t="shared" si="2"/>
        <v>Medio</v>
      </c>
      <c r="T12" s="15"/>
    </row>
    <row r="13" spans="1:23" ht="32.1" customHeight="1" x14ac:dyDescent="0.2">
      <c r="A13" s="361" t="s">
        <v>3935</v>
      </c>
      <c r="B13" s="362" t="s">
        <v>340</v>
      </c>
      <c r="C13" s="373" t="s">
        <v>3428</v>
      </c>
      <c r="D13" s="364">
        <v>240</v>
      </c>
      <c r="E13" s="47"/>
      <c r="F13" s="47"/>
      <c r="G13" s="47"/>
      <c r="H13" s="47"/>
      <c r="I13" s="47"/>
      <c r="J13" s="47"/>
      <c r="K13" s="47"/>
      <c r="L13" s="47">
        <v>50.5</v>
      </c>
      <c r="M13" s="47"/>
      <c r="N13" s="47"/>
      <c r="O13" s="47"/>
      <c r="P13" s="47"/>
      <c r="Q13" s="374">
        <f t="shared" si="0"/>
        <v>50.5</v>
      </c>
      <c r="R13" s="375" t="str">
        <f t="shared" si="1"/>
        <v>NO</v>
      </c>
      <c r="S13" s="376" t="str">
        <f t="shared" si="2"/>
        <v>Alto</v>
      </c>
      <c r="T13" s="15"/>
    </row>
    <row r="14" spans="1:23" ht="32.1" customHeight="1" x14ac:dyDescent="0.2">
      <c r="A14" s="361" t="s">
        <v>3935</v>
      </c>
      <c r="B14" s="362" t="s">
        <v>48</v>
      </c>
      <c r="C14" s="373" t="s">
        <v>3429</v>
      </c>
      <c r="D14" s="364">
        <v>465</v>
      </c>
      <c r="E14" s="47"/>
      <c r="F14" s="47"/>
      <c r="G14" s="47"/>
      <c r="H14" s="47"/>
      <c r="I14" s="47"/>
      <c r="J14" s="47"/>
      <c r="K14" s="47"/>
      <c r="L14" s="47">
        <v>29.03</v>
      </c>
      <c r="M14" s="47"/>
      <c r="N14" s="47"/>
      <c r="O14" s="47"/>
      <c r="P14" s="47"/>
      <c r="Q14" s="374">
        <f t="shared" si="0"/>
        <v>29.03</v>
      </c>
      <c r="R14" s="375" t="str">
        <f t="shared" si="1"/>
        <v>NO</v>
      </c>
      <c r="S14" s="376" t="str">
        <f t="shared" si="2"/>
        <v>Medio</v>
      </c>
      <c r="T14" s="15"/>
    </row>
    <row r="15" spans="1:23" ht="32.1" customHeight="1" x14ac:dyDescent="0.2">
      <c r="A15" s="361" t="s">
        <v>3935</v>
      </c>
      <c r="B15" s="362" t="s">
        <v>467</v>
      </c>
      <c r="C15" s="373" t="s">
        <v>3430</v>
      </c>
      <c r="D15" s="364">
        <v>100</v>
      </c>
      <c r="E15" s="47"/>
      <c r="F15" s="47"/>
      <c r="G15" s="47"/>
      <c r="H15" s="47"/>
      <c r="I15" s="47"/>
      <c r="J15" s="47"/>
      <c r="K15" s="47"/>
      <c r="L15" s="47">
        <v>35</v>
      </c>
      <c r="M15" s="47"/>
      <c r="N15" s="47"/>
      <c r="O15" s="47"/>
      <c r="P15" s="47"/>
      <c r="Q15" s="374">
        <f t="shared" si="0"/>
        <v>35</v>
      </c>
      <c r="R15" s="375" t="str">
        <f t="shared" si="1"/>
        <v>NO</v>
      </c>
      <c r="S15" s="376" t="str">
        <f t="shared" si="2"/>
        <v>Medio</v>
      </c>
      <c r="T15" s="15"/>
    </row>
    <row r="16" spans="1:23" ht="32.1" customHeight="1" x14ac:dyDescent="0.2">
      <c r="A16" s="361" t="s">
        <v>3935</v>
      </c>
      <c r="B16" s="362" t="s">
        <v>3431</v>
      </c>
      <c r="C16" s="373" t="s">
        <v>3432</v>
      </c>
      <c r="D16" s="364">
        <v>162</v>
      </c>
      <c r="E16" s="47"/>
      <c r="F16" s="47"/>
      <c r="G16" s="47"/>
      <c r="H16" s="47"/>
      <c r="I16" s="47"/>
      <c r="J16" s="47"/>
      <c r="K16" s="47"/>
      <c r="L16" s="47">
        <v>75</v>
      </c>
      <c r="M16" s="47"/>
      <c r="N16" s="47"/>
      <c r="O16" s="47"/>
      <c r="P16" s="47"/>
      <c r="Q16" s="374">
        <f t="shared" si="0"/>
        <v>75</v>
      </c>
      <c r="R16" s="375" t="str">
        <f t="shared" si="1"/>
        <v>NO</v>
      </c>
      <c r="S16" s="376" t="str">
        <f t="shared" si="2"/>
        <v>Alto</v>
      </c>
      <c r="T16" s="15"/>
    </row>
    <row r="17" spans="1:20" ht="32.1" customHeight="1" x14ac:dyDescent="0.2">
      <c r="A17" s="361" t="s">
        <v>3935</v>
      </c>
      <c r="B17" s="362" t="s">
        <v>339</v>
      </c>
      <c r="C17" s="373" t="s">
        <v>3433</v>
      </c>
      <c r="D17" s="364">
        <v>217</v>
      </c>
      <c r="E17" s="47"/>
      <c r="F17" s="47"/>
      <c r="G17" s="47"/>
      <c r="H17" s="47"/>
      <c r="I17" s="47"/>
      <c r="J17" s="47"/>
      <c r="K17" s="47"/>
      <c r="L17" s="47">
        <v>84.5</v>
      </c>
      <c r="M17" s="47"/>
      <c r="N17" s="47"/>
      <c r="O17" s="47"/>
      <c r="P17" s="47"/>
      <c r="Q17" s="374">
        <f t="shared" si="0"/>
        <v>84.5</v>
      </c>
      <c r="R17" s="375" t="str">
        <f t="shared" si="1"/>
        <v>NO</v>
      </c>
      <c r="S17" s="376" t="str">
        <f t="shared" si="2"/>
        <v>Inviable Sanitariamente</v>
      </c>
      <c r="T17" s="15"/>
    </row>
    <row r="18" spans="1:20" ht="32.1" customHeight="1" x14ac:dyDescent="0.2">
      <c r="A18" s="361" t="s">
        <v>3935</v>
      </c>
      <c r="B18" s="362" t="s">
        <v>338</v>
      </c>
      <c r="C18" s="373" t="s">
        <v>3434</v>
      </c>
      <c r="D18" s="377">
        <v>475</v>
      </c>
      <c r="E18" s="47"/>
      <c r="F18" s="47"/>
      <c r="G18" s="47"/>
      <c r="H18" s="47"/>
      <c r="I18" s="47"/>
      <c r="J18" s="47"/>
      <c r="K18" s="47"/>
      <c r="L18" s="47">
        <v>74.73</v>
      </c>
      <c r="M18" s="47"/>
      <c r="N18" s="47"/>
      <c r="O18" s="47"/>
      <c r="P18" s="47"/>
      <c r="Q18" s="374">
        <f t="shared" si="0"/>
        <v>74.73</v>
      </c>
      <c r="R18" s="375" t="str">
        <f t="shared" si="1"/>
        <v>NO</v>
      </c>
      <c r="S18" s="376" t="str">
        <f t="shared" si="2"/>
        <v>Alto</v>
      </c>
      <c r="T18" s="15"/>
    </row>
    <row r="19" spans="1:20" ht="32.1" customHeight="1" x14ac:dyDescent="0.2">
      <c r="A19" s="361" t="s">
        <v>3935</v>
      </c>
      <c r="B19" s="362" t="s">
        <v>490</v>
      </c>
      <c r="C19" s="373" t="s">
        <v>3435</v>
      </c>
      <c r="D19" s="364">
        <v>374</v>
      </c>
      <c r="E19" s="47"/>
      <c r="F19" s="47"/>
      <c r="G19" s="47"/>
      <c r="H19" s="47"/>
      <c r="I19" s="47"/>
      <c r="J19" s="47"/>
      <c r="K19" s="47"/>
      <c r="L19" s="47">
        <v>0</v>
      </c>
      <c r="M19" s="47"/>
      <c r="N19" s="47"/>
      <c r="O19" s="47"/>
      <c r="P19" s="47"/>
      <c r="Q19" s="374">
        <f t="shared" si="0"/>
        <v>0</v>
      </c>
      <c r="R19" s="375" t="str">
        <f t="shared" si="1"/>
        <v>SI</v>
      </c>
      <c r="S19" s="376" t="str">
        <f t="shared" si="2"/>
        <v>Sin Riesgo</v>
      </c>
      <c r="T19" s="15"/>
    </row>
    <row r="20" spans="1:20" ht="32.1" customHeight="1" x14ac:dyDescent="0.2">
      <c r="A20" s="361" t="s">
        <v>3935</v>
      </c>
      <c r="B20" s="362" t="s">
        <v>4420</v>
      </c>
      <c r="C20" s="373" t="s">
        <v>4421</v>
      </c>
      <c r="D20" s="364">
        <v>97</v>
      </c>
      <c r="E20" s="47"/>
      <c r="F20" s="47"/>
      <c r="G20" s="47"/>
      <c r="H20" s="47"/>
      <c r="I20" s="47"/>
      <c r="J20" s="47"/>
      <c r="K20" s="47"/>
      <c r="L20" s="47">
        <v>82.05</v>
      </c>
      <c r="M20" s="47"/>
      <c r="N20" s="47"/>
      <c r="O20" s="47"/>
      <c r="P20" s="47"/>
      <c r="Q20" s="374">
        <f t="shared" si="0"/>
        <v>82.05</v>
      </c>
      <c r="R20" s="375" t="str">
        <f t="shared" si="1"/>
        <v>NO</v>
      </c>
      <c r="S20" s="376" t="str">
        <f t="shared" si="2"/>
        <v>Inviable Sanitariamente</v>
      </c>
      <c r="T20" s="15"/>
    </row>
    <row r="21" spans="1:20" ht="32.1" customHeight="1" x14ac:dyDescent="0.2">
      <c r="A21" s="361" t="s">
        <v>114</v>
      </c>
      <c r="B21" s="362" t="s">
        <v>57</v>
      </c>
      <c r="C21" s="373" t="s">
        <v>3436</v>
      </c>
      <c r="D21" s="364">
        <v>320</v>
      </c>
      <c r="E21" s="47"/>
      <c r="F21" s="47">
        <v>100</v>
      </c>
      <c r="G21" s="47"/>
      <c r="H21" s="47"/>
      <c r="I21" s="47"/>
      <c r="J21" s="47"/>
      <c r="K21" s="47"/>
      <c r="L21" s="47"/>
      <c r="M21" s="47"/>
      <c r="N21" s="47"/>
      <c r="O21" s="47"/>
      <c r="P21" s="47"/>
      <c r="Q21" s="374">
        <f t="shared" si="0"/>
        <v>100</v>
      </c>
      <c r="R21" s="375" t="str">
        <f t="shared" si="1"/>
        <v>NO</v>
      </c>
      <c r="S21" s="376" t="str">
        <f t="shared" si="2"/>
        <v>Inviable Sanitariamente</v>
      </c>
      <c r="T21" s="15"/>
    </row>
    <row r="22" spans="1:20" ht="32.1" customHeight="1" x14ac:dyDescent="0.2">
      <c r="A22" s="361" t="s">
        <v>114</v>
      </c>
      <c r="B22" s="362" t="s">
        <v>237</v>
      </c>
      <c r="C22" s="373" t="s">
        <v>3437</v>
      </c>
      <c r="D22" s="364">
        <v>190</v>
      </c>
      <c r="E22" s="47"/>
      <c r="F22" s="47"/>
      <c r="G22" s="47"/>
      <c r="H22" s="47">
        <v>100</v>
      </c>
      <c r="I22" s="47"/>
      <c r="J22" s="47"/>
      <c r="K22" s="47"/>
      <c r="L22" s="47"/>
      <c r="M22" s="47"/>
      <c r="N22" s="47"/>
      <c r="O22" s="47"/>
      <c r="P22" s="47"/>
      <c r="Q22" s="374">
        <f t="shared" si="0"/>
        <v>100</v>
      </c>
      <c r="R22" s="375" t="str">
        <f t="shared" si="1"/>
        <v>NO</v>
      </c>
      <c r="S22" s="376" t="str">
        <f t="shared" si="2"/>
        <v>Inviable Sanitariamente</v>
      </c>
      <c r="T22" s="15"/>
    </row>
    <row r="23" spans="1:20" ht="32.1" customHeight="1" x14ac:dyDescent="0.2">
      <c r="A23" s="361" t="s">
        <v>114</v>
      </c>
      <c r="B23" s="362" t="s">
        <v>3460</v>
      </c>
      <c r="C23" s="373" t="s">
        <v>3438</v>
      </c>
      <c r="D23" s="364">
        <v>40</v>
      </c>
      <c r="E23" s="47"/>
      <c r="F23" s="47"/>
      <c r="G23" s="47">
        <v>100</v>
      </c>
      <c r="H23" s="47"/>
      <c r="I23" s="47"/>
      <c r="J23" s="47"/>
      <c r="K23" s="47"/>
      <c r="L23" s="47"/>
      <c r="M23" s="47"/>
      <c r="N23" s="47"/>
      <c r="O23" s="47"/>
      <c r="P23" s="47"/>
      <c r="Q23" s="374">
        <f t="shared" si="0"/>
        <v>100</v>
      </c>
      <c r="R23" s="375" t="str">
        <f t="shared" si="1"/>
        <v>NO</v>
      </c>
      <c r="S23" s="376" t="str">
        <f t="shared" si="2"/>
        <v>Inviable Sanitariamente</v>
      </c>
      <c r="T23" s="15"/>
    </row>
    <row r="24" spans="1:20" ht="32.1" customHeight="1" x14ac:dyDescent="0.2">
      <c r="A24" s="361" t="s">
        <v>114</v>
      </c>
      <c r="B24" s="362" t="s">
        <v>3461</v>
      </c>
      <c r="C24" s="373" t="s">
        <v>3439</v>
      </c>
      <c r="D24" s="364">
        <v>65</v>
      </c>
      <c r="E24" s="47"/>
      <c r="F24" s="47"/>
      <c r="G24" s="47"/>
      <c r="H24" s="47"/>
      <c r="I24" s="47"/>
      <c r="J24" s="47"/>
      <c r="K24" s="47"/>
      <c r="L24" s="47"/>
      <c r="M24" s="47"/>
      <c r="N24" s="47"/>
      <c r="O24" s="47"/>
      <c r="P24" s="47"/>
      <c r="Q24" s="374" t="e">
        <f t="shared" si="0"/>
        <v>#DIV/0!</v>
      </c>
      <c r="R24" s="375" t="e">
        <f t="shared" si="1"/>
        <v>#DIV/0!</v>
      </c>
      <c r="S24" s="376" t="e">
        <f t="shared" si="2"/>
        <v>#DIV/0!</v>
      </c>
      <c r="T24" s="15"/>
    </row>
    <row r="25" spans="1:20" ht="32.1" customHeight="1" x14ac:dyDescent="0.2">
      <c r="A25" s="361" t="s">
        <v>114</v>
      </c>
      <c r="B25" s="362" t="s">
        <v>3462</v>
      </c>
      <c r="C25" s="373" t="s">
        <v>3440</v>
      </c>
      <c r="D25" s="364">
        <v>58</v>
      </c>
      <c r="E25" s="47">
        <v>100</v>
      </c>
      <c r="F25" s="47"/>
      <c r="G25" s="47"/>
      <c r="H25" s="47"/>
      <c r="I25" s="47"/>
      <c r="J25" s="47"/>
      <c r="K25" s="47"/>
      <c r="L25" s="47"/>
      <c r="M25" s="47"/>
      <c r="N25" s="47"/>
      <c r="O25" s="47"/>
      <c r="P25" s="47"/>
      <c r="Q25" s="374">
        <f t="shared" si="0"/>
        <v>100</v>
      </c>
      <c r="R25" s="375" t="str">
        <f t="shared" si="1"/>
        <v>NO</v>
      </c>
      <c r="S25" s="376" t="str">
        <f t="shared" si="2"/>
        <v>Inviable Sanitariamente</v>
      </c>
      <c r="T25" s="15"/>
    </row>
    <row r="26" spans="1:20" ht="32.1" customHeight="1" x14ac:dyDescent="0.2">
      <c r="A26" s="361" t="s">
        <v>114</v>
      </c>
      <c r="B26" s="362" t="s">
        <v>242</v>
      </c>
      <c r="C26" s="373" t="s">
        <v>3441</v>
      </c>
      <c r="D26" s="364">
        <v>45</v>
      </c>
      <c r="E26" s="47"/>
      <c r="F26" s="47"/>
      <c r="G26" s="47">
        <v>100</v>
      </c>
      <c r="H26" s="47"/>
      <c r="I26" s="47"/>
      <c r="J26" s="47"/>
      <c r="K26" s="47"/>
      <c r="L26" s="47"/>
      <c r="M26" s="47"/>
      <c r="N26" s="47"/>
      <c r="O26" s="47"/>
      <c r="P26" s="47"/>
      <c r="Q26" s="374">
        <f t="shared" si="0"/>
        <v>100</v>
      </c>
      <c r="R26" s="375" t="str">
        <f t="shared" si="1"/>
        <v>NO</v>
      </c>
      <c r="S26" s="376" t="str">
        <f t="shared" si="2"/>
        <v>Inviable Sanitariamente</v>
      </c>
      <c r="T26" s="15"/>
    </row>
    <row r="27" spans="1:20" ht="32.1" customHeight="1" x14ac:dyDescent="0.2">
      <c r="A27" s="361" t="s">
        <v>114</v>
      </c>
      <c r="B27" s="362" t="s">
        <v>342</v>
      </c>
      <c r="C27" s="373" t="s">
        <v>3442</v>
      </c>
      <c r="D27" s="364">
        <v>170</v>
      </c>
      <c r="E27" s="47"/>
      <c r="F27" s="47"/>
      <c r="G27" s="47">
        <v>100</v>
      </c>
      <c r="H27" s="47"/>
      <c r="I27" s="47"/>
      <c r="J27" s="47"/>
      <c r="K27" s="47"/>
      <c r="L27" s="47"/>
      <c r="M27" s="47"/>
      <c r="N27" s="47"/>
      <c r="O27" s="47"/>
      <c r="P27" s="47"/>
      <c r="Q27" s="374">
        <f t="shared" si="0"/>
        <v>100</v>
      </c>
      <c r="R27" s="375" t="str">
        <f t="shared" si="1"/>
        <v>NO</v>
      </c>
      <c r="S27" s="376" t="str">
        <f t="shared" si="2"/>
        <v>Inviable Sanitariamente</v>
      </c>
      <c r="T27" s="15"/>
    </row>
    <row r="28" spans="1:20" ht="32.1" customHeight="1" x14ac:dyDescent="0.2">
      <c r="A28" s="361" t="s">
        <v>114</v>
      </c>
      <c r="B28" s="362" t="s">
        <v>348</v>
      </c>
      <c r="C28" s="373" t="s">
        <v>3443</v>
      </c>
      <c r="D28" s="364">
        <v>35</v>
      </c>
      <c r="E28" s="47"/>
      <c r="F28" s="47"/>
      <c r="G28" s="47"/>
      <c r="H28" s="47">
        <v>100</v>
      </c>
      <c r="I28" s="47"/>
      <c r="J28" s="47"/>
      <c r="K28" s="47"/>
      <c r="L28" s="47"/>
      <c r="M28" s="47"/>
      <c r="N28" s="47"/>
      <c r="O28" s="47"/>
      <c r="P28" s="47"/>
      <c r="Q28" s="374">
        <f t="shared" si="0"/>
        <v>100</v>
      </c>
      <c r="R28" s="375" t="str">
        <f t="shared" si="1"/>
        <v>NO</v>
      </c>
      <c r="S28" s="376" t="str">
        <f t="shared" si="2"/>
        <v>Inviable Sanitariamente</v>
      </c>
      <c r="T28" s="15"/>
    </row>
    <row r="29" spans="1:20" ht="32.1" customHeight="1" x14ac:dyDescent="0.2">
      <c r="A29" s="361" t="s">
        <v>114</v>
      </c>
      <c r="B29" s="362" t="s">
        <v>343</v>
      </c>
      <c r="C29" s="373" t="s">
        <v>3444</v>
      </c>
      <c r="D29" s="364">
        <v>350</v>
      </c>
      <c r="E29" s="47"/>
      <c r="F29" s="47"/>
      <c r="G29" s="47"/>
      <c r="H29" s="47">
        <v>100</v>
      </c>
      <c r="I29" s="47"/>
      <c r="J29" s="47"/>
      <c r="K29" s="47"/>
      <c r="L29" s="47"/>
      <c r="M29" s="47"/>
      <c r="N29" s="47"/>
      <c r="O29" s="47"/>
      <c r="P29" s="47"/>
      <c r="Q29" s="374">
        <f t="shared" si="0"/>
        <v>100</v>
      </c>
      <c r="R29" s="375" t="str">
        <f t="shared" si="1"/>
        <v>NO</v>
      </c>
      <c r="S29" s="376" t="str">
        <f t="shared" si="2"/>
        <v>Inviable Sanitariamente</v>
      </c>
      <c r="T29" s="15"/>
    </row>
    <row r="30" spans="1:20" ht="32.1" customHeight="1" x14ac:dyDescent="0.2">
      <c r="A30" s="361" t="s">
        <v>114</v>
      </c>
      <c r="B30" s="362" t="s">
        <v>3463</v>
      </c>
      <c r="C30" s="373" t="s">
        <v>3445</v>
      </c>
      <c r="D30" s="364">
        <v>60</v>
      </c>
      <c r="E30" s="47"/>
      <c r="F30" s="47"/>
      <c r="G30" s="47"/>
      <c r="H30" s="47"/>
      <c r="I30" s="47"/>
      <c r="J30" s="47"/>
      <c r="K30" s="47"/>
      <c r="L30" s="47"/>
      <c r="M30" s="47"/>
      <c r="N30" s="47"/>
      <c r="O30" s="47"/>
      <c r="P30" s="47"/>
      <c r="Q30" s="374" t="e">
        <f t="shared" si="0"/>
        <v>#DIV/0!</v>
      </c>
      <c r="R30" s="375" t="e">
        <f t="shared" si="1"/>
        <v>#DIV/0!</v>
      </c>
      <c r="S30" s="376" t="e">
        <f t="shared" si="2"/>
        <v>#DIV/0!</v>
      </c>
      <c r="T30" s="15"/>
    </row>
    <row r="31" spans="1:20" ht="32.1" customHeight="1" x14ac:dyDescent="0.2">
      <c r="A31" s="361" t="s">
        <v>114</v>
      </c>
      <c r="B31" s="362" t="s">
        <v>243</v>
      </c>
      <c r="C31" s="373" t="s">
        <v>3446</v>
      </c>
      <c r="D31" s="364">
        <v>86</v>
      </c>
      <c r="E31" s="47"/>
      <c r="F31" s="47"/>
      <c r="G31" s="47">
        <v>100</v>
      </c>
      <c r="H31" s="47"/>
      <c r="I31" s="47"/>
      <c r="J31" s="47"/>
      <c r="K31" s="47"/>
      <c r="L31" s="47"/>
      <c r="M31" s="47"/>
      <c r="N31" s="47"/>
      <c r="O31" s="47"/>
      <c r="P31" s="47"/>
      <c r="Q31" s="374">
        <f t="shared" si="0"/>
        <v>100</v>
      </c>
      <c r="R31" s="375" t="str">
        <f t="shared" si="1"/>
        <v>NO</v>
      </c>
      <c r="S31" s="376" t="str">
        <f t="shared" si="2"/>
        <v>Inviable Sanitariamente</v>
      </c>
      <c r="T31" s="15"/>
    </row>
    <row r="32" spans="1:20" ht="32.1" customHeight="1" x14ac:dyDescent="0.2">
      <c r="A32" s="361" t="s">
        <v>114</v>
      </c>
      <c r="B32" s="362" t="s">
        <v>345</v>
      </c>
      <c r="C32" s="373" t="s">
        <v>3447</v>
      </c>
      <c r="D32" s="364">
        <v>220</v>
      </c>
      <c r="E32" s="47"/>
      <c r="F32" s="47">
        <v>100</v>
      </c>
      <c r="G32" s="47"/>
      <c r="H32" s="47"/>
      <c r="I32" s="47"/>
      <c r="J32" s="47"/>
      <c r="K32" s="47"/>
      <c r="L32" s="47"/>
      <c r="M32" s="47"/>
      <c r="N32" s="47"/>
      <c r="O32" s="47"/>
      <c r="P32" s="47"/>
      <c r="Q32" s="374">
        <f t="shared" si="0"/>
        <v>100</v>
      </c>
      <c r="R32" s="375" t="str">
        <f t="shared" si="1"/>
        <v>NO</v>
      </c>
      <c r="S32" s="376" t="str">
        <f t="shared" si="2"/>
        <v>Inviable Sanitariamente</v>
      </c>
      <c r="T32" s="15"/>
    </row>
    <row r="33" spans="1:20" ht="32.1" customHeight="1" x14ac:dyDescent="0.2">
      <c r="A33" s="361" t="s">
        <v>114</v>
      </c>
      <c r="B33" s="362" t="s">
        <v>3464</v>
      </c>
      <c r="C33" s="373" t="s">
        <v>3448</v>
      </c>
      <c r="D33" s="364">
        <v>50</v>
      </c>
      <c r="E33" s="47"/>
      <c r="F33" s="47">
        <v>100</v>
      </c>
      <c r="G33" s="47"/>
      <c r="H33" s="47"/>
      <c r="I33" s="47"/>
      <c r="J33" s="47"/>
      <c r="K33" s="47"/>
      <c r="L33" s="47"/>
      <c r="M33" s="47"/>
      <c r="N33" s="47"/>
      <c r="O33" s="47"/>
      <c r="P33" s="47"/>
      <c r="Q33" s="374">
        <f t="shared" si="0"/>
        <v>100</v>
      </c>
      <c r="R33" s="375" t="str">
        <f t="shared" si="1"/>
        <v>NO</v>
      </c>
      <c r="S33" s="376" t="str">
        <f t="shared" si="2"/>
        <v>Inviable Sanitariamente</v>
      </c>
      <c r="T33" s="15"/>
    </row>
    <row r="34" spans="1:20" ht="32.1" customHeight="1" x14ac:dyDescent="0.2">
      <c r="A34" s="361" t="s">
        <v>114</v>
      </c>
      <c r="B34" s="362" t="s">
        <v>241</v>
      </c>
      <c r="C34" s="373" t="s">
        <v>3449</v>
      </c>
      <c r="D34" s="364">
        <v>67</v>
      </c>
      <c r="E34" s="47"/>
      <c r="F34" s="47"/>
      <c r="G34" s="47">
        <v>100</v>
      </c>
      <c r="H34" s="47"/>
      <c r="I34" s="47"/>
      <c r="J34" s="47"/>
      <c r="K34" s="47"/>
      <c r="L34" s="47"/>
      <c r="M34" s="47"/>
      <c r="N34" s="47"/>
      <c r="O34" s="47"/>
      <c r="P34" s="47"/>
      <c r="Q34" s="374">
        <f t="shared" si="0"/>
        <v>100</v>
      </c>
      <c r="R34" s="375" t="str">
        <f t="shared" si="1"/>
        <v>NO</v>
      </c>
      <c r="S34" s="376" t="str">
        <f t="shared" si="2"/>
        <v>Inviable Sanitariamente</v>
      </c>
      <c r="T34" s="15"/>
    </row>
    <row r="35" spans="1:20" ht="32.1" customHeight="1" x14ac:dyDescent="0.2">
      <c r="A35" s="361" t="s">
        <v>114</v>
      </c>
      <c r="B35" s="362" t="s">
        <v>346</v>
      </c>
      <c r="C35" s="373" t="s">
        <v>3450</v>
      </c>
      <c r="D35" s="364">
        <v>55</v>
      </c>
      <c r="E35" s="47">
        <v>100</v>
      </c>
      <c r="F35" s="47"/>
      <c r="G35" s="47"/>
      <c r="H35" s="47"/>
      <c r="I35" s="47"/>
      <c r="J35" s="47"/>
      <c r="K35" s="47"/>
      <c r="L35" s="47"/>
      <c r="M35" s="47"/>
      <c r="N35" s="47"/>
      <c r="O35" s="47"/>
      <c r="P35" s="47"/>
      <c r="Q35" s="374">
        <f t="shared" si="0"/>
        <v>100</v>
      </c>
      <c r="R35" s="375" t="str">
        <f t="shared" si="1"/>
        <v>NO</v>
      </c>
      <c r="S35" s="376" t="str">
        <f t="shared" si="2"/>
        <v>Inviable Sanitariamente</v>
      </c>
      <c r="T35" s="15"/>
    </row>
    <row r="36" spans="1:20" ht="32.1" customHeight="1" x14ac:dyDescent="0.2">
      <c r="A36" s="361" t="s">
        <v>114</v>
      </c>
      <c r="B36" s="362" t="s">
        <v>3465</v>
      </c>
      <c r="C36" s="373" t="s">
        <v>3451</v>
      </c>
      <c r="D36" s="364">
        <v>90</v>
      </c>
      <c r="E36" s="47"/>
      <c r="F36" s="47">
        <v>100</v>
      </c>
      <c r="G36" s="47"/>
      <c r="H36" s="47"/>
      <c r="I36" s="47"/>
      <c r="J36" s="47"/>
      <c r="K36" s="47"/>
      <c r="L36" s="47"/>
      <c r="M36" s="47"/>
      <c r="N36" s="47"/>
      <c r="O36" s="47"/>
      <c r="P36" s="47"/>
      <c r="Q36" s="374">
        <f t="shared" si="0"/>
        <v>100</v>
      </c>
      <c r="R36" s="375" t="str">
        <f t="shared" si="1"/>
        <v>NO</v>
      </c>
      <c r="S36" s="376" t="str">
        <f t="shared" si="2"/>
        <v>Inviable Sanitariamente</v>
      </c>
      <c r="T36" s="15"/>
    </row>
    <row r="37" spans="1:20" ht="32.1" customHeight="1" x14ac:dyDescent="0.2">
      <c r="A37" s="361" t="s">
        <v>114</v>
      </c>
      <c r="B37" s="362" t="s">
        <v>344</v>
      </c>
      <c r="C37" s="373" t="s">
        <v>3452</v>
      </c>
      <c r="D37" s="364">
        <v>48</v>
      </c>
      <c r="E37" s="47"/>
      <c r="F37" s="47"/>
      <c r="G37" s="47"/>
      <c r="H37" s="47"/>
      <c r="I37" s="47"/>
      <c r="J37" s="47"/>
      <c r="K37" s="47"/>
      <c r="L37" s="47"/>
      <c r="M37" s="47"/>
      <c r="N37" s="47"/>
      <c r="O37" s="47"/>
      <c r="P37" s="47"/>
      <c r="Q37" s="374" t="e">
        <f t="shared" si="0"/>
        <v>#DIV/0!</v>
      </c>
      <c r="R37" s="375" t="e">
        <f t="shared" si="1"/>
        <v>#DIV/0!</v>
      </c>
      <c r="S37" s="376" t="e">
        <f t="shared" si="2"/>
        <v>#DIV/0!</v>
      </c>
      <c r="T37" s="15"/>
    </row>
    <row r="38" spans="1:20" ht="32.1" customHeight="1" x14ac:dyDescent="0.2">
      <c r="A38" s="361" t="s">
        <v>114</v>
      </c>
      <c r="B38" s="362" t="s">
        <v>244</v>
      </c>
      <c r="C38" s="373" t="s">
        <v>3453</v>
      </c>
      <c r="D38" s="364">
        <v>350</v>
      </c>
      <c r="E38" s="47"/>
      <c r="F38" s="47">
        <v>100</v>
      </c>
      <c r="G38" s="47"/>
      <c r="H38" s="47"/>
      <c r="I38" s="47"/>
      <c r="J38" s="47"/>
      <c r="K38" s="47"/>
      <c r="L38" s="47"/>
      <c r="M38" s="47"/>
      <c r="N38" s="47"/>
      <c r="O38" s="47"/>
      <c r="P38" s="47"/>
      <c r="Q38" s="374">
        <f t="shared" si="0"/>
        <v>100</v>
      </c>
      <c r="R38" s="375" t="str">
        <f t="shared" si="1"/>
        <v>NO</v>
      </c>
      <c r="S38" s="376" t="str">
        <f t="shared" si="2"/>
        <v>Inviable Sanitariamente</v>
      </c>
      <c r="T38" s="15"/>
    </row>
    <row r="39" spans="1:20" ht="32.1" customHeight="1" x14ac:dyDescent="0.2">
      <c r="A39" s="361" t="s">
        <v>114</v>
      </c>
      <c r="B39" s="362" t="s">
        <v>3466</v>
      </c>
      <c r="C39" s="373" t="s">
        <v>3454</v>
      </c>
      <c r="D39" s="364">
        <v>90</v>
      </c>
      <c r="E39" s="47"/>
      <c r="F39" s="47">
        <v>100</v>
      </c>
      <c r="G39" s="47"/>
      <c r="H39" s="47"/>
      <c r="I39" s="47"/>
      <c r="J39" s="47"/>
      <c r="K39" s="47"/>
      <c r="L39" s="47"/>
      <c r="M39" s="47"/>
      <c r="N39" s="47"/>
      <c r="O39" s="47"/>
      <c r="P39" s="47"/>
      <c r="Q39" s="374">
        <f t="shared" si="0"/>
        <v>100</v>
      </c>
      <c r="R39" s="375" t="str">
        <f t="shared" si="1"/>
        <v>NO</v>
      </c>
      <c r="S39" s="376" t="str">
        <f t="shared" si="2"/>
        <v>Inviable Sanitariamente</v>
      </c>
      <c r="T39" s="15"/>
    </row>
    <row r="40" spans="1:20" ht="32.1" customHeight="1" x14ac:dyDescent="0.2">
      <c r="A40" s="361" t="s">
        <v>114</v>
      </c>
      <c r="B40" s="362" t="s">
        <v>3467</v>
      </c>
      <c r="C40" s="373" t="s">
        <v>3455</v>
      </c>
      <c r="D40" s="364">
        <v>62</v>
      </c>
      <c r="E40" s="47"/>
      <c r="F40" s="47">
        <v>100</v>
      </c>
      <c r="G40" s="47"/>
      <c r="H40" s="47"/>
      <c r="I40" s="47"/>
      <c r="J40" s="47"/>
      <c r="K40" s="47"/>
      <c r="L40" s="47"/>
      <c r="M40" s="47"/>
      <c r="N40" s="47"/>
      <c r="O40" s="47"/>
      <c r="P40" s="47"/>
      <c r="Q40" s="374">
        <f t="shared" si="0"/>
        <v>100</v>
      </c>
      <c r="R40" s="375" t="str">
        <f t="shared" si="1"/>
        <v>NO</v>
      </c>
      <c r="S40" s="376" t="str">
        <f t="shared" si="2"/>
        <v>Inviable Sanitariamente</v>
      </c>
      <c r="T40" s="15"/>
    </row>
    <row r="41" spans="1:20" ht="32.1" customHeight="1" x14ac:dyDescent="0.2">
      <c r="A41" s="361" t="s">
        <v>114</v>
      </c>
      <c r="B41" s="362" t="s">
        <v>3468</v>
      </c>
      <c r="C41" s="373" t="s">
        <v>3456</v>
      </c>
      <c r="D41" s="364">
        <v>45</v>
      </c>
      <c r="E41" s="47"/>
      <c r="F41" s="47"/>
      <c r="G41" s="47"/>
      <c r="H41" s="47"/>
      <c r="I41" s="47"/>
      <c r="J41" s="47"/>
      <c r="K41" s="47"/>
      <c r="L41" s="47"/>
      <c r="M41" s="47"/>
      <c r="N41" s="47"/>
      <c r="O41" s="47"/>
      <c r="P41" s="47"/>
      <c r="Q41" s="374" t="e">
        <f t="shared" si="0"/>
        <v>#DIV/0!</v>
      </c>
      <c r="R41" s="375" t="e">
        <f t="shared" si="1"/>
        <v>#DIV/0!</v>
      </c>
      <c r="S41" s="376" t="e">
        <f t="shared" si="2"/>
        <v>#DIV/0!</v>
      </c>
      <c r="T41" s="15"/>
    </row>
    <row r="42" spans="1:20" ht="32.1" customHeight="1" x14ac:dyDescent="0.2">
      <c r="A42" s="361" t="s">
        <v>114</v>
      </c>
      <c r="B42" s="362" t="s">
        <v>347</v>
      </c>
      <c r="C42" s="373" t="s">
        <v>3457</v>
      </c>
      <c r="D42" s="364">
        <v>120</v>
      </c>
      <c r="E42" s="47"/>
      <c r="F42" s="47"/>
      <c r="G42" s="47">
        <v>100</v>
      </c>
      <c r="H42" s="47"/>
      <c r="I42" s="47"/>
      <c r="J42" s="47"/>
      <c r="K42" s="47"/>
      <c r="L42" s="47"/>
      <c r="M42" s="47"/>
      <c r="N42" s="47"/>
      <c r="O42" s="47"/>
      <c r="P42" s="47"/>
      <c r="Q42" s="374">
        <f t="shared" si="0"/>
        <v>100</v>
      </c>
      <c r="R42" s="375" t="str">
        <f t="shared" si="1"/>
        <v>NO</v>
      </c>
      <c r="S42" s="376" t="str">
        <f t="shared" si="2"/>
        <v>Inviable Sanitariamente</v>
      </c>
      <c r="T42" s="15"/>
    </row>
    <row r="43" spans="1:20" ht="32.1" customHeight="1" x14ac:dyDescent="0.2">
      <c r="A43" s="361" t="s">
        <v>114</v>
      </c>
      <c r="B43" s="362" t="s">
        <v>3469</v>
      </c>
      <c r="C43" s="373" t="s">
        <v>3458</v>
      </c>
      <c r="D43" s="364">
        <v>36</v>
      </c>
      <c r="E43" s="47"/>
      <c r="F43" s="47"/>
      <c r="G43" s="47">
        <v>100</v>
      </c>
      <c r="H43" s="47"/>
      <c r="I43" s="47"/>
      <c r="J43" s="47"/>
      <c r="K43" s="47"/>
      <c r="L43" s="47"/>
      <c r="M43" s="47"/>
      <c r="N43" s="47"/>
      <c r="O43" s="47"/>
      <c r="P43" s="47"/>
      <c r="Q43" s="374">
        <f t="shared" si="0"/>
        <v>100</v>
      </c>
      <c r="R43" s="375" t="str">
        <f t="shared" si="1"/>
        <v>NO</v>
      </c>
      <c r="S43" s="376" t="str">
        <f t="shared" si="2"/>
        <v>Inviable Sanitariamente</v>
      </c>
      <c r="T43" s="15"/>
    </row>
    <row r="44" spans="1:20" ht="32.1" customHeight="1" x14ac:dyDescent="0.2">
      <c r="A44" s="361" t="s">
        <v>114</v>
      </c>
      <c r="B44" s="362" t="s">
        <v>3470</v>
      </c>
      <c r="C44" s="373" t="s">
        <v>3459</v>
      </c>
      <c r="D44" s="364">
        <v>190</v>
      </c>
      <c r="E44" s="47"/>
      <c r="F44" s="47">
        <v>100</v>
      </c>
      <c r="G44" s="47"/>
      <c r="H44" s="47"/>
      <c r="I44" s="47"/>
      <c r="J44" s="47"/>
      <c r="K44" s="47"/>
      <c r="L44" s="47"/>
      <c r="M44" s="47"/>
      <c r="N44" s="47"/>
      <c r="O44" s="47"/>
      <c r="P44" s="47"/>
      <c r="Q44" s="374">
        <f t="shared" si="0"/>
        <v>100</v>
      </c>
      <c r="R44" s="375" t="str">
        <f t="shared" si="1"/>
        <v>NO</v>
      </c>
      <c r="S44" s="376" t="str">
        <f>IF(Q44&lt;5,"Sin Riesgo",IF(Q44 &lt;=14,"Bajo",IF(Q44&lt;=35,"Medio",IF(Q44&lt;=80,"Alto","Inviable Sanitariamente"))))</f>
        <v>Inviable Sanitariamente</v>
      </c>
      <c r="T44" s="15"/>
    </row>
    <row r="45" spans="1:20" ht="32.1" customHeight="1" x14ac:dyDescent="0.2">
      <c r="A45" s="361" t="s">
        <v>114</v>
      </c>
      <c r="B45" s="362" t="s">
        <v>4268</v>
      </c>
      <c r="C45" s="373" t="s">
        <v>4269</v>
      </c>
      <c r="D45" s="364">
        <v>23</v>
      </c>
      <c r="E45" s="47"/>
      <c r="F45" s="47">
        <v>100</v>
      </c>
      <c r="G45" s="47"/>
      <c r="H45" s="47"/>
      <c r="I45" s="47"/>
      <c r="J45" s="47"/>
      <c r="K45" s="47"/>
      <c r="L45" s="47"/>
      <c r="M45" s="47"/>
      <c r="N45" s="47"/>
      <c r="O45" s="47"/>
      <c r="P45" s="47"/>
      <c r="Q45" s="374">
        <f t="shared" ref="Q45:Q78" si="3">AVERAGE(E45:P45)</f>
        <v>100</v>
      </c>
      <c r="R45" s="375" t="str">
        <f t="shared" ref="R45:R78" si="4">IF(Q45&lt;5,"SI","NO")</f>
        <v>NO</v>
      </c>
      <c r="S45" s="376" t="str">
        <f t="shared" si="2"/>
        <v>Inviable Sanitariamente</v>
      </c>
      <c r="T45" s="15"/>
    </row>
    <row r="46" spans="1:20" ht="32.1" customHeight="1" x14ac:dyDescent="0.2">
      <c r="A46" s="361" t="s">
        <v>115</v>
      </c>
      <c r="B46" s="362" t="s">
        <v>3471</v>
      </c>
      <c r="C46" s="373" t="s">
        <v>3472</v>
      </c>
      <c r="D46" s="364">
        <v>70</v>
      </c>
      <c r="E46" s="47"/>
      <c r="F46" s="47"/>
      <c r="G46" s="47"/>
      <c r="H46" s="47"/>
      <c r="I46" s="47"/>
      <c r="J46" s="47"/>
      <c r="K46" s="47"/>
      <c r="L46" s="47"/>
      <c r="M46" s="47"/>
      <c r="N46" s="47"/>
      <c r="O46" s="47"/>
      <c r="P46" s="47">
        <v>0</v>
      </c>
      <c r="Q46" s="374">
        <f t="shared" si="3"/>
        <v>0</v>
      </c>
      <c r="R46" s="375" t="str">
        <f t="shared" si="4"/>
        <v>SI</v>
      </c>
      <c r="S46" s="376" t="str">
        <f t="shared" si="2"/>
        <v>Sin Riesgo</v>
      </c>
      <c r="T46" s="15"/>
    </row>
    <row r="47" spans="1:20" ht="32.1" customHeight="1" x14ac:dyDescent="0.2">
      <c r="A47" s="361" t="s">
        <v>115</v>
      </c>
      <c r="B47" s="362" t="s">
        <v>3473</v>
      </c>
      <c r="C47" s="373" t="s">
        <v>3474</v>
      </c>
      <c r="D47" s="364">
        <v>307</v>
      </c>
      <c r="E47" s="47"/>
      <c r="F47" s="47"/>
      <c r="G47" s="47"/>
      <c r="H47" s="47"/>
      <c r="I47" s="47"/>
      <c r="J47" s="47">
        <v>97.35</v>
      </c>
      <c r="K47" s="47"/>
      <c r="L47" s="47"/>
      <c r="M47" s="47"/>
      <c r="N47" s="47"/>
      <c r="O47" s="47"/>
      <c r="P47" s="47"/>
      <c r="Q47" s="374">
        <f t="shared" si="3"/>
        <v>97.35</v>
      </c>
      <c r="R47" s="375" t="str">
        <f t="shared" si="4"/>
        <v>NO</v>
      </c>
      <c r="S47" s="376" t="str">
        <f t="shared" si="2"/>
        <v>Inviable Sanitariamente</v>
      </c>
      <c r="T47" s="15"/>
    </row>
    <row r="48" spans="1:20" ht="32.1" customHeight="1" x14ac:dyDescent="0.2">
      <c r="A48" s="361" t="s">
        <v>115</v>
      </c>
      <c r="B48" s="362" t="s">
        <v>468</v>
      </c>
      <c r="C48" s="373" t="s">
        <v>3475</v>
      </c>
      <c r="D48" s="364">
        <v>98</v>
      </c>
      <c r="E48" s="47"/>
      <c r="F48" s="47"/>
      <c r="G48" s="47"/>
      <c r="H48" s="47"/>
      <c r="I48" s="47"/>
      <c r="J48" s="47"/>
      <c r="K48" s="47"/>
      <c r="L48" s="47"/>
      <c r="M48" s="47"/>
      <c r="N48" s="47"/>
      <c r="O48" s="47"/>
      <c r="P48" s="47">
        <v>97.35</v>
      </c>
      <c r="Q48" s="374">
        <f t="shared" si="3"/>
        <v>97.35</v>
      </c>
      <c r="R48" s="375" t="str">
        <f t="shared" si="4"/>
        <v>NO</v>
      </c>
      <c r="S48" s="376" t="str">
        <f t="shared" si="2"/>
        <v>Inviable Sanitariamente</v>
      </c>
      <c r="T48" s="15"/>
    </row>
    <row r="49" spans="1:20" ht="32.1" customHeight="1" x14ac:dyDescent="0.2">
      <c r="A49" s="361" t="s">
        <v>115</v>
      </c>
      <c r="B49" s="362" t="s">
        <v>349</v>
      </c>
      <c r="C49" s="373" t="s">
        <v>4422</v>
      </c>
      <c r="D49" s="364">
        <v>422</v>
      </c>
      <c r="E49" s="47"/>
      <c r="F49" s="47"/>
      <c r="G49" s="47"/>
      <c r="H49" s="47"/>
      <c r="I49" s="47"/>
      <c r="J49" s="47"/>
      <c r="K49" s="47"/>
      <c r="L49" s="47"/>
      <c r="M49" s="47"/>
      <c r="N49" s="47"/>
      <c r="O49" s="47"/>
      <c r="P49" s="47">
        <v>97.35</v>
      </c>
      <c r="Q49" s="374">
        <f t="shared" si="3"/>
        <v>97.35</v>
      </c>
      <c r="R49" s="375" t="str">
        <f t="shared" si="4"/>
        <v>NO</v>
      </c>
      <c r="S49" s="376" t="str">
        <f t="shared" si="2"/>
        <v>Inviable Sanitariamente</v>
      </c>
      <c r="T49" s="15"/>
    </row>
    <row r="50" spans="1:20" ht="32.1" customHeight="1" x14ac:dyDescent="0.2">
      <c r="A50" s="361" t="s">
        <v>115</v>
      </c>
      <c r="B50" s="362" t="s">
        <v>3476</v>
      </c>
      <c r="C50" s="373" t="s">
        <v>4423</v>
      </c>
      <c r="D50" s="364">
        <v>80</v>
      </c>
      <c r="E50" s="47"/>
      <c r="F50" s="47"/>
      <c r="G50" s="47"/>
      <c r="H50" s="47"/>
      <c r="I50" s="47"/>
      <c r="J50" s="47"/>
      <c r="K50" s="47"/>
      <c r="L50" s="47"/>
      <c r="M50" s="47"/>
      <c r="N50" s="47"/>
      <c r="O50" s="47"/>
      <c r="P50" s="47">
        <v>97.35</v>
      </c>
      <c r="Q50" s="374">
        <f t="shared" si="3"/>
        <v>97.35</v>
      </c>
      <c r="R50" s="375" t="str">
        <f t="shared" si="4"/>
        <v>NO</v>
      </c>
      <c r="S50" s="376" t="str">
        <f t="shared" si="2"/>
        <v>Inviable Sanitariamente</v>
      </c>
      <c r="T50" s="15"/>
    </row>
    <row r="51" spans="1:20" ht="32.1" customHeight="1" x14ac:dyDescent="0.2">
      <c r="A51" s="361" t="s">
        <v>115</v>
      </c>
      <c r="B51" s="362" t="s">
        <v>469</v>
      </c>
      <c r="C51" s="373" t="s">
        <v>3477</v>
      </c>
      <c r="D51" s="364">
        <v>160</v>
      </c>
      <c r="E51" s="47"/>
      <c r="F51" s="47"/>
      <c r="G51" s="47"/>
      <c r="H51" s="47"/>
      <c r="I51" s="47"/>
      <c r="J51" s="47"/>
      <c r="K51" s="47"/>
      <c r="L51" s="47"/>
      <c r="M51" s="47"/>
      <c r="N51" s="47"/>
      <c r="O51" s="47"/>
      <c r="P51" s="47">
        <v>97.35</v>
      </c>
      <c r="Q51" s="374">
        <f t="shared" si="3"/>
        <v>97.35</v>
      </c>
      <c r="R51" s="375" t="str">
        <f t="shared" si="4"/>
        <v>NO</v>
      </c>
      <c r="S51" s="376" t="str">
        <f t="shared" si="2"/>
        <v>Inviable Sanitariamente</v>
      </c>
      <c r="T51" s="15"/>
    </row>
    <row r="52" spans="1:20" ht="32.1" customHeight="1" x14ac:dyDescent="0.2">
      <c r="A52" s="361" t="s">
        <v>115</v>
      </c>
      <c r="B52" s="362" t="s">
        <v>350</v>
      </c>
      <c r="C52" s="373" t="s">
        <v>4424</v>
      </c>
      <c r="D52" s="364">
        <v>215</v>
      </c>
      <c r="E52" s="47"/>
      <c r="F52" s="47"/>
      <c r="G52" s="47"/>
      <c r="H52" s="47"/>
      <c r="I52" s="47"/>
      <c r="J52" s="47"/>
      <c r="K52" s="47"/>
      <c r="L52" s="47"/>
      <c r="M52" s="47"/>
      <c r="N52" s="47"/>
      <c r="O52" s="47"/>
      <c r="P52" s="47">
        <v>53.1</v>
      </c>
      <c r="Q52" s="374">
        <f t="shared" si="3"/>
        <v>53.1</v>
      </c>
      <c r="R52" s="375" t="str">
        <f t="shared" si="4"/>
        <v>NO</v>
      </c>
      <c r="S52" s="376" t="str">
        <f t="shared" si="2"/>
        <v>Alto</v>
      </c>
      <c r="T52" s="15"/>
    </row>
    <row r="53" spans="1:20" ht="32.1" customHeight="1" x14ac:dyDescent="0.2">
      <c r="A53" s="361" t="s">
        <v>115</v>
      </c>
      <c r="B53" s="362" t="s">
        <v>3478</v>
      </c>
      <c r="C53" s="373" t="s">
        <v>3479</v>
      </c>
      <c r="D53" s="364">
        <v>40</v>
      </c>
      <c r="E53" s="47"/>
      <c r="F53" s="47"/>
      <c r="G53" s="47"/>
      <c r="H53" s="47"/>
      <c r="I53" s="47"/>
      <c r="J53" s="47"/>
      <c r="K53" s="47"/>
      <c r="L53" s="47"/>
      <c r="M53" s="47"/>
      <c r="N53" s="47"/>
      <c r="O53" s="47"/>
      <c r="P53" s="47">
        <v>53.1</v>
      </c>
      <c r="Q53" s="374">
        <f t="shared" si="3"/>
        <v>53.1</v>
      </c>
      <c r="R53" s="375" t="str">
        <f t="shared" si="4"/>
        <v>NO</v>
      </c>
      <c r="S53" s="376" t="str">
        <f t="shared" si="2"/>
        <v>Alto</v>
      </c>
      <c r="T53" s="15"/>
    </row>
    <row r="54" spans="1:20" ht="32.1" customHeight="1" x14ac:dyDescent="0.2">
      <c r="A54" s="361" t="s">
        <v>115</v>
      </c>
      <c r="B54" s="362" t="s">
        <v>3480</v>
      </c>
      <c r="C54" s="373" t="s">
        <v>4425</v>
      </c>
      <c r="D54" s="364">
        <v>138</v>
      </c>
      <c r="E54" s="47"/>
      <c r="F54" s="47"/>
      <c r="G54" s="47"/>
      <c r="H54" s="47"/>
      <c r="I54" s="47"/>
      <c r="J54" s="47"/>
      <c r="K54" s="47"/>
      <c r="L54" s="47"/>
      <c r="M54" s="47"/>
      <c r="N54" s="47"/>
      <c r="O54" s="47"/>
      <c r="P54" s="47">
        <v>97.35</v>
      </c>
      <c r="Q54" s="374">
        <f t="shared" si="3"/>
        <v>97.35</v>
      </c>
      <c r="R54" s="375" t="str">
        <f t="shared" si="4"/>
        <v>NO</v>
      </c>
      <c r="S54" s="376" t="str">
        <f t="shared" si="2"/>
        <v>Inviable Sanitariamente</v>
      </c>
      <c r="T54" s="15"/>
    </row>
    <row r="55" spans="1:20" ht="32.1" customHeight="1" x14ac:dyDescent="0.2">
      <c r="A55" s="361" t="s">
        <v>115</v>
      </c>
      <c r="B55" s="362" t="s">
        <v>3481</v>
      </c>
      <c r="C55" s="373" t="s">
        <v>3482</v>
      </c>
      <c r="D55" s="364">
        <v>60</v>
      </c>
      <c r="E55" s="47"/>
      <c r="F55" s="47"/>
      <c r="G55" s="47"/>
      <c r="H55" s="47"/>
      <c r="I55" s="47"/>
      <c r="J55" s="47"/>
      <c r="K55" s="47">
        <v>97.35</v>
      </c>
      <c r="L55" s="47"/>
      <c r="M55" s="47"/>
      <c r="N55" s="47"/>
      <c r="O55" s="47"/>
      <c r="P55" s="47"/>
      <c r="Q55" s="374">
        <f t="shared" si="3"/>
        <v>97.35</v>
      </c>
      <c r="R55" s="375" t="str">
        <f t="shared" si="4"/>
        <v>NO</v>
      </c>
      <c r="S55" s="376" t="str">
        <f t="shared" si="2"/>
        <v>Inviable Sanitariamente</v>
      </c>
      <c r="T55" s="15"/>
    </row>
    <row r="56" spans="1:20" ht="32.1" customHeight="1" x14ac:dyDescent="0.2">
      <c r="A56" s="361" t="s">
        <v>115</v>
      </c>
      <c r="B56" s="362" t="s">
        <v>3483</v>
      </c>
      <c r="C56" s="373" t="s">
        <v>3484</v>
      </c>
      <c r="D56" s="364">
        <v>38</v>
      </c>
      <c r="E56" s="47"/>
      <c r="F56" s="47"/>
      <c r="G56" s="47"/>
      <c r="H56" s="47"/>
      <c r="I56" s="47"/>
      <c r="J56" s="47"/>
      <c r="K56" s="47">
        <v>97.4</v>
      </c>
      <c r="L56" s="47"/>
      <c r="M56" s="47"/>
      <c r="N56" s="47"/>
      <c r="O56" s="47"/>
      <c r="P56" s="47"/>
      <c r="Q56" s="374">
        <f t="shared" si="3"/>
        <v>97.4</v>
      </c>
      <c r="R56" s="375" t="str">
        <f t="shared" si="4"/>
        <v>NO</v>
      </c>
      <c r="S56" s="376" t="str">
        <f t="shared" si="2"/>
        <v>Inviable Sanitariamente</v>
      </c>
      <c r="T56" s="15"/>
    </row>
    <row r="57" spans="1:20" ht="32.1" customHeight="1" x14ac:dyDescent="0.2">
      <c r="A57" s="361" t="s">
        <v>115</v>
      </c>
      <c r="B57" s="362" t="s">
        <v>3485</v>
      </c>
      <c r="C57" s="373" t="s">
        <v>3486</v>
      </c>
      <c r="D57" s="364">
        <v>193</v>
      </c>
      <c r="E57" s="47"/>
      <c r="F57" s="47"/>
      <c r="G57" s="47"/>
      <c r="H57" s="47"/>
      <c r="I57" s="47"/>
      <c r="J57" s="47"/>
      <c r="K57" s="47"/>
      <c r="L57" s="47"/>
      <c r="M57" s="47"/>
      <c r="N57" s="47"/>
      <c r="O57" s="47"/>
      <c r="P57" s="47">
        <v>97.53</v>
      </c>
      <c r="Q57" s="374">
        <f t="shared" si="3"/>
        <v>97.53</v>
      </c>
      <c r="R57" s="375" t="str">
        <f t="shared" si="4"/>
        <v>NO</v>
      </c>
      <c r="S57" s="376" t="str">
        <f t="shared" si="2"/>
        <v>Inviable Sanitariamente</v>
      </c>
      <c r="T57" s="15"/>
    </row>
    <row r="58" spans="1:20" ht="32.1" customHeight="1" x14ac:dyDescent="0.2">
      <c r="A58" s="361" t="s">
        <v>115</v>
      </c>
      <c r="B58" s="362" t="s">
        <v>3487</v>
      </c>
      <c r="C58" s="373" t="s">
        <v>3488</v>
      </c>
      <c r="D58" s="364">
        <v>70</v>
      </c>
      <c r="E58" s="47"/>
      <c r="F58" s="47"/>
      <c r="G58" s="47"/>
      <c r="H58" s="47"/>
      <c r="I58" s="47"/>
      <c r="J58" s="47"/>
      <c r="K58" s="47"/>
      <c r="L58" s="47"/>
      <c r="M58" s="47"/>
      <c r="N58" s="47"/>
      <c r="O58" s="47"/>
      <c r="P58" s="47">
        <v>53.1</v>
      </c>
      <c r="Q58" s="374">
        <f t="shared" si="3"/>
        <v>53.1</v>
      </c>
      <c r="R58" s="375" t="str">
        <f t="shared" si="4"/>
        <v>NO</v>
      </c>
      <c r="S58" s="376" t="str">
        <f t="shared" si="2"/>
        <v>Alto</v>
      </c>
      <c r="T58" s="15"/>
    </row>
    <row r="59" spans="1:20" ht="32.1" customHeight="1" x14ac:dyDescent="0.2">
      <c r="A59" s="361" t="s">
        <v>115</v>
      </c>
      <c r="B59" s="362" t="s">
        <v>351</v>
      </c>
      <c r="C59" s="373" t="s">
        <v>4426</v>
      </c>
      <c r="D59" s="364">
        <v>170</v>
      </c>
      <c r="E59" s="47"/>
      <c r="F59" s="47"/>
      <c r="G59" s="47"/>
      <c r="H59" s="47"/>
      <c r="I59" s="47"/>
      <c r="J59" s="47"/>
      <c r="K59" s="47"/>
      <c r="L59" s="47"/>
      <c r="M59" s="47"/>
      <c r="N59" s="47"/>
      <c r="O59" s="47"/>
      <c r="P59" s="47">
        <v>97.35</v>
      </c>
      <c r="Q59" s="374">
        <f t="shared" si="3"/>
        <v>97.35</v>
      </c>
      <c r="R59" s="375" t="str">
        <f t="shared" si="4"/>
        <v>NO</v>
      </c>
      <c r="S59" s="376" t="str">
        <f t="shared" si="2"/>
        <v>Inviable Sanitariamente</v>
      </c>
      <c r="T59" s="15"/>
    </row>
    <row r="60" spans="1:20" ht="32.1" customHeight="1" x14ac:dyDescent="0.2">
      <c r="A60" s="361" t="s">
        <v>115</v>
      </c>
      <c r="B60" s="362" t="s">
        <v>4270</v>
      </c>
      <c r="C60" s="373" t="s">
        <v>4271</v>
      </c>
      <c r="D60" s="364"/>
      <c r="E60" s="47"/>
      <c r="F60" s="47"/>
      <c r="G60" s="47"/>
      <c r="H60" s="47"/>
      <c r="I60" s="47"/>
      <c r="J60" s="47">
        <v>0</v>
      </c>
      <c r="K60" s="47"/>
      <c r="L60" s="47"/>
      <c r="M60" s="47"/>
      <c r="N60" s="47"/>
      <c r="O60" s="47"/>
      <c r="P60" s="47"/>
      <c r="Q60" s="374">
        <f t="shared" si="3"/>
        <v>0</v>
      </c>
      <c r="R60" s="375" t="str">
        <f t="shared" si="4"/>
        <v>SI</v>
      </c>
      <c r="S60" s="376" t="str">
        <f t="shared" si="2"/>
        <v>Sin Riesgo</v>
      </c>
      <c r="T60" s="15"/>
    </row>
    <row r="61" spans="1:20" ht="32.1" customHeight="1" x14ac:dyDescent="0.2">
      <c r="A61" s="361" t="s">
        <v>115</v>
      </c>
      <c r="B61" s="362" t="s">
        <v>4270</v>
      </c>
      <c r="C61" s="373" t="s">
        <v>4272</v>
      </c>
      <c r="D61" s="364"/>
      <c r="E61" s="47"/>
      <c r="F61" s="47"/>
      <c r="G61" s="47"/>
      <c r="H61" s="47"/>
      <c r="I61" s="47"/>
      <c r="J61" s="47">
        <v>0</v>
      </c>
      <c r="K61" s="47"/>
      <c r="L61" s="47"/>
      <c r="M61" s="47"/>
      <c r="N61" s="47"/>
      <c r="O61" s="47"/>
      <c r="P61" s="47"/>
      <c r="Q61" s="374">
        <f>AVERAGE(E61:P61)</f>
        <v>0</v>
      </c>
      <c r="R61" s="375" t="str">
        <f>IF(Q61&lt;5,"SI","NO")</f>
        <v>SI</v>
      </c>
      <c r="S61" s="376" t="str">
        <f>IF(Q61&lt;5,"Sin Riesgo",IF(Q61 &lt;=14,"Bajo",IF(Q61&lt;=35,"Medio",IF(Q61&lt;=80,"Alto","Inviable Sanitariamente"))))</f>
        <v>Sin Riesgo</v>
      </c>
      <c r="T61" s="15"/>
    </row>
    <row r="62" spans="1:20" ht="32.1" customHeight="1" x14ac:dyDescent="0.2">
      <c r="A62" s="361" t="s">
        <v>115</v>
      </c>
      <c r="B62" s="362" t="s">
        <v>352</v>
      </c>
      <c r="C62" s="373" t="s">
        <v>4427</v>
      </c>
      <c r="D62" s="364">
        <v>200</v>
      </c>
      <c r="E62" s="47"/>
      <c r="F62" s="47"/>
      <c r="G62" s="47"/>
      <c r="H62" s="47"/>
      <c r="I62" s="47"/>
      <c r="J62" s="47"/>
      <c r="K62" s="47"/>
      <c r="L62" s="47"/>
      <c r="M62" s="47"/>
      <c r="N62" s="47"/>
      <c r="O62" s="47"/>
      <c r="P62" s="47">
        <v>53.1</v>
      </c>
      <c r="Q62" s="374">
        <f t="shared" si="3"/>
        <v>53.1</v>
      </c>
      <c r="R62" s="375" t="str">
        <f t="shared" si="4"/>
        <v>NO</v>
      </c>
      <c r="S62" s="376" t="str">
        <f t="shared" si="2"/>
        <v>Alto</v>
      </c>
      <c r="T62" s="15"/>
    </row>
    <row r="63" spans="1:20" ht="32.1" customHeight="1" x14ac:dyDescent="0.2">
      <c r="A63" s="361" t="s">
        <v>3937</v>
      </c>
      <c r="B63" s="362" t="s">
        <v>483</v>
      </c>
      <c r="C63" s="373" t="s">
        <v>3489</v>
      </c>
      <c r="D63" s="364">
        <v>145</v>
      </c>
      <c r="E63" s="47">
        <v>26.54</v>
      </c>
      <c r="F63" s="47"/>
      <c r="G63" s="47">
        <v>26.54</v>
      </c>
      <c r="H63" s="47"/>
      <c r="I63" s="47">
        <v>53.1</v>
      </c>
      <c r="J63" s="47"/>
      <c r="K63" s="47">
        <v>53.1</v>
      </c>
      <c r="L63" s="47"/>
      <c r="M63" s="47">
        <v>26.55</v>
      </c>
      <c r="N63" s="47"/>
      <c r="O63" s="47">
        <v>26.55</v>
      </c>
      <c r="P63" s="47"/>
      <c r="Q63" s="374">
        <f t="shared" si="3"/>
        <v>35.396666666666668</v>
      </c>
      <c r="R63" s="375" t="str">
        <f t="shared" si="4"/>
        <v>NO</v>
      </c>
      <c r="S63" s="376" t="str">
        <f t="shared" si="2"/>
        <v>Alto</v>
      </c>
      <c r="T63" s="15"/>
    </row>
    <row r="64" spans="1:20" ht="32.1" customHeight="1" x14ac:dyDescent="0.2">
      <c r="A64" s="361" t="s">
        <v>3937</v>
      </c>
      <c r="B64" s="362" t="s">
        <v>3490</v>
      </c>
      <c r="C64" s="373" t="s">
        <v>3491</v>
      </c>
      <c r="D64" s="364">
        <v>160</v>
      </c>
      <c r="E64" s="47">
        <v>26.54</v>
      </c>
      <c r="F64" s="47"/>
      <c r="G64" s="47">
        <v>26.54</v>
      </c>
      <c r="H64" s="47"/>
      <c r="I64" s="47">
        <v>26.54</v>
      </c>
      <c r="J64" s="47"/>
      <c r="K64" s="47">
        <v>26.54</v>
      </c>
      <c r="L64" s="47"/>
      <c r="M64" s="47">
        <v>26.54</v>
      </c>
      <c r="N64" s="47"/>
      <c r="O64" s="47">
        <v>26.54</v>
      </c>
      <c r="P64" s="47"/>
      <c r="Q64" s="374">
        <f t="shared" si="3"/>
        <v>26.539999999999996</v>
      </c>
      <c r="R64" s="375" t="str">
        <f t="shared" si="4"/>
        <v>NO</v>
      </c>
      <c r="S64" s="376" t="str">
        <f t="shared" si="2"/>
        <v>Medio</v>
      </c>
      <c r="T64" s="15"/>
    </row>
    <row r="65" spans="1:20" ht="32.1" customHeight="1" x14ac:dyDescent="0.2">
      <c r="A65" s="361" t="s">
        <v>3937</v>
      </c>
      <c r="B65" s="362" t="s">
        <v>353</v>
      </c>
      <c r="C65" s="373" t="s">
        <v>3492</v>
      </c>
      <c r="D65" s="364">
        <v>35</v>
      </c>
      <c r="E65" s="47">
        <v>26.54</v>
      </c>
      <c r="F65" s="47"/>
      <c r="G65" s="47">
        <v>26.54</v>
      </c>
      <c r="H65" s="47"/>
      <c r="I65" s="47">
        <v>26.54</v>
      </c>
      <c r="J65" s="47"/>
      <c r="K65" s="47">
        <v>26.54</v>
      </c>
      <c r="L65" s="47"/>
      <c r="M65" s="47">
        <v>26.54</v>
      </c>
      <c r="N65" s="47"/>
      <c r="O65" s="47">
        <v>26.54</v>
      </c>
      <c r="P65" s="47"/>
      <c r="Q65" s="374">
        <f t="shared" si="3"/>
        <v>26.539999999999996</v>
      </c>
      <c r="R65" s="375" t="str">
        <f t="shared" si="4"/>
        <v>NO</v>
      </c>
      <c r="S65" s="376" t="str">
        <f t="shared" si="2"/>
        <v>Medio</v>
      </c>
      <c r="T65" s="15"/>
    </row>
    <row r="66" spans="1:20" ht="32.1" customHeight="1" x14ac:dyDescent="0.2">
      <c r="A66" s="361" t="s">
        <v>3937</v>
      </c>
      <c r="B66" s="362" t="s">
        <v>354</v>
      </c>
      <c r="C66" s="373" t="s">
        <v>3493</v>
      </c>
      <c r="D66" s="364">
        <v>19</v>
      </c>
      <c r="E66" s="47">
        <v>26.54</v>
      </c>
      <c r="F66" s="47"/>
      <c r="G66" s="47">
        <v>26.54</v>
      </c>
      <c r="H66" s="47"/>
      <c r="I66" s="47">
        <v>26.54</v>
      </c>
      <c r="J66" s="47"/>
      <c r="K66" s="47">
        <v>26.54</v>
      </c>
      <c r="L66" s="47"/>
      <c r="M66" s="47">
        <v>26.54</v>
      </c>
      <c r="N66" s="47"/>
      <c r="O66" s="47">
        <v>26.54</v>
      </c>
      <c r="P66" s="47"/>
      <c r="Q66" s="374">
        <f t="shared" si="3"/>
        <v>26.539999999999996</v>
      </c>
      <c r="R66" s="375" t="str">
        <f t="shared" si="4"/>
        <v>NO</v>
      </c>
      <c r="S66" s="376" t="str">
        <f t="shared" si="2"/>
        <v>Medio</v>
      </c>
      <c r="T66" s="15"/>
    </row>
    <row r="67" spans="1:20" ht="32.1" customHeight="1" x14ac:dyDescent="0.2">
      <c r="A67" s="361" t="s">
        <v>3936</v>
      </c>
      <c r="B67" s="362" t="s">
        <v>72</v>
      </c>
      <c r="C67" s="373" t="s">
        <v>3494</v>
      </c>
      <c r="D67" s="364">
        <v>55</v>
      </c>
      <c r="E67" s="47"/>
      <c r="F67" s="47"/>
      <c r="G67" s="47"/>
      <c r="H67" s="47"/>
      <c r="I67" s="47"/>
      <c r="J67" s="47"/>
      <c r="K67" s="47"/>
      <c r="L67" s="47"/>
      <c r="M67" s="47"/>
      <c r="N67" s="47"/>
      <c r="O67" s="47"/>
      <c r="P67" s="47"/>
      <c r="Q67" s="374" t="e">
        <f t="shared" si="3"/>
        <v>#DIV/0!</v>
      </c>
      <c r="R67" s="375" t="e">
        <f t="shared" si="4"/>
        <v>#DIV/0!</v>
      </c>
      <c r="S67" s="376" t="e">
        <f t="shared" si="2"/>
        <v>#DIV/0!</v>
      </c>
      <c r="T67" s="15"/>
    </row>
    <row r="68" spans="1:20" ht="32.1" customHeight="1" x14ac:dyDescent="0.2">
      <c r="A68" s="361" t="s">
        <v>3936</v>
      </c>
      <c r="B68" s="362" t="s">
        <v>355</v>
      </c>
      <c r="C68" s="373" t="s">
        <v>3495</v>
      </c>
      <c r="D68" s="364">
        <v>60</v>
      </c>
      <c r="E68" s="47"/>
      <c r="F68" s="47">
        <v>52</v>
      </c>
      <c r="G68" s="47"/>
      <c r="H68" s="47"/>
      <c r="I68" s="47"/>
      <c r="J68" s="47"/>
      <c r="K68" s="47"/>
      <c r="L68" s="47"/>
      <c r="M68" s="47"/>
      <c r="N68" s="47"/>
      <c r="O68" s="47"/>
      <c r="P68" s="47"/>
      <c r="Q68" s="374">
        <f t="shared" si="3"/>
        <v>52</v>
      </c>
      <c r="R68" s="375" t="str">
        <f t="shared" si="4"/>
        <v>NO</v>
      </c>
      <c r="S68" s="376" t="str">
        <f t="shared" si="2"/>
        <v>Alto</v>
      </c>
      <c r="T68" s="15"/>
    </row>
    <row r="69" spans="1:20" ht="32.1" customHeight="1" x14ac:dyDescent="0.2">
      <c r="A69" s="361" t="s">
        <v>3936</v>
      </c>
      <c r="B69" s="362" t="s">
        <v>356</v>
      </c>
      <c r="C69" s="373" t="s">
        <v>3496</v>
      </c>
      <c r="D69" s="364">
        <v>22</v>
      </c>
      <c r="E69" s="47"/>
      <c r="F69" s="47"/>
      <c r="G69" s="47"/>
      <c r="H69" s="47"/>
      <c r="I69" s="47"/>
      <c r="J69" s="47"/>
      <c r="K69" s="47"/>
      <c r="L69" s="47">
        <v>48</v>
      </c>
      <c r="M69" s="47"/>
      <c r="N69" s="47"/>
      <c r="O69" s="47"/>
      <c r="P69" s="47"/>
      <c r="Q69" s="374">
        <f t="shared" si="3"/>
        <v>48</v>
      </c>
      <c r="R69" s="375" t="str">
        <f t="shared" si="4"/>
        <v>NO</v>
      </c>
      <c r="S69" s="376" t="str">
        <f t="shared" si="2"/>
        <v>Alto</v>
      </c>
      <c r="T69" s="15"/>
    </row>
    <row r="70" spans="1:20" ht="32.1" customHeight="1" x14ac:dyDescent="0.2">
      <c r="A70" s="361" t="s">
        <v>3936</v>
      </c>
      <c r="B70" s="362" t="s">
        <v>358</v>
      </c>
      <c r="C70" s="373" t="s">
        <v>3497</v>
      </c>
      <c r="D70" s="364">
        <v>520</v>
      </c>
      <c r="E70" s="47"/>
      <c r="F70" s="47"/>
      <c r="G70" s="47"/>
      <c r="H70" s="47"/>
      <c r="I70" s="47"/>
      <c r="J70" s="47">
        <v>98</v>
      </c>
      <c r="K70" s="47"/>
      <c r="L70" s="47"/>
      <c r="M70" s="47"/>
      <c r="N70" s="47"/>
      <c r="O70" s="47"/>
      <c r="P70" s="47"/>
      <c r="Q70" s="374">
        <f t="shared" si="3"/>
        <v>98</v>
      </c>
      <c r="R70" s="375" t="str">
        <f t="shared" si="4"/>
        <v>NO</v>
      </c>
      <c r="S70" s="376" t="str">
        <f t="shared" si="2"/>
        <v>Inviable Sanitariamente</v>
      </c>
      <c r="T70" s="15"/>
    </row>
    <row r="71" spans="1:20" ht="32.1" customHeight="1" x14ac:dyDescent="0.2">
      <c r="A71" s="361" t="s">
        <v>3936</v>
      </c>
      <c r="B71" s="362" t="s">
        <v>3498</v>
      </c>
      <c r="C71" s="373" t="s">
        <v>3499</v>
      </c>
      <c r="D71" s="364">
        <v>70</v>
      </c>
      <c r="E71" s="47"/>
      <c r="F71" s="47"/>
      <c r="G71" s="47"/>
      <c r="H71" s="47">
        <v>53</v>
      </c>
      <c r="I71" s="47"/>
      <c r="J71" s="47"/>
      <c r="K71" s="47"/>
      <c r="L71" s="47"/>
      <c r="M71" s="47"/>
      <c r="N71" s="47"/>
      <c r="O71" s="47"/>
      <c r="P71" s="47"/>
      <c r="Q71" s="374">
        <f t="shared" si="3"/>
        <v>53</v>
      </c>
      <c r="R71" s="375" t="str">
        <f t="shared" si="4"/>
        <v>NO</v>
      </c>
      <c r="S71" s="376" t="str">
        <f t="shared" si="2"/>
        <v>Alto</v>
      </c>
      <c r="T71" s="15"/>
    </row>
    <row r="72" spans="1:20" ht="32.1" customHeight="1" x14ac:dyDescent="0.2">
      <c r="A72" s="361" t="s">
        <v>3936</v>
      </c>
      <c r="B72" s="362" t="s">
        <v>360</v>
      </c>
      <c r="C72" s="373" t="s">
        <v>3500</v>
      </c>
      <c r="D72" s="364">
        <v>74</v>
      </c>
      <c r="E72" s="47"/>
      <c r="F72" s="47">
        <v>48</v>
      </c>
      <c r="G72" s="47"/>
      <c r="H72" s="47"/>
      <c r="I72" s="47"/>
      <c r="J72" s="47"/>
      <c r="K72" s="47"/>
      <c r="L72" s="47"/>
      <c r="M72" s="47"/>
      <c r="N72" s="47"/>
      <c r="O72" s="47"/>
      <c r="P72" s="47"/>
      <c r="Q72" s="374">
        <f t="shared" si="3"/>
        <v>48</v>
      </c>
      <c r="R72" s="375" t="str">
        <f t="shared" si="4"/>
        <v>NO</v>
      </c>
      <c r="S72" s="376" t="str">
        <f t="shared" si="2"/>
        <v>Alto</v>
      </c>
      <c r="T72" s="15"/>
    </row>
    <row r="73" spans="1:20" ht="32.1" customHeight="1" x14ac:dyDescent="0.2">
      <c r="A73" s="361" t="s">
        <v>3936</v>
      </c>
      <c r="B73" s="362" t="s">
        <v>3501</v>
      </c>
      <c r="C73" s="373" t="s">
        <v>3502</v>
      </c>
      <c r="D73" s="364">
        <v>80</v>
      </c>
      <c r="E73" s="47"/>
      <c r="F73" s="47"/>
      <c r="G73" s="47"/>
      <c r="H73" s="47"/>
      <c r="I73" s="47"/>
      <c r="J73" s="47"/>
      <c r="K73" s="47"/>
      <c r="L73" s="47"/>
      <c r="M73" s="47"/>
      <c r="N73" s="47"/>
      <c r="O73" s="47"/>
      <c r="P73" s="47">
        <v>54</v>
      </c>
      <c r="Q73" s="374">
        <f t="shared" si="3"/>
        <v>54</v>
      </c>
      <c r="R73" s="375" t="str">
        <f t="shared" si="4"/>
        <v>NO</v>
      </c>
      <c r="S73" s="376" t="str">
        <f t="shared" si="2"/>
        <v>Alto</v>
      </c>
      <c r="T73" s="15"/>
    </row>
    <row r="74" spans="1:20" ht="32.1" customHeight="1" x14ac:dyDescent="0.2">
      <c r="A74" s="361" t="s">
        <v>3936</v>
      </c>
      <c r="B74" s="362" t="s">
        <v>359</v>
      </c>
      <c r="C74" s="373" t="s">
        <v>3503</v>
      </c>
      <c r="D74" s="364">
        <v>10</v>
      </c>
      <c r="E74" s="47"/>
      <c r="F74" s="47"/>
      <c r="G74" s="47"/>
      <c r="H74" s="47"/>
      <c r="I74" s="47"/>
      <c r="J74" s="47"/>
      <c r="K74" s="47"/>
      <c r="L74" s="47"/>
      <c r="M74" s="47"/>
      <c r="N74" s="47"/>
      <c r="O74" s="47"/>
      <c r="P74" s="47">
        <v>53</v>
      </c>
      <c r="Q74" s="374">
        <f t="shared" si="3"/>
        <v>53</v>
      </c>
      <c r="R74" s="375" t="str">
        <f t="shared" si="4"/>
        <v>NO</v>
      </c>
      <c r="S74" s="376" t="str">
        <f t="shared" si="2"/>
        <v>Alto</v>
      </c>
      <c r="T74" s="15"/>
    </row>
    <row r="75" spans="1:20" ht="32.1" customHeight="1" x14ac:dyDescent="0.2">
      <c r="A75" s="361" t="s">
        <v>3936</v>
      </c>
      <c r="B75" s="362" t="s">
        <v>1036</v>
      </c>
      <c r="C75" s="373" t="s">
        <v>3504</v>
      </c>
      <c r="D75" s="364">
        <v>30</v>
      </c>
      <c r="E75" s="47"/>
      <c r="F75" s="47"/>
      <c r="G75" s="47"/>
      <c r="H75" s="47"/>
      <c r="I75" s="47"/>
      <c r="J75" s="47"/>
      <c r="K75" s="47"/>
      <c r="L75" s="47"/>
      <c r="M75" s="47"/>
      <c r="N75" s="47"/>
      <c r="O75" s="47"/>
      <c r="P75" s="47">
        <v>53</v>
      </c>
      <c r="Q75" s="374">
        <f t="shared" si="3"/>
        <v>53</v>
      </c>
      <c r="R75" s="375" t="str">
        <f t="shared" si="4"/>
        <v>NO</v>
      </c>
      <c r="S75" s="376" t="str">
        <f t="shared" si="2"/>
        <v>Alto</v>
      </c>
      <c r="T75" s="15"/>
    </row>
    <row r="76" spans="1:20" ht="32.1" customHeight="1" x14ac:dyDescent="0.2">
      <c r="A76" s="361" t="s">
        <v>3936</v>
      </c>
      <c r="B76" s="362" t="s">
        <v>73</v>
      </c>
      <c r="C76" s="373" t="s">
        <v>3505</v>
      </c>
      <c r="D76" s="364">
        <v>32</v>
      </c>
      <c r="E76" s="47"/>
      <c r="F76" s="47"/>
      <c r="G76" s="47"/>
      <c r="H76" s="47"/>
      <c r="I76" s="47"/>
      <c r="J76" s="47">
        <v>53</v>
      </c>
      <c r="K76" s="47"/>
      <c r="L76" s="47"/>
      <c r="M76" s="47"/>
      <c r="N76" s="47"/>
      <c r="O76" s="47"/>
      <c r="P76" s="47"/>
      <c r="Q76" s="374">
        <f t="shared" si="3"/>
        <v>53</v>
      </c>
      <c r="R76" s="375" t="str">
        <f t="shared" si="4"/>
        <v>NO</v>
      </c>
      <c r="S76" s="376" t="str">
        <f t="shared" si="2"/>
        <v>Alto</v>
      </c>
      <c r="T76" s="15"/>
    </row>
    <row r="77" spans="1:20" ht="32.1" customHeight="1" x14ac:dyDescent="0.2">
      <c r="A77" s="361" t="s">
        <v>3936</v>
      </c>
      <c r="B77" s="362" t="s">
        <v>357</v>
      </c>
      <c r="C77" s="373" t="s">
        <v>3506</v>
      </c>
      <c r="D77" s="364">
        <v>1321</v>
      </c>
      <c r="E77" s="47">
        <v>0</v>
      </c>
      <c r="F77" s="47">
        <v>0</v>
      </c>
      <c r="G77" s="47">
        <v>0</v>
      </c>
      <c r="H77" s="47">
        <v>0</v>
      </c>
      <c r="I77" s="47">
        <v>0</v>
      </c>
      <c r="J77" s="47">
        <v>0</v>
      </c>
      <c r="K77" s="47">
        <v>0</v>
      </c>
      <c r="L77" s="47">
        <v>0</v>
      </c>
      <c r="M77" s="47">
        <v>0</v>
      </c>
      <c r="N77" s="47">
        <v>0</v>
      </c>
      <c r="O77" s="47">
        <v>0</v>
      </c>
      <c r="P77" s="47">
        <v>0</v>
      </c>
      <c r="Q77" s="374">
        <f t="shared" si="3"/>
        <v>0</v>
      </c>
      <c r="R77" s="375" t="str">
        <f t="shared" si="4"/>
        <v>SI</v>
      </c>
      <c r="S77" s="376" t="str">
        <f t="shared" si="2"/>
        <v>Sin Riesgo</v>
      </c>
      <c r="T77" s="15"/>
    </row>
    <row r="78" spans="1:20" ht="32.1" customHeight="1" x14ac:dyDescent="0.2">
      <c r="A78" s="361" t="s">
        <v>3936</v>
      </c>
      <c r="B78" s="362" t="s">
        <v>361</v>
      </c>
      <c r="C78" s="373" t="s">
        <v>3507</v>
      </c>
      <c r="D78" s="364">
        <v>25</v>
      </c>
      <c r="E78" s="47"/>
      <c r="F78" s="47"/>
      <c r="G78" s="47"/>
      <c r="H78" s="47"/>
      <c r="I78" s="47"/>
      <c r="J78" s="47"/>
      <c r="K78" s="47"/>
      <c r="L78" s="47"/>
      <c r="M78" s="47"/>
      <c r="N78" s="47"/>
      <c r="O78" s="47"/>
      <c r="P78" s="47"/>
      <c r="Q78" s="374" t="e">
        <f t="shared" si="3"/>
        <v>#DIV/0!</v>
      </c>
      <c r="R78" s="375" t="e">
        <f t="shared" si="4"/>
        <v>#DIV/0!</v>
      </c>
      <c r="S78" s="376" t="e">
        <f t="shared" si="2"/>
        <v>#DIV/0!</v>
      </c>
      <c r="T78" s="15"/>
    </row>
    <row r="79" spans="1:20" ht="32.1" customHeight="1" x14ac:dyDescent="0.2">
      <c r="A79" s="361" t="s">
        <v>3936</v>
      </c>
      <c r="B79" s="362" t="s">
        <v>3508</v>
      </c>
      <c r="C79" s="373" t="s">
        <v>3508</v>
      </c>
      <c r="D79" s="364">
        <v>45</v>
      </c>
      <c r="E79" s="47"/>
      <c r="F79" s="47"/>
      <c r="G79" s="47"/>
      <c r="H79" s="47"/>
      <c r="I79" s="47"/>
      <c r="J79" s="47"/>
      <c r="K79" s="47"/>
      <c r="L79" s="47"/>
      <c r="M79" s="47"/>
      <c r="N79" s="47"/>
      <c r="O79" s="47"/>
      <c r="P79" s="47"/>
      <c r="Q79" s="374" t="e">
        <f t="shared" ref="Q79:Q101" si="5">AVERAGE(E79:P79)</f>
        <v>#DIV/0!</v>
      </c>
      <c r="R79" s="375" t="e">
        <f t="shared" ref="R79:R101" si="6">IF(Q79&lt;5,"SI","NO")</f>
        <v>#DIV/0!</v>
      </c>
      <c r="S79" s="376" t="e">
        <f t="shared" ref="S79:S127" si="7">IF(Q79&lt;5,"Sin Riesgo",IF(Q79 &lt;=14,"Bajo",IF(Q79&lt;=35,"Medio",IF(Q79&lt;=80,"Alto","Inviable Sanitariamente"))))</f>
        <v>#DIV/0!</v>
      </c>
      <c r="T79" s="15"/>
    </row>
    <row r="80" spans="1:20" ht="32.1" customHeight="1" x14ac:dyDescent="0.2">
      <c r="A80" s="361" t="s">
        <v>3936</v>
      </c>
      <c r="B80" s="362" t="s">
        <v>470</v>
      </c>
      <c r="C80" s="373" t="s">
        <v>3509</v>
      </c>
      <c r="D80" s="364">
        <v>30</v>
      </c>
      <c r="E80" s="47"/>
      <c r="F80" s="47"/>
      <c r="G80" s="47"/>
      <c r="H80" s="47"/>
      <c r="I80" s="47"/>
      <c r="J80" s="47"/>
      <c r="K80" s="47"/>
      <c r="L80" s="47"/>
      <c r="M80" s="47"/>
      <c r="N80" s="47"/>
      <c r="O80" s="47"/>
      <c r="P80" s="47">
        <v>54</v>
      </c>
      <c r="Q80" s="374">
        <f t="shared" si="5"/>
        <v>54</v>
      </c>
      <c r="R80" s="375" t="str">
        <f t="shared" si="6"/>
        <v>NO</v>
      </c>
      <c r="S80" s="376" t="str">
        <f t="shared" si="7"/>
        <v>Alto</v>
      </c>
      <c r="T80" s="15"/>
    </row>
    <row r="81" spans="1:20" ht="32.1" customHeight="1" x14ac:dyDescent="0.2">
      <c r="A81" s="361" t="s">
        <v>3938</v>
      </c>
      <c r="B81" s="362" t="s">
        <v>476</v>
      </c>
      <c r="C81" s="373" t="s">
        <v>3515</v>
      </c>
      <c r="D81" s="364">
        <v>400</v>
      </c>
      <c r="E81" s="47"/>
      <c r="F81" s="47"/>
      <c r="G81" s="47"/>
      <c r="H81" s="47"/>
      <c r="I81" s="47"/>
      <c r="J81" s="47">
        <v>97.35</v>
      </c>
      <c r="K81" s="47"/>
      <c r="L81" s="47"/>
      <c r="M81" s="47"/>
      <c r="N81" s="47"/>
      <c r="O81" s="47"/>
      <c r="P81" s="47">
        <v>97.35</v>
      </c>
      <c r="Q81" s="374">
        <f t="shared" si="5"/>
        <v>97.35</v>
      </c>
      <c r="R81" s="375" t="str">
        <f t="shared" si="6"/>
        <v>NO</v>
      </c>
      <c r="S81" s="376" t="str">
        <f t="shared" si="7"/>
        <v>Inviable Sanitariamente</v>
      </c>
      <c r="T81" s="15"/>
    </row>
    <row r="82" spans="1:20" ht="32.1" customHeight="1" x14ac:dyDescent="0.2">
      <c r="A82" s="361" t="s">
        <v>3938</v>
      </c>
      <c r="B82" s="362" t="s">
        <v>472</v>
      </c>
      <c r="C82" s="373" t="s">
        <v>3535</v>
      </c>
      <c r="D82" s="364">
        <v>113</v>
      </c>
      <c r="E82" s="47"/>
      <c r="F82" s="47"/>
      <c r="G82" s="47"/>
      <c r="H82" s="47"/>
      <c r="I82" s="47"/>
      <c r="J82" s="47"/>
      <c r="K82" s="47"/>
      <c r="L82" s="47"/>
      <c r="M82" s="47"/>
      <c r="N82" s="47"/>
      <c r="O82" s="47"/>
      <c r="P82" s="47"/>
      <c r="Q82" s="374" t="e">
        <f t="shared" si="5"/>
        <v>#DIV/0!</v>
      </c>
      <c r="R82" s="375" t="e">
        <f t="shared" si="6"/>
        <v>#DIV/0!</v>
      </c>
      <c r="S82" s="376" t="e">
        <f t="shared" si="7"/>
        <v>#DIV/0!</v>
      </c>
      <c r="T82" s="15"/>
    </row>
    <row r="83" spans="1:20" ht="32.1" customHeight="1" x14ac:dyDescent="0.2">
      <c r="A83" s="361" t="s">
        <v>3938</v>
      </c>
      <c r="B83" s="362" t="s">
        <v>428</v>
      </c>
      <c r="C83" s="373" t="s">
        <v>3516</v>
      </c>
      <c r="D83" s="364">
        <v>205</v>
      </c>
      <c r="E83" s="47"/>
      <c r="F83" s="47"/>
      <c r="G83" s="47"/>
      <c r="H83" s="47"/>
      <c r="I83" s="47"/>
      <c r="J83" s="47">
        <v>97.35</v>
      </c>
      <c r="K83" s="47"/>
      <c r="L83" s="47"/>
      <c r="M83" s="47"/>
      <c r="N83" s="47"/>
      <c r="O83" s="47"/>
      <c r="P83" s="47">
        <v>97.35</v>
      </c>
      <c r="Q83" s="374">
        <f t="shared" si="5"/>
        <v>97.35</v>
      </c>
      <c r="R83" s="375" t="str">
        <f t="shared" si="6"/>
        <v>NO</v>
      </c>
      <c r="S83" s="376" t="str">
        <f t="shared" si="7"/>
        <v>Inviable Sanitariamente</v>
      </c>
      <c r="T83" s="15"/>
    </row>
    <row r="84" spans="1:20" ht="32.1" customHeight="1" x14ac:dyDescent="0.2">
      <c r="A84" s="361" t="s">
        <v>3938</v>
      </c>
      <c r="B84" s="362" t="s">
        <v>479</v>
      </c>
      <c r="C84" s="373" t="s">
        <v>3517</v>
      </c>
      <c r="D84" s="364">
        <v>15</v>
      </c>
      <c r="E84" s="47"/>
      <c r="F84" s="47"/>
      <c r="G84" s="47"/>
      <c r="H84" s="47"/>
      <c r="I84" s="47"/>
      <c r="J84" s="47">
        <v>97.35</v>
      </c>
      <c r="K84" s="47"/>
      <c r="L84" s="47"/>
      <c r="M84" s="47"/>
      <c r="N84" s="47"/>
      <c r="O84" s="47"/>
      <c r="P84" s="47">
        <v>97.35</v>
      </c>
      <c r="Q84" s="374">
        <f t="shared" si="5"/>
        <v>97.35</v>
      </c>
      <c r="R84" s="375" t="str">
        <f t="shared" si="6"/>
        <v>NO</v>
      </c>
      <c r="S84" s="376" t="str">
        <f t="shared" si="7"/>
        <v>Inviable Sanitariamente</v>
      </c>
      <c r="T84" s="15"/>
    </row>
    <row r="85" spans="1:20" ht="32.1" customHeight="1" x14ac:dyDescent="0.2">
      <c r="A85" s="361" t="s">
        <v>3938</v>
      </c>
      <c r="B85" s="362" t="s">
        <v>484</v>
      </c>
      <c r="C85" s="373" t="s">
        <v>3518</v>
      </c>
      <c r="D85" s="364">
        <v>940</v>
      </c>
      <c r="E85" s="47"/>
      <c r="F85" s="47"/>
      <c r="G85" s="47"/>
      <c r="H85" s="47"/>
      <c r="I85" s="47"/>
      <c r="J85" s="47">
        <v>100</v>
      </c>
      <c r="K85" s="47"/>
      <c r="L85" s="47"/>
      <c r="M85" s="47"/>
      <c r="N85" s="47"/>
      <c r="O85" s="47"/>
      <c r="P85" s="47"/>
      <c r="Q85" s="374">
        <f t="shared" si="5"/>
        <v>100</v>
      </c>
      <c r="R85" s="375" t="str">
        <f t="shared" si="6"/>
        <v>NO</v>
      </c>
      <c r="S85" s="376" t="str">
        <f t="shared" si="7"/>
        <v>Inviable Sanitariamente</v>
      </c>
      <c r="T85" s="15"/>
    </row>
    <row r="86" spans="1:20" ht="32.1" customHeight="1" x14ac:dyDescent="0.2">
      <c r="A86" s="361" t="s">
        <v>3938</v>
      </c>
      <c r="B86" s="362" t="s">
        <v>3510</v>
      </c>
      <c r="C86" s="373" t="s">
        <v>3519</v>
      </c>
      <c r="D86" s="364">
        <v>135</v>
      </c>
      <c r="E86" s="47"/>
      <c r="F86" s="47"/>
      <c r="G86" s="47"/>
      <c r="H86" s="47"/>
      <c r="I86" s="47"/>
      <c r="J86" s="47">
        <v>100</v>
      </c>
      <c r="K86" s="47"/>
      <c r="L86" s="47"/>
      <c r="M86" s="47"/>
      <c r="N86" s="47"/>
      <c r="O86" s="47"/>
      <c r="P86" s="47"/>
      <c r="Q86" s="374">
        <f t="shared" si="5"/>
        <v>100</v>
      </c>
      <c r="R86" s="375" t="str">
        <f t="shared" si="6"/>
        <v>NO</v>
      </c>
      <c r="S86" s="376" t="str">
        <f t="shared" si="7"/>
        <v>Inviable Sanitariamente</v>
      </c>
      <c r="T86" s="15"/>
    </row>
    <row r="87" spans="1:20" ht="32.1" customHeight="1" x14ac:dyDescent="0.2">
      <c r="A87" s="361" t="s">
        <v>3938</v>
      </c>
      <c r="B87" s="362" t="s">
        <v>471</v>
      </c>
      <c r="C87" s="373" t="s">
        <v>3520</v>
      </c>
      <c r="D87" s="364">
        <v>98</v>
      </c>
      <c r="E87" s="47"/>
      <c r="F87" s="47"/>
      <c r="G87" s="47"/>
      <c r="H87" s="47"/>
      <c r="I87" s="47"/>
      <c r="J87" s="47">
        <v>100</v>
      </c>
      <c r="K87" s="47"/>
      <c r="L87" s="47"/>
      <c r="M87" s="47"/>
      <c r="N87" s="47"/>
      <c r="O87" s="47"/>
      <c r="P87" s="47"/>
      <c r="Q87" s="374">
        <f t="shared" si="5"/>
        <v>100</v>
      </c>
      <c r="R87" s="375" t="str">
        <f t="shared" si="6"/>
        <v>NO</v>
      </c>
      <c r="S87" s="376" t="str">
        <f t="shared" si="7"/>
        <v>Inviable Sanitariamente</v>
      </c>
      <c r="T87" s="16"/>
    </row>
    <row r="88" spans="1:20" ht="32.1" customHeight="1" x14ac:dyDescent="0.2">
      <c r="A88" s="361" t="s">
        <v>3938</v>
      </c>
      <c r="B88" s="362" t="s">
        <v>3511</v>
      </c>
      <c r="C88" s="373" t="s">
        <v>3521</v>
      </c>
      <c r="D88" s="364">
        <v>40</v>
      </c>
      <c r="E88" s="47"/>
      <c r="F88" s="47"/>
      <c r="G88" s="47"/>
      <c r="H88" s="47"/>
      <c r="I88" s="47"/>
      <c r="J88" s="47">
        <v>100</v>
      </c>
      <c r="K88" s="47"/>
      <c r="L88" s="47"/>
      <c r="M88" s="47"/>
      <c r="N88" s="47"/>
      <c r="O88" s="47"/>
      <c r="P88" s="47"/>
      <c r="Q88" s="374">
        <f t="shared" si="5"/>
        <v>100</v>
      </c>
      <c r="R88" s="375" t="str">
        <f t="shared" si="6"/>
        <v>NO</v>
      </c>
      <c r="S88" s="376" t="str">
        <f t="shared" si="7"/>
        <v>Inviable Sanitariamente</v>
      </c>
      <c r="T88" s="16"/>
    </row>
    <row r="89" spans="1:20" ht="32.1" customHeight="1" x14ac:dyDescent="0.2">
      <c r="A89" s="361" t="s">
        <v>3938</v>
      </c>
      <c r="B89" s="362" t="s">
        <v>478</v>
      </c>
      <c r="C89" s="373" t="s">
        <v>3522</v>
      </c>
      <c r="D89" s="364">
        <v>20</v>
      </c>
      <c r="E89" s="47"/>
      <c r="F89" s="47"/>
      <c r="G89" s="47"/>
      <c r="H89" s="47"/>
      <c r="I89" s="47"/>
      <c r="J89" s="47">
        <v>100</v>
      </c>
      <c r="K89" s="47"/>
      <c r="L89" s="47"/>
      <c r="M89" s="47"/>
      <c r="N89" s="47"/>
      <c r="O89" s="47"/>
      <c r="P89" s="47">
        <v>100</v>
      </c>
      <c r="Q89" s="374">
        <f t="shared" si="5"/>
        <v>100</v>
      </c>
      <c r="R89" s="375" t="str">
        <f t="shared" si="6"/>
        <v>NO</v>
      </c>
      <c r="S89" s="376" t="str">
        <f t="shared" si="7"/>
        <v>Inviable Sanitariamente</v>
      </c>
      <c r="T89" s="16"/>
    </row>
    <row r="90" spans="1:20" ht="32.1" customHeight="1" x14ac:dyDescent="0.2">
      <c r="A90" s="361" t="s">
        <v>3938</v>
      </c>
      <c r="B90" s="362" t="s">
        <v>3512</v>
      </c>
      <c r="C90" s="373" t="s">
        <v>3523</v>
      </c>
      <c r="D90" s="364"/>
      <c r="E90" s="47"/>
      <c r="F90" s="47"/>
      <c r="G90" s="47"/>
      <c r="H90" s="47"/>
      <c r="I90" s="47"/>
      <c r="J90" s="47"/>
      <c r="K90" s="47"/>
      <c r="L90" s="47"/>
      <c r="M90" s="47"/>
      <c r="N90" s="47"/>
      <c r="O90" s="47"/>
      <c r="P90" s="47"/>
      <c r="Q90" s="374" t="e">
        <f t="shared" si="5"/>
        <v>#DIV/0!</v>
      </c>
      <c r="R90" s="375" t="e">
        <f t="shared" si="6"/>
        <v>#DIV/0!</v>
      </c>
      <c r="S90" s="376" t="e">
        <f t="shared" si="7"/>
        <v>#DIV/0!</v>
      </c>
      <c r="T90" s="16"/>
    </row>
    <row r="91" spans="1:20" ht="32.1" customHeight="1" x14ac:dyDescent="0.2">
      <c r="A91" s="361" t="s">
        <v>3938</v>
      </c>
      <c r="B91" s="362" t="s">
        <v>475</v>
      </c>
      <c r="C91" s="373" t="s">
        <v>3524</v>
      </c>
      <c r="D91" s="364">
        <v>70</v>
      </c>
      <c r="E91" s="47"/>
      <c r="F91" s="47"/>
      <c r="G91" s="47"/>
      <c r="H91" s="47"/>
      <c r="I91" s="47"/>
      <c r="J91" s="47">
        <v>100</v>
      </c>
      <c r="K91" s="47"/>
      <c r="L91" s="47"/>
      <c r="M91" s="47"/>
      <c r="N91" s="47"/>
      <c r="O91" s="47"/>
      <c r="P91" s="47">
        <v>100</v>
      </c>
      <c r="Q91" s="374">
        <f t="shared" si="5"/>
        <v>100</v>
      </c>
      <c r="R91" s="375" t="str">
        <f t="shared" si="6"/>
        <v>NO</v>
      </c>
      <c r="S91" s="376" t="str">
        <f t="shared" si="7"/>
        <v>Inviable Sanitariamente</v>
      </c>
      <c r="T91" s="16"/>
    </row>
    <row r="92" spans="1:20" ht="32.1" customHeight="1" x14ac:dyDescent="0.2">
      <c r="A92" s="361" t="s">
        <v>3938</v>
      </c>
      <c r="B92" s="362" t="s">
        <v>362</v>
      </c>
      <c r="C92" s="373" t="s">
        <v>3525</v>
      </c>
      <c r="D92" s="364">
        <v>42</v>
      </c>
      <c r="E92" s="47"/>
      <c r="F92" s="47"/>
      <c r="G92" s="47"/>
      <c r="H92" s="47"/>
      <c r="I92" s="47"/>
      <c r="J92" s="47">
        <v>97.35</v>
      </c>
      <c r="K92" s="47"/>
      <c r="L92" s="47"/>
      <c r="M92" s="47"/>
      <c r="N92" s="47"/>
      <c r="O92" s="47"/>
      <c r="P92" s="47">
        <v>97.35</v>
      </c>
      <c r="Q92" s="374">
        <f t="shared" si="5"/>
        <v>97.35</v>
      </c>
      <c r="R92" s="375" t="str">
        <f t="shared" si="6"/>
        <v>NO</v>
      </c>
      <c r="S92" s="376" t="str">
        <f t="shared" si="7"/>
        <v>Inviable Sanitariamente</v>
      </c>
      <c r="T92" s="16"/>
    </row>
    <row r="93" spans="1:20" ht="32.1" customHeight="1" x14ac:dyDescent="0.2">
      <c r="A93" s="361" t="s">
        <v>3938</v>
      </c>
      <c r="B93" s="362" t="s">
        <v>363</v>
      </c>
      <c r="C93" s="373" t="s">
        <v>3526</v>
      </c>
      <c r="D93" s="364">
        <v>91</v>
      </c>
      <c r="E93" s="47"/>
      <c r="F93" s="47"/>
      <c r="G93" s="47"/>
      <c r="H93" s="47"/>
      <c r="I93" s="47"/>
      <c r="J93" s="47">
        <v>100</v>
      </c>
      <c r="K93" s="47"/>
      <c r="L93" s="47"/>
      <c r="M93" s="47"/>
      <c r="N93" s="47"/>
      <c r="O93" s="47"/>
      <c r="P93" s="47">
        <v>100</v>
      </c>
      <c r="Q93" s="374">
        <f t="shared" si="5"/>
        <v>100</v>
      </c>
      <c r="R93" s="375" t="str">
        <f t="shared" si="6"/>
        <v>NO</v>
      </c>
      <c r="S93" s="376" t="str">
        <f t="shared" si="7"/>
        <v>Inviable Sanitariamente</v>
      </c>
      <c r="T93" s="16"/>
    </row>
    <row r="94" spans="1:20" ht="32.1" customHeight="1" x14ac:dyDescent="0.2">
      <c r="A94" s="361" t="s">
        <v>3938</v>
      </c>
      <c r="B94" s="362" t="s">
        <v>473</v>
      </c>
      <c r="C94" s="373" t="s">
        <v>3527</v>
      </c>
      <c r="D94" s="364">
        <v>140</v>
      </c>
      <c r="E94" s="47"/>
      <c r="F94" s="47"/>
      <c r="G94" s="47"/>
      <c r="H94" s="47"/>
      <c r="I94" s="47"/>
      <c r="J94" s="47">
        <v>97.35</v>
      </c>
      <c r="K94" s="47"/>
      <c r="L94" s="47"/>
      <c r="M94" s="47"/>
      <c r="N94" s="47"/>
      <c r="O94" s="47"/>
      <c r="P94" s="47">
        <v>97.35</v>
      </c>
      <c r="Q94" s="374">
        <f t="shared" si="5"/>
        <v>97.35</v>
      </c>
      <c r="R94" s="375" t="str">
        <f t="shared" si="6"/>
        <v>NO</v>
      </c>
      <c r="S94" s="376" t="str">
        <f t="shared" si="7"/>
        <v>Inviable Sanitariamente</v>
      </c>
      <c r="T94" s="16"/>
    </row>
    <row r="95" spans="1:20" ht="32.1" customHeight="1" x14ac:dyDescent="0.2">
      <c r="A95" s="361" t="s">
        <v>3938</v>
      </c>
      <c r="B95" s="362" t="s">
        <v>364</v>
      </c>
      <c r="C95" s="373" t="s">
        <v>3528</v>
      </c>
      <c r="D95" s="364">
        <v>375</v>
      </c>
      <c r="E95" s="47"/>
      <c r="F95" s="47"/>
      <c r="G95" s="47"/>
      <c r="H95" s="47"/>
      <c r="I95" s="47"/>
      <c r="J95" s="47">
        <v>97.35</v>
      </c>
      <c r="K95" s="47"/>
      <c r="L95" s="47"/>
      <c r="M95" s="47"/>
      <c r="N95" s="47"/>
      <c r="O95" s="47"/>
      <c r="P95" s="47">
        <v>97.35</v>
      </c>
      <c r="Q95" s="374">
        <f t="shared" si="5"/>
        <v>97.35</v>
      </c>
      <c r="R95" s="375" t="str">
        <f t="shared" si="6"/>
        <v>NO</v>
      </c>
      <c r="S95" s="376" t="str">
        <f t="shared" si="7"/>
        <v>Inviable Sanitariamente</v>
      </c>
      <c r="T95" s="16"/>
    </row>
    <row r="96" spans="1:20" s="31" customFormat="1" ht="32.1" customHeight="1" x14ac:dyDescent="0.2">
      <c r="A96" s="361" t="s">
        <v>3938</v>
      </c>
      <c r="B96" s="362" t="s">
        <v>238</v>
      </c>
      <c r="C96" s="373" t="s">
        <v>3529</v>
      </c>
      <c r="D96" s="364">
        <v>38</v>
      </c>
      <c r="E96" s="47"/>
      <c r="F96" s="47"/>
      <c r="G96" s="47"/>
      <c r="H96" s="47"/>
      <c r="I96" s="47"/>
      <c r="J96" s="47">
        <v>97.35</v>
      </c>
      <c r="K96" s="47"/>
      <c r="L96" s="47"/>
      <c r="M96" s="47"/>
      <c r="N96" s="47"/>
      <c r="O96" s="47"/>
      <c r="P96" s="47">
        <v>97.35</v>
      </c>
      <c r="Q96" s="374">
        <f t="shared" si="5"/>
        <v>97.35</v>
      </c>
      <c r="R96" s="375" t="str">
        <f t="shared" si="6"/>
        <v>NO</v>
      </c>
      <c r="S96" s="376" t="str">
        <f t="shared" si="7"/>
        <v>Inviable Sanitariamente</v>
      </c>
      <c r="T96" s="30"/>
    </row>
    <row r="97" spans="1:20" s="22" customFormat="1" ht="32.1" customHeight="1" x14ac:dyDescent="0.2">
      <c r="A97" s="361" t="s">
        <v>3938</v>
      </c>
      <c r="B97" s="362" t="s">
        <v>3513</v>
      </c>
      <c r="C97" s="373" t="s">
        <v>3530</v>
      </c>
      <c r="D97" s="364">
        <v>22</v>
      </c>
      <c r="E97" s="47"/>
      <c r="F97" s="47"/>
      <c r="G97" s="47"/>
      <c r="H97" s="47"/>
      <c r="I97" s="47"/>
      <c r="J97" s="47">
        <v>97.35</v>
      </c>
      <c r="K97" s="47"/>
      <c r="L97" s="47"/>
      <c r="M97" s="47"/>
      <c r="N97" s="47"/>
      <c r="O97" s="47"/>
      <c r="P97" s="47">
        <v>97.35</v>
      </c>
      <c r="Q97" s="374">
        <f t="shared" si="5"/>
        <v>97.35</v>
      </c>
      <c r="R97" s="375" t="str">
        <f t="shared" si="6"/>
        <v>NO</v>
      </c>
      <c r="S97" s="376" t="str">
        <f t="shared" si="7"/>
        <v>Inviable Sanitariamente</v>
      </c>
      <c r="T97" s="21"/>
    </row>
    <row r="98" spans="1:20" ht="32.1" customHeight="1" x14ac:dyDescent="0.2">
      <c r="A98" s="361" t="s">
        <v>3938</v>
      </c>
      <c r="B98" s="362" t="s">
        <v>425</v>
      </c>
      <c r="C98" s="373" t="s">
        <v>3531</v>
      </c>
      <c r="D98" s="364">
        <v>90</v>
      </c>
      <c r="E98" s="47"/>
      <c r="F98" s="47"/>
      <c r="G98" s="47"/>
      <c r="H98" s="47"/>
      <c r="I98" s="47"/>
      <c r="J98" s="47">
        <v>0</v>
      </c>
      <c r="K98" s="47"/>
      <c r="L98" s="47"/>
      <c r="M98" s="47"/>
      <c r="N98" s="47"/>
      <c r="O98" s="47"/>
      <c r="P98" s="47"/>
      <c r="Q98" s="374">
        <f t="shared" si="5"/>
        <v>0</v>
      </c>
      <c r="R98" s="375" t="str">
        <f t="shared" si="6"/>
        <v>SI</v>
      </c>
      <c r="S98" s="376" t="str">
        <f t="shared" si="7"/>
        <v>Sin Riesgo</v>
      </c>
      <c r="T98" s="16"/>
    </row>
    <row r="99" spans="1:20" ht="32.1" customHeight="1" x14ac:dyDescent="0.2">
      <c r="A99" s="361" t="s">
        <v>3938</v>
      </c>
      <c r="B99" s="362" t="s">
        <v>424</v>
      </c>
      <c r="C99" s="373" t="s">
        <v>3532</v>
      </c>
      <c r="D99" s="364">
        <v>90</v>
      </c>
      <c r="E99" s="47"/>
      <c r="F99" s="47"/>
      <c r="G99" s="47"/>
      <c r="H99" s="47"/>
      <c r="I99" s="47"/>
      <c r="J99" s="47">
        <v>0</v>
      </c>
      <c r="K99" s="47"/>
      <c r="L99" s="47"/>
      <c r="M99" s="47"/>
      <c r="N99" s="47"/>
      <c r="O99" s="47"/>
      <c r="P99" s="47"/>
      <c r="Q99" s="374">
        <f t="shared" si="5"/>
        <v>0</v>
      </c>
      <c r="R99" s="375" t="str">
        <f t="shared" si="6"/>
        <v>SI</v>
      </c>
      <c r="S99" s="376" t="str">
        <f t="shared" si="7"/>
        <v>Sin Riesgo</v>
      </c>
      <c r="T99" s="16"/>
    </row>
    <row r="100" spans="1:20" ht="32.1" customHeight="1" x14ac:dyDescent="0.2">
      <c r="A100" s="361" t="s">
        <v>3938</v>
      </c>
      <c r="B100" s="362" t="s">
        <v>3514</v>
      </c>
      <c r="C100" s="373" t="s">
        <v>3533</v>
      </c>
      <c r="D100" s="364">
        <v>90</v>
      </c>
      <c r="E100" s="47"/>
      <c r="F100" s="47"/>
      <c r="G100" s="47"/>
      <c r="H100" s="47"/>
      <c r="I100" s="47"/>
      <c r="J100" s="47">
        <v>0</v>
      </c>
      <c r="K100" s="47"/>
      <c r="L100" s="47"/>
      <c r="M100" s="47"/>
      <c r="N100" s="47"/>
      <c r="O100" s="47"/>
      <c r="P100" s="47"/>
      <c r="Q100" s="374">
        <f t="shared" si="5"/>
        <v>0</v>
      </c>
      <c r="R100" s="375" t="str">
        <f t="shared" si="6"/>
        <v>SI</v>
      </c>
      <c r="S100" s="376" t="str">
        <f t="shared" si="7"/>
        <v>Sin Riesgo</v>
      </c>
      <c r="T100" s="16"/>
    </row>
    <row r="101" spans="1:20" ht="32.1" customHeight="1" x14ac:dyDescent="0.2">
      <c r="A101" s="361" t="s">
        <v>3938</v>
      </c>
      <c r="B101" s="362" t="s">
        <v>423</v>
      </c>
      <c r="C101" s="373" t="s">
        <v>3534</v>
      </c>
      <c r="D101" s="364">
        <v>380</v>
      </c>
      <c r="E101" s="47"/>
      <c r="F101" s="47"/>
      <c r="G101" s="47"/>
      <c r="H101" s="47"/>
      <c r="I101" s="47"/>
      <c r="J101" s="47">
        <v>0</v>
      </c>
      <c r="K101" s="47"/>
      <c r="L101" s="47"/>
      <c r="M101" s="47"/>
      <c r="N101" s="47"/>
      <c r="O101" s="47"/>
      <c r="P101" s="47"/>
      <c r="Q101" s="374">
        <f t="shared" si="5"/>
        <v>0</v>
      </c>
      <c r="R101" s="375" t="str">
        <f t="shared" si="6"/>
        <v>SI</v>
      </c>
      <c r="S101" s="376" t="str">
        <f t="shared" si="7"/>
        <v>Sin Riesgo</v>
      </c>
      <c r="T101" s="16"/>
    </row>
    <row r="102" spans="1:20" ht="32.1" customHeight="1" x14ac:dyDescent="0.2">
      <c r="A102" s="361" t="s">
        <v>3938</v>
      </c>
      <c r="B102" s="361" t="s">
        <v>477</v>
      </c>
      <c r="C102" s="378" t="s">
        <v>3535</v>
      </c>
      <c r="D102" s="372"/>
      <c r="E102" s="47"/>
      <c r="F102" s="47"/>
      <c r="G102" s="47"/>
      <c r="H102" s="47"/>
      <c r="I102" s="47"/>
      <c r="J102" s="47"/>
      <c r="K102" s="47"/>
      <c r="L102" s="47"/>
      <c r="M102" s="47"/>
      <c r="N102" s="47"/>
      <c r="O102" s="47"/>
      <c r="P102" s="47"/>
      <c r="Q102" s="374" t="e">
        <v>#DIV/0!</v>
      </c>
      <c r="R102" s="375" t="e">
        <v>#DIV/0!</v>
      </c>
      <c r="S102" s="376" t="e">
        <f t="shared" si="7"/>
        <v>#DIV/0!</v>
      </c>
      <c r="T102" s="16"/>
    </row>
    <row r="103" spans="1:20" ht="32.1" customHeight="1" x14ac:dyDescent="0.2">
      <c r="A103" s="361" t="s">
        <v>3938</v>
      </c>
      <c r="B103" s="361" t="s">
        <v>474</v>
      </c>
      <c r="C103" s="378" t="s">
        <v>3536</v>
      </c>
      <c r="D103" s="372"/>
      <c r="E103" s="47"/>
      <c r="F103" s="47"/>
      <c r="G103" s="47"/>
      <c r="H103" s="47"/>
      <c r="I103" s="47"/>
      <c r="J103" s="47"/>
      <c r="K103" s="47"/>
      <c r="L103" s="47"/>
      <c r="M103" s="47"/>
      <c r="N103" s="47"/>
      <c r="O103" s="47"/>
      <c r="P103" s="47"/>
      <c r="Q103" s="374" t="e">
        <v>#DIV/0!</v>
      </c>
      <c r="R103" s="375" t="e">
        <v>#DIV/0!</v>
      </c>
      <c r="S103" s="376" t="e">
        <f t="shared" si="7"/>
        <v>#DIV/0!</v>
      </c>
      <c r="T103" s="16"/>
    </row>
    <row r="104" spans="1:20" ht="32.1" customHeight="1" x14ac:dyDescent="0.2">
      <c r="A104" s="361" t="s">
        <v>3644</v>
      </c>
      <c r="B104" s="379" t="s">
        <v>3538</v>
      </c>
      <c r="C104" s="380" t="s">
        <v>3542</v>
      </c>
      <c r="D104" s="364">
        <v>285</v>
      </c>
      <c r="E104" s="47">
        <v>98.8</v>
      </c>
      <c r="F104" s="47"/>
      <c r="G104" s="47"/>
      <c r="H104" s="47"/>
      <c r="I104" s="47"/>
      <c r="J104" s="47"/>
      <c r="K104" s="47"/>
      <c r="L104" s="47"/>
      <c r="M104" s="47"/>
      <c r="N104" s="47"/>
      <c r="O104" s="47"/>
      <c r="P104" s="47"/>
      <c r="Q104" s="374">
        <f t="shared" ref="Q104:Q127" si="8">AVERAGE(E104:P104)</f>
        <v>98.8</v>
      </c>
      <c r="R104" s="375" t="str">
        <f t="shared" ref="R104:R127" si="9">IF(Q104&lt;5,"SI","NO")</f>
        <v>NO</v>
      </c>
      <c r="S104" s="376" t="str">
        <f t="shared" si="7"/>
        <v>Inviable Sanitariamente</v>
      </c>
      <c r="T104" s="16"/>
    </row>
    <row r="105" spans="1:20" ht="32.1" customHeight="1" x14ac:dyDescent="0.2">
      <c r="A105" s="361" t="s">
        <v>3644</v>
      </c>
      <c r="B105" s="379" t="s">
        <v>3539</v>
      </c>
      <c r="C105" s="380" t="s">
        <v>3542</v>
      </c>
      <c r="D105" s="364">
        <v>232</v>
      </c>
      <c r="E105" s="47"/>
      <c r="F105" s="47"/>
      <c r="G105" s="47"/>
      <c r="H105" s="47">
        <v>99.9</v>
      </c>
      <c r="I105" s="47"/>
      <c r="J105" s="47"/>
      <c r="K105" s="47"/>
      <c r="L105" s="47"/>
      <c r="M105" s="47"/>
      <c r="N105" s="47"/>
      <c r="O105" s="47"/>
      <c r="P105" s="47"/>
      <c r="Q105" s="374">
        <f t="shared" si="8"/>
        <v>99.9</v>
      </c>
      <c r="R105" s="375" t="str">
        <f t="shared" si="9"/>
        <v>NO</v>
      </c>
      <c r="S105" s="376" t="str">
        <f t="shared" si="7"/>
        <v>Inviable Sanitariamente</v>
      </c>
      <c r="T105" s="16"/>
    </row>
    <row r="106" spans="1:20" ht="32.1" customHeight="1" x14ac:dyDescent="0.2">
      <c r="A106" s="361" t="s">
        <v>3644</v>
      </c>
      <c r="B106" s="379" t="s">
        <v>3540</v>
      </c>
      <c r="C106" s="380" t="s">
        <v>3542</v>
      </c>
      <c r="D106" s="364">
        <v>421</v>
      </c>
      <c r="E106" s="47">
        <v>98.8</v>
      </c>
      <c r="F106" s="47"/>
      <c r="G106" s="47"/>
      <c r="H106" s="47"/>
      <c r="I106" s="47"/>
      <c r="J106" s="47"/>
      <c r="K106" s="47"/>
      <c r="L106" s="47"/>
      <c r="M106" s="47"/>
      <c r="N106" s="47"/>
      <c r="O106" s="47"/>
      <c r="P106" s="47"/>
      <c r="Q106" s="374">
        <f t="shared" si="8"/>
        <v>98.8</v>
      </c>
      <c r="R106" s="375" t="str">
        <f t="shared" si="9"/>
        <v>NO</v>
      </c>
      <c r="S106" s="376" t="str">
        <f t="shared" si="7"/>
        <v>Inviable Sanitariamente</v>
      </c>
      <c r="T106" s="16"/>
    </row>
    <row r="107" spans="1:20" ht="32.1" customHeight="1" x14ac:dyDescent="0.2">
      <c r="A107" s="361" t="s">
        <v>3644</v>
      </c>
      <c r="B107" s="379" t="s">
        <v>3541</v>
      </c>
      <c r="C107" s="380" t="s">
        <v>3542</v>
      </c>
      <c r="D107" s="364">
        <v>250</v>
      </c>
      <c r="E107" s="47"/>
      <c r="F107" s="47"/>
      <c r="G107" s="47">
        <v>99.1</v>
      </c>
      <c r="H107" s="47"/>
      <c r="I107" s="47"/>
      <c r="J107" s="47"/>
      <c r="K107" s="47"/>
      <c r="L107" s="47"/>
      <c r="M107" s="47"/>
      <c r="N107" s="47"/>
      <c r="O107" s="47"/>
      <c r="P107" s="47"/>
      <c r="Q107" s="374">
        <f t="shared" si="8"/>
        <v>99.1</v>
      </c>
      <c r="R107" s="375" t="str">
        <f t="shared" si="9"/>
        <v>NO</v>
      </c>
      <c r="S107" s="376" t="str">
        <f t="shared" si="7"/>
        <v>Inviable Sanitariamente</v>
      </c>
      <c r="T107" s="16"/>
    </row>
    <row r="108" spans="1:20" ht="32.1" customHeight="1" x14ac:dyDescent="0.2">
      <c r="A108" s="361" t="s">
        <v>120</v>
      </c>
      <c r="B108" s="362" t="s">
        <v>6</v>
      </c>
      <c r="C108" s="373" t="s">
        <v>3537</v>
      </c>
      <c r="D108" s="364">
        <v>420</v>
      </c>
      <c r="E108" s="47"/>
      <c r="F108" s="47">
        <v>53.1</v>
      </c>
      <c r="G108" s="47"/>
      <c r="H108" s="47"/>
      <c r="I108" s="47"/>
      <c r="J108" s="47"/>
      <c r="K108" s="47"/>
      <c r="L108" s="47"/>
      <c r="M108" s="47"/>
      <c r="N108" s="47"/>
      <c r="O108" s="47"/>
      <c r="P108" s="47"/>
      <c r="Q108" s="374">
        <f t="shared" si="8"/>
        <v>53.1</v>
      </c>
      <c r="R108" s="375" t="str">
        <f t="shared" si="9"/>
        <v>NO</v>
      </c>
      <c r="S108" s="376" t="str">
        <f t="shared" si="7"/>
        <v>Alto</v>
      </c>
      <c r="T108" s="16"/>
    </row>
    <row r="109" spans="1:20" ht="32.1" customHeight="1" x14ac:dyDescent="0.2">
      <c r="A109" s="361" t="s">
        <v>120</v>
      </c>
      <c r="B109" s="362" t="s">
        <v>367</v>
      </c>
      <c r="C109" s="373" t="s">
        <v>3543</v>
      </c>
      <c r="D109" s="364">
        <v>80</v>
      </c>
      <c r="E109" s="47"/>
      <c r="F109" s="47">
        <v>97.35</v>
      </c>
      <c r="G109" s="47"/>
      <c r="H109" s="47"/>
      <c r="I109" s="47"/>
      <c r="J109" s="47"/>
      <c r="K109" s="47"/>
      <c r="L109" s="47"/>
      <c r="M109" s="47"/>
      <c r="N109" s="47"/>
      <c r="O109" s="47"/>
      <c r="P109" s="47"/>
      <c r="Q109" s="374">
        <f t="shared" si="8"/>
        <v>97.35</v>
      </c>
      <c r="R109" s="375" t="str">
        <f t="shared" si="9"/>
        <v>NO</v>
      </c>
      <c r="S109" s="376" t="str">
        <f t="shared" si="7"/>
        <v>Inviable Sanitariamente</v>
      </c>
      <c r="T109" s="16"/>
    </row>
    <row r="110" spans="1:20" ht="32.1" customHeight="1" x14ac:dyDescent="0.2">
      <c r="A110" s="361" t="s">
        <v>120</v>
      </c>
      <c r="B110" s="362" t="s">
        <v>365</v>
      </c>
      <c r="C110" s="373" t="s">
        <v>3544</v>
      </c>
      <c r="D110" s="364">
        <v>158</v>
      </c>
      <c r="E110" s="47"/>
      <c r="F110" s="47">
        <v>97.35</v>
      </c>
      <c r="G110" s="47"/>
      <c r="H110" s="47"/>
      <c r="I110" s="47"/>
      <c r="J110" s="47"/>
      <c r="K110" s="47"/>
      <c r="L110" s="47"/>
      <c r="M110" s="47"/>
      <c r="N110" s="47"/>
      <c r="O110" s="47"/>
      <c r="P110" s="47"/>
      <c r="Q110" s="374">
        <f t="shared" si="8"/>
        <v>97.35</v>
      </c>
      <c r="R110" s="375" t="str">
        <f t="shared" si="9"/>
        <v>NO</v>
      </c>
      <c r="S110" s="376" t="str">
        <f t="shared" si="7"/>
        <v>Inviable Sanitariamente</v>
      </c>
      <c r="T110" s="16"/>
    </row>
    <row r="111" spans="1:20" ht="32.1" customHeight="1" x14ac:dyDescent="0.2">
      <c r="A111" s="361" t="s">
        <v>120</v>
      </c>
      <c r="B111" s="362" t="s">
        <v>366</v>
      </c>
      <c r="C111" s="373" t="s">
        <v>3545</v>
      </c>
      <c r="D111" s="364">
        <v>30</v>
      </c>
      <c r="E111" s="47"/>
      <c r="F111" s="47">
        <v>97.35</v>
      </c>
      <c r="G111" s="47"/>
      <c r="H111" s="47"/>
      <c r="I111" s="47"/>
      <c r="J111" s="47"/>
      <c r="K111" s="47"/>
      <c r="L111" s="47"/>
      <c r="M111" s="47"/>
      <c r="N111" s="47"/>
      <c r="O111" s="47"/>
      <c r="P111" s="47"/>
      <c r="Q111" s="374">
        <f t="shared" si="8"/>
        <v>97.35</v>
      </c>
      <c r="R111" s="375" t="str">
        <f t="shared" si="9"/>
        <v>NO</v>
      </c>
      <c r="S111" s="376" t="str">
        <f t="shared" si="7"/>
        <v>Inviable Sanitariamente</v>
      </c>
      <c r="T111" s="16"/>
    </row>
    <row r="112" spans="1:20" ht="32.1" customHeight="1" x14ac:dyDescent="0.2">
      <c r="A112" s="361" t="s">
        <v>120</v>
      </c>
      <c r="B112" s="362" t="s">
        <v>83</v>
      </c>
      <c r="C112" s="373" t="s">
        <v>3546</v>
      </c>
      <c r="D112" s="364">
        <v>22</v>
      </c>
      <c r="E112" s="47"/>
      <c r="F112" s="47"/>
      <c r="G112" s="47">
        <v>97.35</v>
      </c>
      <c r="H112" s="47"/>
      <c r="I112" s="47"/>
      <c r="J112" s="47"/>
      <c r="K112" s="47"/>
      <c r="L112" s="47"/>
      <c r="M112" s="47"/>
      <c r="N112" s="47"/>
      <c r="O112" s="47"/>
      <c r="P112" s="47"/>
      <c r="Q112" s="374">
        <f t="shared" si="8"/>
        <v>97.35</v>
      </c>
      <c r="R112" s="375" t="str">
        <f t="shared" si="9"/>
        <v>NO</v>
      </c>
      <c r="S112" s="376" t="str">
        <f t="shared" si="7"/>
        <v>Inviable Sanitariamente</v>
      </c>
      <c r="T112" s="16"/>
    </row>
    <row r="113" spans="1:20" ht="32.1" customHeight="1" x14ac:dyDescent="0.2">
      <c r="A113" s="361" t="s">
        <v>120</v>
      </c>
      <c r="B113" s="362" t="s">
        <v>4188</v>
      </c>
      <c r="C113" s="373" t="s">
        <v>4189</v>
      </c>
      <c r="D113" s="364">
        <v>70</v>
      </c>
      <c r="E113" s="47"/>
      <c r="F113" s="47">
        <v>53.1</v>
      </c>
      <c r="G113" s="47"/>
      <c r="H113" s="47"/>
      <c r="I113" s="47"/>
      <c r="J113" s="47"/>
      <c r="K113" s="47"/>
      <c r="L113" s="47"/>
      <c r="M113" s="47"/>
      <c r="N113" s="47"/>
      <c r="O113" s="47"/>
      <c r="P113" s="47"/>
      <c r="Q113" s="374">
        <f>AVERAGE(E113:P113)</f>
        <v>53.1</v>
      </c>
      <c r="R113" s="375" t="str">
        <f t="shared" si="9"/>
        <v>NO</v>
      </c>
      <c r="S113" s="376" t="str">
        <f t="shared" si="7"/>
        <v>Alto</v>
      </c>
      <c r="T113" s="16"/>
    </row>
    <row r="114" spans="1:20" ht="32.1" customHeight="1" x14ac:dyDescent="0.2">
      <c r="A114" s="361" t="s">
        <v>122</v>
      </c>
      <c r="B114" s="362" t="s">
        <v>462</v>
      </c>
      <c r="C114" s="373" t="s">
        <v>3547</v>
      </c>
      <c r="D114" s="364">
        <v>98</v>
      </c>
      <c r="E114" s="47">
        <v>97.35</v>
      </c>
      <c r="F114" s="47"/>
      <c r="G114" s="47"/>
      <c r="H114" s="47"/>
      <c r="I114" s="47">
        <v>26.55</v>
      </c>
      <c r="J114" s="47">
        <v>26.55</v>
      </c>
      <c r="K114" s="47">
        <v>97.35</v>
      </c>
      <c r="L114" s="47"/>
      <c r="M114" s="47">
        <v>90.3</v>
      </c>
      <c r="N114" s="47"/>
      <c r="O114" s="47">
        <v>70.959999999999994</v>
      </c>
      <c r="P114" s="47"/>
      <c r="Q114" s="374">
        <f t="shared" si="8"/>
        <v>68.176666666666662</v>
      </c>
      <c r="R114" s="375" t="str">
        <f t="shared" si="9"/>
        <v>NO</v>
      </c>
      <c r="S114" s="376" t="str">
        <f t="shared" si="7"/>
        <v>Alto</v>
      </c>
    </row>
    <row r="115" spans="1:20" ht="32.1" customHeight="1" x14ac:dyDescent="0.2">
      <c r="A115" s="361" t="s">
        <v>122</v>
      </c>
      <c r="B115" s="362" t="s">
        <v>4</v>
      </c>
      <c r="C115" s="373" t="s">
        <v>3548</v>
      </c>
      <c r="D115" s="364">
        <v>899</v>
      </c>
      <c r="E115" s="47"/>
      <c r="F115" s="47"/>
      <c r="G115" s="47"/>
      <c r="H115" s="47"/>
      <c r="I115" s="47"/>
      <c r="J115" s="47"/>
      <c r="K115" s="47"/>
      <c r="L115" s="47"/>
      <c r="M115" s="47"/>
      <c r="N115" s="47">
        <v>70.790000000000006</v>
      </c>
      <c r="O115" s="47"/>
      <c r="P115" s="47"/>
      <c r="Q115" s="374">
        <f t="shared" si="8"/>
        <v>70.790000000000006</v>
      </c>
      <c r="R115" s="375" t="str">
        <f t="shared" si="9"/>
        <v>NO</v>
      </c>
      <c r="S115" s="376" t="str">
        <f t="shared" si="7"/>
        <v>Alto</v>
      </c>
    </row>
    <row r="116" spans="1:20" ht="32.1" customHeight="1" x14ac:dyDescent="0.2">
      <c r="A116" s="361" t="s">
        <v>122</v>
      </c>
      <c r="B116" s="362" t="s">
        <v>463</v>
      </c>
      <c r="C116" s="373" t="s">
        <v>3549</v>
      </c>
      <c r="D116" s="364">
        <v>21</v>
      </c>
      <c r="E116" s="47">
        <v>97.35</v>
      </c>
      <c r="F116" s="47">
        <v>97.35</v>
      </c>
      <c r="G116" s="47"/>
      <c r="H116" s="47"/>
      <c r="I116" s="47">
        <v>26.55</v>
      </c>
      <c r="J116" s="47">
        <v>0</v>
      </c>
      <c r="K116" s="47">
        <v>0</v>
      </c>
      <c r="L116" s="47">
        <v>82.84</v>
      </c>
      <c r="M116" s="47">
        <v>19.350000000000001</v>
      </c>
      <c r="N116" s="47"/>
      <c r="O116" s="47">
        <v>90.32</v>
      </c>
      <c r="P116" s="47"/>
      <c r="Q116" s="374">
        <f t="shared" si="8"/>
        <v>51.720000000000006</v>
      </c>
      <c r="R116" s="375" t="str">
        <f t="shared" si="9"/>
        <v>NO</v>
      </c>
      <c r="S116" s="376" t="str">
        <f t="shared" si="7"/>
        <v>Alto</v>
      </c>
    </row>
    <row r="117" spans="1:20" ht="32.1" customHeight="1" x14ac:dyDescent="0.2">
      <c r="A117" s="361" t="s">
        <v>122</v>
      </c>
      <c r="B117" s="362" t="s">
        <v>464</v>
      </c>
      <c r="C117" s="373" t="s">
        <v>3550</v>
      </c>
      <c r="D117" s="364">
        <v>18</v>
      </c>
      <c r="E117" s="47">
        <v>0</v>
      </c>
      <c r="F117" s="47"/>
      <c r="G117" s="47"/>
      <c r="H117" s="47"/>
      <c r="I117" s="47"/>
      <c r="J117" s="47"/>
      <c r="K117" s="47">
        <v>53.09</v>
      </c>
      <c r="L117" s="47"/>
      <c r="M117" s="47">
        <v>90.32</v>
      </c>
      <c r="N117" s="47"/>
      <c r="O117" s="47">
        <v>98.06</v>
      </c>
      <c r="P117" s="47"/>
      <c r="Q117" s="374">
        <f t="shared" si="8"/>
        <v>60.3675</v>
      </c>
      <c r="R117" s="375" t="str">
        <f t="shared" si="9"/>
        <v>NO</v>
      </c>
      <c r="S117" s="376" t="str">
        <f t="shared" si="7"/>
        <v>Alto</v>
      </c>
    </row>
    <row r="118" spans="1:20" ht="32.1" customHeight="1" x14ac:dyDescent="0.2">
      <c r="A118" s="361" t="s">
        <v>122</v>
      </c>
      <c r="B118" s="362" t="s">
        <v>374</v>
      </c>
      <c r="C118" s="373" t="s">
        <v>3551</v>
      </c>
      <c r="D118" s="364">
        <v>250</v>
      </c>
      <c r="E118" s="47"/>
      <c r="F118" s="47"/>
      <c r="G118" s="47"/>
      <c r="H118" s="47"/>
      <c r="I118" s="47"/>
      <c r="J118" s="47"/>
      <c r="K118" s="47"/>
      <c r="L118" s="47">
        <v>53.09</v>
      </c>
      <c r="M118" s="47"/>
      <c r="N118" s="47"/>
      <c r="O118" s="47"/>
      <c r="P118" s="47"/>
      <c r="Q118" s="374">
        <f t="shared" si="8"/>
        <v>53.09</v>
      </c>
      <c r="R118" s="375" t="str">
        <f t="shared" si="9"/>
        <v>NO</v>
      </c>
      <c r="S118" s="376" t="str">
        <f t="shared" si="7"/>
        <v>Alto</v>
      </c>
    </row>
    <row r="119" spans="1:20" ht="32.1" customHeight="1" x14ac:dyDescent="0.2">
      <c r="A119" s="361" t="s">
        <v>122</v>
      </c>
      <c r="B119" s="362" t="s">
        <v>375</v>
      </c>
      <c r="C119" s="373" t="s">
        <v>3552</v>
      </c>
      <c r="D119" s="364">
        <v>150</v>
      </c>
      <c r="E119" s="47"/>
      <c r="F119" s="47"/>
      <c r="G119" s="47"/>
      <c r="H119" s="47"/>
      <c r="I119" s="47"/>
      <c r="J119" s="47"/>
      <c r="K119" s="47"/>
      <c r="L119" s="47"/>
      <c r="M119" s="47"/>
      <c r="N119" s="47"/>
      <c r="O119" s="47"/>
      <c r="P119" s="47"/>
      <c r="Q119" s="374" t="e">
        <f t="shared" si="8"/>
        <v>#DIV/0!</v>
      </c>
      <c r="R119" s="375" t="e">
        <f t="shared" si="9"/>
        <v>#DIV/0!</v>
      </c>
      <c r="S119" s="376" t="e">
        <f t="shared" si="7"/>
        <v>#DIV/0!</v>
      </c>
    </row>
    <row r="120" spans="1:20" ht="32.1" customHeight="1" x14ac:dyDescent="0.2">
      <c r="A120" s="361" t="s">
        <v>122</v>
      </c>
      <c r="B120" s="362" t="s">
        <v>373</v>
      </c>
      <c r="C120" s="373" t="s">
        <v>3553</v>
      </c>
      <c r="D120" s="364">
        <v>490</v>
      </c>
      <c r="E120" s="47"/>
      <c r="F120" s="47"/>
      <c r="G120" s="47"/>
      <c r="H120" s="47"/>
      <c r="I120" s="47"/>
      <c r="J120" s="47"/>
      <c r="K120" s="47"/>
      <c r="L120" s="47"/>
      <c r="M120" s="47">
        <v>97.34</v>
      </c>
      <c r="N120" s="47"/>
      <c r="O120" s="47"/>
      <c r="P120" s="47"/>
      <c r="Q120" s="374">
        <f t="shared" si="8"/>
        <v>97.34</v>
      </c>
      <c r="R120" s="375" t="str">
        <f t="shared" si="9"/>
        <v>NO</v>
      </c>
      <c r="S120" s="376" t="str">
        <f t="shared" si="7"/>
        <v>Inviable Sanitariamente</v>
      </c>
    </row>
    <row r="121" spans="1:20" ht="32.1" customHeight="1" x14ac:dyDescent="0.2">
      <c r="A121" s="361" t="s">
        <v>122</v>
      </c>
      <c r="B121" s="362" t="s">
        <v>465</v>
      </c>
      <c r="C121" s="373" t="s">
        <v>3554</v>
      </c>
      <c r="D121" s="364">
        <v>564</v>
      </c>
      <c r="E121" s="47">
        <v>0</v>
      </c>
      <c r="F121" s="47"/>
      <c r="G121" s="47"/>
      <c r="H121" s="47"/>
      <c r="I121" s="47"/>
      <c r="J121" s="47"/>
      <c r="K121" s="47">
        <v>53.09</v>
      </c>
      <c r="L121" s="47"/>
      <c r="M121" s="47">
        <v>98.06</v>
      </c>
      <c r="N121" s="47"/>
      <c r="O121" s="47">
        <v>98.06</v>
      </c>
      <c r="P121" s="47"/>
      <c r="Q121" s="374">
        <f t="shared" si="8"/>
        <v>62.302500000000002</v>
      </c>
      <c r="R121" s="375" t="str">
        <f t="shared" si="9"/>
        <v>NO</v>
      </c>
      <c r="S121" s="376" t="str">
        <f t="shared" si="7"/>
        <v>Alto</v>
      </c>
    </row>
    <row r="122" spans="1:20" ht="30" customHeight="1" x14ac:dyDescent="0.2">
      <c r="A122" s="361" t="s">
        <v>122</v>
      </c>
      <c r="B122" s="362" t="s">
        <v>480</v>
      </c>
      <c r="C122" s="373" t="s">
        <v>3555</v>
      </c>
      <c r="D122" s="364">
        <v>21</v>
      </c>
      <c r="E122" s="47">
        <v>97.35</v>
      </c>
      <c r="F122" s="47"/>
      <c r="G122" s="47"/>
      <c r="H122" s="47"/>
      <c r="I122" s="47">
        <v>53.1</v>
      </c>
      <c r="J122" s="47">
        <v>97.35</v>
      </c>
      <c r="K122" s="47">
        <v>97.34</v>
      </c>
      <c r="L122" s="47">
        <v>82.84</v>
      </c>
      <c r="M122" s="47">
        <v>98.06</v>
      </c>
      <c r="N122" s="47"/>
      <c r="O122" s="47">
        <v>98.06</v>
      </c>
      <c r="P122" s="47"/>
      <c r="Q122" s="374">
        <f t="shared" si="8"/>
        <v>89.157142857142844</v>
      </c>
      <c r="R122" s="381" t="str">
        <f t="shared" si="9"/>
        <v>NO</v>
      </c>
      <c r="S122" s="376" t="str">
        <f t="shared" si="7"/>
        <v>Inviable Sanitariamente</v>
      </c>
    </row>
    <row r="123" spans="1:20" ht="30" customHeight="1" x14ac:dyDescent="0.2">
      <c r="A123" s="361" t="s">
        <v>122</v>
      </c>
      <c r="B123" s="362" t="s">
        <v>369</v>
      </c>
      <c r="C123" s="373" t="s">
        <v>3556</v>
      </c>
      <c r="D123" s="364">
        <v>1158</v>
      </c>
      <c r="E123" s="47">
        <v>0</v>
      </c>
      <c r="F123" s="47">
        <v>0</v>
      </c>
      <c r="G123" s="47">
        <v>0</v>
      </c>
      <c r="H123" s="47">
        <v>0</v>
      </c>
      <c r="I123" s="47">
        <v>0</v>
      </c>
      <c r="J123" s="47">
        <v>0</v>
      </c>
      <c r="K123" s="47">
        <v>0</v>
      </c>
      <c r="L123" s="47">
        <v>19.350000000000001</v>
      </c>
      <c r="M123" s="47">
        <v>3.55</v>
      </c>
      <c r="N123" s="47">
        <v>0</v>
      </c>
      <c r="O123" s="47">
        <v>0</v>
      </c>
      <c r="P123" s="47">
        <v>0</v>
      </c>
      <c r="Q123" s="374">
        <f t="shared" si="8"/>
        <v>1.9083333333333334</v>
      </c>
      <c r="R123" s="382" t="str">
        <f t="shared" si="9"/>
        <v>SI</v>
      </c>
      <c r="S123" s="376" t="str">
        <f t="shared" si="7"/>
        <v>Sin Riesgo</v>
      </c>
    </row>
    <row r="124" spans="1:20" ht="30" customHeight="1" x14ac:dyDescent="0.2">
      <c r="A124" s="361" t="s">
        <v>122</v>
      </c>
      <c r="B124" s="362" t="s">
        <v>368</v>
      </c>
      <c r="C124" s="373" t="s">
        <v>3557</v>
      </c>
      <c r="D124" s="364">
        <v>5.0650000000000004</v>
      </c>
      <c r="E124" s="47">
        <v>7.74</v>
      </c>
      <c r="F124" s="47">
        <v>0</v>
      </c>
      <c r="G124" s="47">
        <v>0</v>
      </c>
      <c r="H124" s="47">
        <v>0</v>
      </c>
      <c r="I124" s="47">
        <v>0</v>
      </c>
      <c r="J124" s="47">
        <v>0</v>
      </c>
      <c r="K124" s="47">
        <v>0</v>
      </c>
      <c r="L124" s="47">
        <v>0</v>
      </c>
      <c r="M124" s="47">
        <v>0</v>
      </c>
      <c r="N124" s="47">
        <v>0</v>
      </c>
      <c r="O124" s="47">
        <v>0</v>
      </c>
      <c r="P124" s="47">
        <v>0</v>
      </c>
      <c r="Q124" s="374">
        <f t="shared" si="8"/>
        <v>0.64500000000000002</v>
      </c>
      <c r="R124" s="375" t="str">
        <f t="shared" si="9"/>
        <v>SI</v>
      </c>
      <c r="S124" s="376" t="str">
        <f t="shared" si="7"/>
        <v>Sin Riesgo</v>
      </c>
    </row>
    <row r="125" spans="1:20" ht="30" customHeight="1" x14ac:dyDescent="0.2">
      <c r="A125" s="361" t="s">
        <v>122</v>
      </c>
      <c r="B125" s="362" t="s">
        <v>370</v>
      </c>
      <c r="C125" s="373" t="s">
        <v>3558</v>
      </c>
      <c r="D125" s="364">
        <v>2663</v>
      </c>
      <c r="E125" s="47">
        <v>19.350000000000001</v>
      </c>
      <c r="F125" s="47">
        <v>0</v>
      </c>
      <c r="G125" s="47">
        <v>0</v>
      </c>
      <c r="H125" s="47">
        <v>0</v>
      </c>
      <c r="I125" s="47">
        <v>0</v>
      </c>
      <c r="J125" s="47">
        <v>0</v>
      </c>
      <c r="K125" s="47">
        <v>0</v>
      </c>
      <c r="L125" s="47">
        <v>0</v>
      </c>
      <c r="M125" s="47">
        <v>3.52</v>
      </c>
      <c r="N125" s="47">
        <v>0</v>
      </c>
      <c r="O125" s="47">
        <v>0</v>
      </c>
      <c r="P125" s="47">
        <v>0</v>
      </c>
      <c r="Q125" s="374">
        <f t="shared" si="8"/>
        <v>1.9058333333333335</v>
      </c>
      <c r="R125" s="375" t="str">
        <f t="shared" si="9"/>
        <v>SI</v>
      </c>
      <c r="S125" s="376" t="str">
        <f t="shared" si="7"/>
        <v>Sin Riesgo</v>
      </c>
    </row>
    <row r="126" spans="1:20" ht="30" customHeight="1" x14ac:dyDescent="0.2">
      <c r="A126" s="361" t="s">
        <v>122</v>
      </c>
      <c r="B126" s="362" t="s">
        <v>371</v>
      </c>
      <c r="C126" s="373" t="s">
        <v>3559</v>
      </c>
      <c r="D126" s="364">
        <v>751</v>
      </c>
      <c r="E126" s="47"/>
      <c r="F126" s="47"/>
      <c r="G126" s="47"/>
      <c r="H126" s="47"/>
      <c r="I126" s="47"/>
      <c r="J126" s="47"/>
      <c r="K126" s="47"/>
      <c r="L126" s="47"/>
      <c r="M126" s="47"/>
      <c r="N126" s="47"/>
      <c r="O126" s="47"/>
      <c r="P126" s="47"/>
      <c r="Q126" s="374" t="e">
        <f t="shared" si="8"/>
        <v>#DIV/0!</v>
      </c>
      <c r="R126" s="381" t="e">
        <f t="shared" si="9"/>
        <v>#DIV/0!</v>
      </c>
      <c r="S126" s="376" t="e">
        <f t="shared" si="7"/>
        <v>#DIV/0!</v>
      </c>
    </row>
    <row r="127" spans="1:20" ht="33" customHeight="1" x14ac:dyDescent="0.2">
      <c r="A127" s="361" t="s">
        <v>122</v>
      </c>
      <c r="B127" s="362" t="s">
        <v>372</v>
      </c>
      <c r="C127" s="373" t="s">
        <v>3560</v>
      </c>
      <c r="D127" s="364">
        <v>120</v>
      </c>
      <c r="E127" s="47"/>
      <c r="F127" s="47"/>
      <c r="G127" s="47"/>
      <c r="H127" s="47"/>
      <c r="I127" s="47"/>
      <c r="J127" s="47"/>
      <c r="K127" s="47"/>
      <c r="L127" s="47"/>
      <c r="M127" s="47"/>
      <c r="N127" s="47"/>
      <c r="O127" s="47"/>
      <c r="P127" s="47"/>
      <c r="Q127" s="374" t="e">
        <f t="shared" si="8"/>
        <v>#DIV/0!</v>
      </c>
      <c r="R127" s="381" t="e">
        <f t="shared" si="9"/>
        <v>#DIV/0!</v>
      </c>
      <c r="S127" s="376" t="e">
        <f t="shared" si="7"/>
        <v>#DIV/0!</v>
      </c>
    </row>
    <row r="128" spans="1:20" ht="30" customHeight="1" x14ac:dyDescent="0.2">
      <c r="A128" s="242"/>
      <c r="B128" s="194"/>
      <c r="C128" s="194"/>
      <c r="D128" s="243"/>
      <c r="E128" s="244"/>
      <c r="F128" s="244"/>
      <c r="G128" s="244"/>
      <c r="H128" s="244"/>
      <c r="I128" s="244"/>
      <c r="J128" s="244"/>
      <c r="K128" s="244"/>
      <c r="L128" s="244"/>
      <c r="M128" s="244"/>
      <c r="N128" s="244"/>
      <c r="O128" s="244"/>
      <c r="P128" s="244"/>
      <c r="Q128" s="260"/>
      <c r="R128" s="260"/>
      <c r="S128" s="261"/>
    </row>
    <row r="129" spans="1:19" ht="30" customHeight="1" x14ac:dyDescent="0.2">
      <c r="A129" s="94"/>
    </row>
    <row r="130" spans="1:19" ht="51" customHeight="1" x14ac:dyDescent="0.2">
      <c r="A130" s="268" t="s">
        <v>4123</v>
      </c>
      <c r="B130" s="267" t="s">
        <v>4185</v>
      </c>
      <c r="C130" s="509" t="s">
        <v>4567</v>
      </c>
      <c r="D130" s="510"/>
      <c r="E130" s="510"/>
      <c r="F130" s="510"/>
      <c r="G130" s="510"/>
      <c r="H130" s="510"/>
      <c r="I130" s="510"/>
      <c r="J130" s="510"/>
      <c r="K130" s="510"/>
      <c r="L130" s="510"/>
      <c r="M130" s="510"/>
      <c r="N130" s="510"/>
      <c r="O130" s="510"/>
      <c r="P130" s="510"/>
      <c r="Q130" s="510"/>
      <c r="R130" s="510"/>
      <c r="S130" s="510"/>
    </row>
    <row r="131" spans="1:19" ht="30" customHeight="1" x14ac:dyDescent="0.2">
      <c r="A131" s="262" t="s">
        <v>4071</v>
      </c>
      <c r="B131" s="270">
        <f>COUNTIF(E11:P127,"&lt;=5")</f>
        <v>68</v>
      </c>
      <c r="C131" s="303"/>
      <c r="D131" s="304"/>
      <c r="E131" s="304"/>
      <c r="F131" s="304"/>
    </row>
    <row r="132" spans="1:19" ht="30" customHeight="1" x14ac:dyDescent="0.2">
      <c r="A132" s="263" t="s">
        <v>4072</v>
      </c>
      <c r="B132" s="270">
        <f>COUNTIFS(E11:P127,"&gt;5",E11:P127,"&lt;=14")</f>
        <v>1</v>
      </c>
      <c r="C132" s="303"/>
      <c r="D132" s="304"/>
      <c r="E132" s="304"/>
      <c r="F132" s="304"/>
    </row>
    <row r="133" spans="1:19" ht="30" customHeight="1" x14ac:dyDescent="0.2">
      <c r="A133" s="264" t="s">
        <v>4073</v>
      </c>
      <c r="B133" s="270">
        <f>COUNTIFS(E11:P127,"&gt;14",E11:P127,"&lt;=35")</f>
        <v>31</v>
      </c>
      <c r="C133" s="303"/>
      <c r="D133" s="304"/>
      <c r="E133" s="304"/>
      <c r="F133" s="304"/>
    </row>
    <row r="134" spans="1:19" ht="30" customHeight="1" x14ac:dyDescent="0.2">
      <c r="A134" s="265" t="s">
        <v>4074</v>
      </c>
      <c r="B134" s="270">
        <f>COUNTIFS(E11:P127,"&gt;35",E11:P127,"&lt;=80")</f>
        <v>26</v>
      </c>
    </row>
    <row r="135" spans="1:19" ht="39" customHeight="1" x14ac:dyDescent="0.2">
      <c r="A135" s="266" t="s">
        <v>4075</v>
      </c>
      <c r="B135" s="270">
        <f>COUNTIFS(E11:P127,"&gt;80",E11:P127,"&lt;=100")</f>
        <v>86</v>
      </c>
    </row>
    <row r="136" spans="1:19" ht="30" customHeight="1" x14ac:dyDescent="0.2">
      <c r="A136" s="285" t="s">
        <v>4076</v>
      </c>
      <c r="B136" s="286">
        <f>COUNT(E11:P127)</f>
        <v>212</v>
      </c>
    </row>
    <row r="137" spans="1:19" ht="32.25" customHeight="1" x14ac:dyDescent="0.2">
      <c r="A137" s="269" t="s">
        <v>4078</v>
      </c>
      <c r="B137" s="271">
        <f>B136-B131</f>
        <v>144</v>
      </c>
    </row>
    <row r="138" spans="1:19" ht="30" customHeight="1" x14ac:dyDescent="0.2">
      <c r="A138" s="94"/>
    </row>
    <row r="139" spans="1:19" ht="30" customHeight="1" x14ac:dyDescent="0.2">
      <c r="A139" s="94"/>
    </row>
    <row r="140" spans="1:19" ht="30" customHeight="1" x14ac:dyDescent="0.2">
      <c r="A140" s="94"/>
    </row>
    <row r="141" spans="1:19" ht="30" customHeight="1" x14ac:dyDescent="0.2">
      <c r="A141" s="94"/>
    </row>
    <row r="142" spans="1:19" ht="30" customHeight="1" x14ac:dyDescent="0.2">
      <c r="A142" s="94"/>
    </row>
    <row r="143" spans="1:19" ht="30" customHeight="1" x14ac:dyDescent="0.2">
      <c r="A143" s="94"/>
    </row>
    <row r="144" spans="1:19" ht="30" customHeight="1" x14ac:dyDescent="0.2">
      <c r="A144" s="94"/>
    </row>
    <row r="145" spans="1:1" ht="30" customHeight="1" x14ac:dyDescent="0.2">
      <c r="A145" s="94"/>
    </row>
    <row r="146" spans="1:1" ht="30" customHeight="1" x14ac:dyDescent="0.2">
      <c r="A146" s="94"/>
    </row>
    <row r="147" spans="1:1" ht="30" customHeight="1" x14ac:dyDescent="0.2">
      <c r="A147" s="94"/>
    </row>
    <row r="148" spans="1:1" ht="30" customHeight="1" x14ac:dyDescent="0.2">
      <c r="A148" s="94"/>
    </row>
    <row r="149" spans="1:1" ht="30" customHeight="1" x14ac:dyDescent="0.2">
      <c r="A149" s="94"/>
    </row>
    <row r="150" spans="1:1" ht="30" customHeight="1" x14ac:dyDescent="0.2">
      <c r="A150" s="94"/>
    </row>
    <row r="151" spans="1:1" ht="30" customHeight="1" x14ac:dyDescent="0.2">
      <c r="A151" s="94"/>
    </row>
    <row r="152" spans="1:1" ht="30" customHeight="1" x14ac:dyDescent="0.2">
      <c r="A152" s="94"/>
    </row>
    <row r="153" spans="1:1" ht="30" customHeight="1" x14ac:dyDescent="0.2">
      <c r="A153" s="94"/>
    </row>
    <row r="154" spans="1:1" ht="30" customHeight="1" x14ac:dyDescent="0.2">
      <c r="A154" s="94"/>
    </row>
    <row r="155" spans="1:1" ht="30" customHeight="1" x14ac:dyDescent="0.2">
      <c r="A155" s="94"/>
    </row>
    <row r="156" spans="1:1" ht="30" customHeight="1" x14ac:dyDescent="0.2">
      <c r="A156" s="94"/>
    </row>
    <row r="157" spans="1:1" ht="30" customHeight="1" x14ac:dyDescent="0.2">
      <c r="A157" s="94"/>
    </row>
    <row r="158" spans="1:1" ht="30" customHeight="1" x14ac:dyDescent="0.2">
      <c r="A158" s="94"/>
    </row>
    <row r="159" spans="1:1" ht="30" customHeight="1" x14ac:dyDescent="0.2">
      <c r="A159" s="94"/>
    </row>
    <row r="160" spans="1:1" ht="30" customHeight="1" x14ac:dyDescent="0.2">
      <c r="A160" s="94"/>
    </row>
    <row r="161" spans="1:1" ht="30" customHeight="1" x14ac:dyDescent="0.2">
      <c r="A161" s="94"/>
    </row>
    <row r="162" spans="1:1" ht="30" customHeight="1" x14ac:dyDescent="0.2">
      <c r="A162" s="94"/>
    </row>
    <row r="163" spans="1:1" ht="30" customHeight="1" x14ac:dyDescent="0.2">
      <c r="A163" s="94"/>
    </row>
    <row r="164" spans="1:1" ht="30" customHeight="1" x14ac:dyDescent="0.2">
      <c r="A164" s="94"/>
    </row>
    <row r="165" spans="1:1" ht="30" customHeight="1" x14ac:dyDescent="0.2">
      <c r="A165" s="94"/>
    </row>
    <row r="166" spans="1:1" ht="30" customHeight="1" x14ac:dyDescent="0.2">
      <c r="A166" s="94"/>
    </row>
    <row r="167" spans="1:1" ht="30" customHeight="1" x14ac:dyDescent="0.2">
      <c r="A167" s="94"/>
    </row>
    <row r="168" spans="1:1" ht="30" customHeight="1" x14ac:dyDescent="0.2">
      <c r="A168" s="94"/>
    </row>
    <row r="169" spans="1:1" ht="30" customHeight="1" x14ac:dyDescent="0.2">
      <c r="A169" s="94"/>
    </row>
    <row r="170" spans="1:1" ht="30" customHeight="1" x14ac:dyDescent="0.2">
      <c r="A170" s="94"/>
    </row>
    <row r="171" spans="1:1" ht="30" customHeight="1" x14ac:dyDescent="0.2">
      <c r="A171" s="94"/>
    </row>
    <row r="172" spans="1:1" ht="30" customHeight="1" x14ac:dyDescent="0.2">
      <c r="A172" s="94"/>
    </row>
    <row r="173" spans="1:1" ht="30" customHeight="1" x14ac:dyDescent="0.2">
      <c r="A173" s="94"/>
    </row>
    <row r="174" spans="1:1" ht="30" customHeight="1" x14ac:dyDescent="0.2">
      <c r="A174" s="94"/>
    </row>
    <row r="175" spans="1:1" ht="30" customHeight="1" x14ac:dyDescent="0.2">
      <c r="A175" s="94"/>
    </row>
    <row r="176" spans="1:1" ht="30" customHeight="1" x14ac:dyDescent="0.2">
      <c r="A176" s="94"/>
    </row>
    <row r="177" spans="1:1" ht="30" customHeight="1" x14ac:dyDescent="0.2">
      <c r="A177" s="94"/>
    </row>
    <row r="178" spans="1:1" ht="30" customHeight="1" x14ac:dyDescent="0.2">
      <c r="A178" s="94"/>
    </row>
    <row r="179" spans="1:1" ht="30" customHeight="1" x14ac:dyDescent="0.2">
      <c r="A179" s="94"/>
    </row>
    <row r="180" spans="1:1" ht="30" customHeight="1" x14ac:dyDescent="0.2">
      <c r="A180" s="94"/>
    </row>
    <row r="181" spans="1:1" ht="30" customHeight="1" x14ac:dyDescent="0.2">
      <c r="A181" s="94"/>
    </row>
    <row r="182" spans="1:1" ht="30" customHeight="1" x14ac:dyDescent="0.2">
      <c r="A182" s="94"/>
    </row>
    <row r="183" spans="1:1" ht="30" customHeight="1" x14ac:dyDescent="0.2">
      <c r="A183" s="94"/>
    </row>
    <row r="184" spans="1:1" ht="30" customHeight="1" x14ac:dyDescent="0.2">
      <c r="A184" s="94"/>
    </row>
    <row r="185" spans="1:1" ht="30" customHeight="1" x14ac:dyDescent="0.2">
      <c r="A185" s="94"/>
    </row>
    <row r="186" spans="1:1" ht="30" customHeight="1" x14ac:dyDescent="0.2">
      <c r="A186" s="94"/>
    </row>
    <row r="187" spans="1:1" ht="30" customHeight="1" x14ac:dyDescent="0.2">
      <c r="A187" s="94"/>
    </row>
    <row r="188" spans="1:1" ht="30" customHeight="1" x14ac:dyDescent="0.2">
      <c r="A188" s="94"/>
    </row>
    <row r="189" spans="1:1" ht="30" customHeight="1" x14ac:dyDescent="0.2">
      <c r="A189" s="94"/>
    </row>
    <row r="190" spans="1:1" ht="30" customHeight="1" x14ac:dyDescent="0.2">
      <c r="A190" s="94"/>
    </row>
    <row r="191" spans="1:1" ht="30" customHeight="1" x14ac:dyDescent="0.2">
      <c r="A191" s="94"/>
    </row>
    <row r="192" spans="1:1" ht="30" customHeight="1" x14ac:dyDescent="0.2">
      <c r="A192" s="94"/>
    </row>
    <row r="193" spans="1:1" ht="30" customHeight="1" x14ac:dyDescent="0.2">
      <c r="A193" s="94"/>
    </row>
    <row r="194" spans="1:1" ht="30" customHeight="1" x14ac:dyDescent="0.2">
      <c r="A194" s="94"/>
    </row>
    <row r="195" spans="1:1" ht="30" customHeight="1" x14ac:dyDescent="0.2">
      <c r="A195" s="94"/>
    </row>
    <row r="196" spans="1:1" ht="30" customHeight="1" x14ac:dyDescent="0.2">
      <c r="A196" s="94"/>
    </row>
    <row r="197" spans="1:1" ht="30" customHeight="1" x14ac:dyDescent="0.2">
      <c r="A197" s="94"/>
    </row>
    <row r="198" spans="1:1" ht="30" customHeight="1" x14ac:dyDescent="0.2">
      <c r="A198" s="94"/>
    </row>
    <row r="199" spans="1:1" ht="30" customHeight="1" x14ac:dyDescent="0.2">
      <c r="A199" s="94"/>
    </row>
    <row r="200" spans="1:1" ht="30" customHeight="1" x14ac:dyDescent="0.2">
      <c r="A200" s="94"/>
    </row>
    <row r="201" spans="1:1" ht="30" customHeight="1" x14ac:dyDescent="0.2">
      <c r="A201" s="94"/>
    </row>
    <row r="202" spans="1:1" ht="30" customHeight="1" x14ac:dyDescent="0.2">
      <c r="A202" s="94"/>
    </row>
    <row r="203" spans="1:1" ht="30" customHeight="1" x14ac:dyDescent="0.2">
      <c r="A203" s="94"/>
    </row>
    <row r="204" spans="1:1" ht="30" customHeight="1" x14ac:dyDescent="0.2">
      <c r="A204" s="94"/>
    </row>
    <row r="205" spans="1:1" ht="30" customHeight="1" x14ac:dyDescent="0.2">
      <c r="A205" s="94"/>
    </row>
    <row r="206" spans="1:1" ht="30" customHeight="1" x14ac:dyDescent="0.2">
      <c r="A206" s="94"/>
    </row>
    <row r="207" spans="1:1" ht="30" customHeight="1" x14ac:dyDescent="0.2">
      <c r="A207" s="94"/>
    </row>
    <row r="208" spans="1:1" ht="30" customHeight="1" x14ac:dyDescent="0.2">
      <c r="A208" s="94"/>
    </row>
    <row r="209" spans="1:1" ht="30" customHeight="1" x14ac:dyDescent="0.2">
      <c r="A209" s="94"/>
    </row>
    <row r="210" spans="1:1" ht="30" customHeight="1" x14ac:dyDescent="0.2">
      <c r="A210" s="94"/>
    </row>
    <row r="211" spans="1:1" ht="30" customHeight="1" x14ac:dyDescent="0.2">
      <c r="A211" s="94"/>
    </row>
    <row r="212" spans="1:1" ht="30" customHeight="1" x14ac:dyDescent="0.2">
      <c r="A212" s="94"/>
    </row>
    <row r="213" spans="1:1" ht="30" customHeight="1" x14ac:dyDescent="0.2">
      <c r="A213" s="94"/>
    </row>
    <row r="214" spans="1:1" ht="30" customHeight="1" x14ac:dyDescent="0.2">
      <c r="A214" s="94"/>
    </row>
    <row r="215" spans="1:1" ht="30" customHeight="1" x14ac:dyDescent="0.2">
      <c r="A215" s="94"/>
    </row>
    <row r="216" spans="1:1" ht="30" customHeight="1" x14ac:dyDescent="0.2">
      <c r="A216" s="94"/>
    </row>
    <row r="217" spans="1:1" ht="30" customHeight="1" x14ac:dyDescent="0.2">
      <c r="A217" s="94"/>
    </row>
    <row r="218" spans="1:1" ht="30" customHeight="1" x14ac:dyDescent="0.2">
      <c r="A218" s="94"/>
    </row>
    <row r="219" spans="1:1" ht="30" customHeight="1" x14ac:dyDescent="0.2">
      <c r="A219" s="94"/>
    </row>
    <row r="220" spans="1:1" ht="30" customHeight="1" x14ac:dyDescent="0.2">
      <c r="A220" s="94"/>
    </row>
    <row r="221" spans="1:1" ht="30" customHeight="1" x14ac:dyDescent="0.2">
      <c r="A221" s="94"/>
    </row>
    <row r="222" spans="1:1" ht="30" customHeight="1" x14ac:dyDescent="0.2">
      <c r="A222" s="94"/>
    </row>
    <row r="223" spans="1:1" ht="30" customHeight="1" x14ac:dyDescent="0.2">
      <c r="A223" s="94"/>
    </row>
    <row r="224" spans="1:1" ht="30" customHeight="1" x14ac:dyDescent="0.2">
      <c r="A224" s="94"/>
    </row>
    <row r="225" spans="1:1" ht="30" customHeight="1" x14ac:dyDescent="0.2">
      <c r="A225" s="94"/>
    </row>
    <row r="226" spans="1:1" ht="30" customHeight="1" x14ac:dyDescent="0.2">
      <c r="A226" s="94"/>
    </row>
    <row r="227" spans="1:1" ht="30" customHeight="1" x14ac:dyDescent="0.2">
      <c r="A227" s="94"/>
    </row>
    <row r="228" spans="1:1" ht="30" customHeight="1" x14ac:dyDescent="0.2">
      <c r="A228" s="94"/>
    </row>
    <row r="229" spans="1:1" ht="30" customHeight="1" x14ac:dyDescent="0.2">
      <c r="A229" s="94"/>
    </row>
    <row r="230" spans="1:1" ht="30" customHeight="1" x14ac:dyDescent="0.2">
      <c r="A230" s="94"/>
    </row>
    <row r="231" spans="1:1" ht="30" customHeight="1" x14ac:dyDescent="0.2">
      <c r="A231" s="94"/>
    </row>
    <row r="232" spans="1:1" ht="30" customHeight="1" x14ac:dyDescent="0.2">
      <c r="A232" s="94"/>
    </row>
    <row r="233" spans="1:1" ht="30" customHeight="1" x14ac:dyDescent="0.2">
      <c r="A233" s="94"/>
    </row>
    <row r="234" spans="1:1" ht="30" customHeight="1" x14ac:dyDescent="0.2">
      <c r="A234" s="94"/>
    </row>
    <row r="235" spans="1:1" ht="30" customHeight="1" x14ac:dyDescent="0.2">
      <c r="A235" s="94"/>
    </row>
    <row r="236" spans="1:1" ht="30" customHeight="1" x14ac:dyDescent="0.2">
      <c r="A236" s="94"/>
    </row>
    <row r="237" spans="1:1" ht="30" customHeight="1" x14ac:dyDescent="0.2">
      <c r="A237" s="94"/>
    </row>
    <row r="238" spans="1:1" ht="30" customHeight="1" x14ac:dyDescent="0.2">
      <c r="A238" s="94"/>
    </row>
    <row r="239" spans="1:1" ht="30" customHeight="1" x14ac:dyDescent="0.2">
      <c r="A239" s="94"/>
    </row>
    <row r="240" spans="1:1" ht="30" customHeight="1" x14ac:dyDescent="0.2">
      <c r="A240" s="94"/>
    </row>
    <row r="241" spans="1:1" ht="30" customHeight="1" x14ac:dyDescent="0.2">
      <c r="A241" s="94"/>
    </row>
    <row r="242" spans="1:1" ht="30" customHeight="1" x14ac:dyDescent="0.2">
      <c r="A242" s="94"/>
    </row>
    <row r="243" spans="1:1" ht="30" customHeight="1" x14ac:dyDescent="0.2">
      <c r="A243" s="94"/>
    </row>
    <row r="244" spans="1:1" ht="30" customHeight="1" x14ac:dyDescent="0.2">
      <c r="A244" s="94"/>
    </row>
    <row r="245" spans="1:1" ht="30" customHeight="1" x14ac:dyDescent="0.2">
      <c r="A245" s="94"/>
    </row>
    <row r="246" spans="1:1" ht="30" customHeight="1" x14ac:dyDescent="0.2">
      <c r="A246" s="94"/>
    </row>
    <row r="247" spans="1:1" ht="30" customHeight="1" x14ac:dyDescent="0.2">
      <c r="A247" s="94"/>
    </row>
    <row r="248" spans="1:1" ht="30" customHeight="1" x14ac:dyDescent="0.2">
      <c r="A248" s="94"/>
    </row>
    <row r="249" spans="1:1" ht="30" customHeight="1" x14ac:dyDescent="0.2">
      <c r="A249" s="94"/>
    </row>
    <row r="250" spans="1:1" ht="30" customHeight="1" x14ac:dyDescent="0.2">
      <c r="A250" s="94"/>
    </row>
    <row r="251" spans="1:1" ht="30" customHeight="1" x14ac:dyDescent="0.2">
      <c r="A251" s="94"/>
    </row>
    <row r="252" spans="1:1" ht="30" customHeight="1" x14ac:dyDescent="0.2">
      <c r="A252" s="94"/>
    </row>
    <row r="253" spans="1:1" ht="30" customHeight="1" x14ac:dyDescent="0.2">
      <c r="A253" s="94"/>
    </row>
    <row r="254" spans="1:1" ht="30" customHeight="1" x14ac:dyDescent="0.2">
      <c r="A254" s="94"/>
    </row>
    <row r="255" spans="1:1" ht="30" customHeight="1" x14ac:dyDescent="0.2">
      <c r="A255" s="94"/>
    </row>
    <row r="256" spans="1:1" ht="30" customHeight="1" x14ac:dyDescent="0.2">
      <c r="A256" s="94"/>
    </row>
    <row r="257" spans="1:17" ht="30" customHeight="1" x14ac:dyDescent="0.2">
      <c r="A257" s="94"/>
    </row>
    <row r="258" spans="1:17" ht="30" customHeight="1" x14ac:dyDescent="0.2">
      <c r="A258" s="94"/>
    </row>
    <row r="259" spans="1:17" ht="30" customHeight="1" x14ac:dyDescent="0.2">
      <c r="A259" s="94"/>
    </row>
    <row r="260" spans="1:17" ht="30" customHeight="1" x14ac:dyDescent="0.2">
      <c r="A260" s="94"/>
    </row>
    <row r="261" spans="1:17" ht="30" customHeight="1" x14ac:dyDescent="0.2">
      <c r="A261" s="94"/>
    </row>
    <row r="262" spans="1:17" ht="30" customHeight="1" x14ac:dyDescent="0.2">
      <c r="A262" s="94"/>
    </row>
    <row r="263" spans="1:17" ht="30" customHeight="1" x14ac:dyDescent="0.2">
      <c r="A263" s="94"/>
    </row>
    <row r="264" spans="1:17" ht="30" customHeight="1" x14ac:dyDescent="0.2">
      <c r="A264" s="94"/>
    </row>
    <row r="265" spans="1:17" ht="30" customHeight="1" x14ac:dyDescent="0.2">
      <c r="A265" s="94"/>
    </row>
    <row r="266" spans="1:17" ht="30" customHeight="1" x14ac:dyDescent="0.2">
      <c r="A266" s="94"/>
    </row>
    <row r="267" spans="1:17" ht="30" customHeight="1" x14ac:dyDescent="0.2">
      <c r="A267" s="94"/>
    </row>
    <row r="268" spans="1:17" ht="30" customHeight="1" x14ac:dyDescent="0.2">
      <c r="A268" s="94"/>
    </row>
    <row r="269" spans="1:17" ht="30" customHeight="1" x14ac:dyDescent="0.2">
      <c r="A269" s="94"/>
    </row>
    <row r="270" spans="1:17" ht="30" customHeight="1" x14ac:dyDescent="0.2">
      <c r="A270" s="94"/>
    </row>
    <row r="271" spans="1:17" ht="14.25" x14ac:dyDescent="0.2">
      <c r="Q271" s="79"/>
    </row>
    <row r="272" spans="1:17" ht="14.25" x14ac:dyDescent="0.2">
      <c r="Q272" s="78"/>
    </row>
    <row r="273" spans="17:17" ht="14.25" x14ac:dyDescent="0.2">
      <c r="Q273" s="78"/>
    </row>
    <row r="274" spans="17:17" ht="14.25" x14ac:dyDescent="0.2">
      <c r="Q274" s="78"/>
    </row>
    <row r="275" spans="17:17" ht="14.25" x14ac:dyDescent="0.2">
      <c r="Q275" s="78"/>
    </row>
    <row r="276" spans="17:17" ht="14.25" x14ac:dyDescent="0.2">
      <c r="Q276" s="78"/>
    </row>
    <row r="277" spans="17:17" ht="14.25" hidden="1" x14ac:dyDescent="0.2">
      <c r="Q277" s="77">
        <v>97.9</v>
      </c>
    </row>
    <row r="278" spans="17:17" ht="14.25" hidden="1" x14ac:dyDescent="0.2">
      <c r="Q278" s="75" t="e">
        <v>#DIV/0!</v>
      </c>
    </row>
    <row r="279" spans="17:17" ht="14.25" hidden="1" x14ac:dyDescent="0.2">
      <c r="Q279" s="75" t="e">
        <v>#DIV/0!</v>
      </c>
    </row>
    <row r="280" spans="17:17" hidden="1" x14ac:dyDescent="0.2"/>
    <row r="281" spans="17:17" hidden="1" x14ac:dyDescent="0.2"/>
    <row r="282" spans="17:17" hidden="1" x14ac:dyDescent="0.2"/>
    <row r="283" spans="17:17" hidden="1" x14ac:dyDescent="0.2"/>
    <row r="284" spans="17:17" hidden="1" x14ac:dyDescent="0.2"/>
    <row r="285" spans="17:17" hidden="1" x14ac:dyDescent="0.2"/>
    <row r="286" spans="17:17" hidden="1" x14ac:dyDescent="0.2"/>
    <row r="287" spans="17:17" hidden="1" x14ac:dyDescent="0.2"/>
    <row r="288" spans="17:17"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spans="17:19" hidden="1" x14ac:dyDescent="0.2"/>
    <row r="418" spans="17:19" hidden="1" x14ac:dyDescent="0.2"/>
    <row r="419" spans="17:19" hidden="1" x14ac:dyDescent="0.2"/>
    <row r="420" spans="17:19" hidden="1" x14ac:dyDescent="0.2"/>
    <row r="421" spans="17:19" hidden="1" x14ac:dyDescent="0.2"/>
    <row r="422" spans="17:19" hidden="1" x14ac:dyDescent="0.2"/>
    <row r="423" spans="17:19" hidden="1" x14ac:dyDescent="0.2"/>
    <row r="424" spans="17:19" hidden="1" x14ac:dyDescent="0.2"/>
    <row r="425" spans="17:19" hidden="1" x14ac:dyDescent="0.2"/>
    <row r="426" spans="17:19" hidden="1" x14ac:dyDescent="0.2"/>
    <row r="427" spans="17:19" hidden="1" x14ac:dyDescent="0.2"/>
    <row r="428" spans="17:19" ht="15" hidden="1" x14ac:dyDescent="0.2">
      <c r="Q428" s="46" t="e">
        <v>#DIV/0!</v>
      </c>
      <c r="R428" s="53" t="e">
        <f>IF(Q428&lt;5,"SI","NO")</f>
        <v>#DIV/0!</v>
      </c>
      <c r="S428" s="52" t="e">
        <f>IF(Q428&lt;5,"Sin Riesgo",IF(Q428 &lt;=14,"Bajo",IF(Q428&lt;=35,"Medio",IF(Q428&lt;=80,"Alto","Inviable Sanitariamente"))))</f>
        <v>#DIV/0!</v>
      </c>
    </row>
    <row r="429" spans="17:19" ht="15" hidden="1" x14ac:dyDescent="0.2">
      <c r="Q429" s="46" t="e">
        <v>#DIV/0!</v>
      </c>
      <c r="R429" s="53" t="e">
        <f>IF(Q429&lt;5,"SI","NO")</f>
        <v>#DIV/0!</v>
      </c>
      <c r="S429" s="52" t="e">
        <f>IF(Q429&lt;5,"Sin Riesgo",IF(Q429 &lt;=14,"Bajo",IF(Q429&lt;=35,"Medio",IF(Q429&lt;=80,"Alto","Inviable Sanitariamente"))))</f>
        <v>#DIV/0!</v>
      </c>
    </row>
    <row r="430" spans="17:19" ht="15" hidden="1" x14ac:dyDescent="0.2">
      <c r="Q430" s="46" t="e">
        <v>#DIV/0!</v>
      </c>
      <c r="R430" s="53" t="e">
        <f>IF(Q430&lt;5,"SI","NO")</f>
        <v>#DIV/0!</v>
      </c>
      <c r="S430" s="52" t="e">
        <f>IF(Q430&lt;5,"Sin Riesgo",IF(Q430 &lt;=14,"Bajo",IF(Q430&lt;=35,"Medio",IF(Q430&lt;=80,"Alto","Inviable Sanitariamente"))))</f>
        <v>#DIV/0!</v>
      </c>
    </row>
    <row r="431" spans="17:19" ht="15" hidden="1" x14ac:dyDescent="0.2">
      <c r="Q431" s="46" t="e">
        <v>#DIV/0!</v>
      </c>
      <c r="R431" s="53" t="e">
        <f>IF(Q431&lt;5,"SI","NO")</f>
        <v>#DIV/0!</v>
      </c>
      <c r="S431" s="52" t="e">
        <f>IF(Q431&lt;5,"Sin Riesgo",IF(Q431 &lt;=14,"Bajo",IF(Q431&lt;=35,"Medio",IF(Q431&lt;=80,"Alto","Inviable Sanitariamente"))))</f>
        <v>#DIV/0!</v>
      </c>
    </row>
    <row r="432" spans="17:19" ht="15" hidden="1" x14ac:dyDescent="0.2">
      <c r="Q432" s="46" t="e">
        <v>#DIV/0!</v>
      </c>
      <c r="R432" s="53" t="e">
        <f>IF(Q432&lt;5,"SI","NO")</f>
        <v>#DIV/0!</v>
      </c>
      <c r="S432" s="52" t="e">
        <f>IF(Q432&lt;5,"Sin Riesgo",IF(Q432 &lt;=14,"Bajo",IF(Q432&lt;=35,"Medio",IF(Q432&lt;=80,"Alto","Inviable Sanitariamente"))))</f>
        <v>#DIV/0!</v>
      </c>
    </row>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hidden="1" x14ac:dyDescent="0.2"/>
    <row r="483" hidden="1" x14ac:dyDescent="0.2"/>
    <row r="484" hidden="1" x14ac:dyDescent="0.2"/>
    <row r="485" hidden="1" x14ac:dyDescent="0.2"/>
    <row r="486" hidden="1" x14ac:dyDescent="0.2"/>
    <row r="487" hidden="1" x14ac:dyDescent="0.2"/>
    <row r="488" hidden="1"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sheetData>
  <autoFilter ref="A10:W127">
    <sortState ref="A12:W122">
      <sortCondition ref="A9:A122"/>
    </sortState>
  </autoFilter>
  <customSheetViews>
    <customSheetView guid="{45C8AF51-29EC-46A5-AB7F-1F0634E55D82}" scale="60" showAutoFilter="1" hiddenRows="1" hiddenColumns="1">
      <selection activeCell="C135" sqref="C135"/>
      <pageMargins left="0.28999999999999998" right="0.2" top="0.6692913385826772" bottom="0.9055118110236221" header="0.43" footer="0.59055118110236227"/>
      <printOptions horizontalCentered="1"/>
      <pageSetup paperSize="14" scale="75" orientation="landscape" r:id="rId1"/>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9:W121">
        <sortState ref="A12:W121">
          <sortCondition ref="A9:A121"/>
        </sortState>
      </autoFilter>
    </customSheetView>
    <customSheetView guid="{FCC3B493-4306-43B2-9C73-76324485DD47}" scale="60" showAutoFilter="1" hiddenRows="1" hiddenColumns="1" topLeftCell="A97">
      <selection activeCell="F126" sqref="F126"/>
      <pageMargins left="0.28999999999999998" right="0.2" top="0.6692913385826772" bottom="0.9055118110236221" header="0.43" footer="0.59055118110236227"/>
      <printOptions horizontalCentered="1"/>
      <pageSetup paperSize="14" scale="75" orientation="landscape" r:id="rId2"/>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9:W121">
        <sortState ref="A12:W121">
          <sortCondition ref="A9:A121"/>
        </sortState>
      </autoFilter>
    </customSheetView>
    <customSheetView guid="{AEDE1BDB-8710-4CDA-8488-31F49D423ACE}" scale="60" showAutoFilter="1" hiddenRows="1" hiddenColumns="1" topLeftCell="G100">
      <selection activeCell="G118" sqref="A118:XFD120"/>
      <pageMargins left="0.28999999999999998" right="0.2" top="0.6692913385826772" bottom="0.9055118110236221" header="0.43" footer="0.59055118110236227"/>
      <printOptions horizontalCentered="1"/>
      <pageSetup paperSize="14" scale="75" orientation="landscape" r:id="rId3"/>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10:W122"/>
    </customSheetView>
    <customSheetView guid="{75DD7674-E7DE-4BB1-A36D-76AA33452CB3}" scale="60" showAutoFilter="1" hiddenRows="1" hiddenColumns="1">
      <selection activeCell="A8" sqref="A8:A9"/>
      <pageMargins left="0.28999999999999998" right="0.2" top="0.6692913385826772" bottom="0.9055118110236221" header="0.43" footer="0.59055118110236227"/>
      <printOptions horizontalCentered="1"/>
      <pageSetup paperSize="14" scale="75" orientation="landscape" r:id="rId4"/>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9:W121">
        <sortState ref="A12:W121">
          <sortCondition ref="A9:A121"/>
        </sortState>
      </autoFilter>
    </customSheetView>
  </customSheetViews>
  <mergeCells count="20">
    <mergeCell ref="A7:B7"/>
    <mergeCell ref="H5:J6"/>
    <mergeCell ref="K5:M6"/>
    <mergeCell ref="N5:P6"/>
    <mergeCell ref="Q5:R6"/>
    <mergeCell ref="S5:S6"/>
    <mergeCell ref="B1:D1"/>
    <mergeCell ref="B2:D2"/>
    <mergeCell ref="B3:D3"/>
    <mergeCell ref="B5:D5"/>
    <mergeCell ref="E5:G6"/>
    <mergeCell ref="C130:S130"/>
    <mergeCell ref="A9:A10"/>
    <mergeCell ref="S9:S10"/>
    <mergeCell ref="R9:R10"/>
    <mergeCell ref="D9:D10"/>
    <mergeCell ref="B9:B10"/>
    <mergeCell ref="C9:C10"/>
    <mergeCell ref="E9:P9"/>
    <mergeCell ref="Q9:Q10"/>
  </mergeCells>
  <phoneticPr fontId="2" type="noConversion"/>
  <conditionalFormatting sqref="R27 R30 R33:R43 R118 R12:R20 R62:R101 R104:R111 R45">
    <cfRule type="cellIs" dxfId="7624" priority="2377" stopIfTrue="1" operator="equal">
      <formula>"NO"</formula>
    </cfRule>
  </conditionalFormatting>
  <conditionalFormatting sqref="R98:R101">
    <cfRule type="cellIs" dxfId="7623" priority="2336" stopIfTrue="1" operator="equal">
      <formula>"NO"</formula>
    </cfRule>
  </conditionalFormatting>
  <conditionalFormatting sqref="R98:R101">
    <cfRule type="cellIs" dxfId="7622" priority="2334" stopIfTrue="1" operator="equal">
      <formula>"NO"</formula>
    </cfRule>
  </conditionalFormatting>
  <conditionalFormatting sqref="R21">
    <cfRule type="cellIs" dxfId="7621" priority="2108" stopIfTrue="1" operator="equal">
      <formula>"NO"</formula>
    </cfRule>
  </conditionalFormatting>
  <conditionalFormatting sqref="R21">
    <cfRule type="cellIs" dxfId="7620" priority="2107" stopIfTrue="1" operator="equal">
      <formula>"NO"</formula>
    </cfRule>
  </conditionalFormatting>
  <conditionalFormatting sqref="R21">
    <cfRule type="cellIs" dxfId="7619" priority="2105" stopIfTrue="1" operator="equal">
      <formula>"NO"</formula>
    </cfRule>
  </conditionalFormatting>
  <conditionalFormatting sqref="R26">
    <cfRule type="cellIs" dxfId="7618" priority="2082" stopIfTrue="1" operator="equal">
      <formula>"NO"</formula>
    </cfRule>
  </conditionalFormatting>
  <conditionalFormatting sqref="R26">
    <cfRule type="cellIs" dxfId="7617" priority="2081" stopIfTrue="1" operator="equal">
      <formula>"NO"</formula>
    </cfRule>
  </conditionalFormatting>
  <conditionalFormatting sqref="R26">
    <cfRule type="cellIs" dxfId="7616" priority="2079" stopIfTrue="1" operator="equal">
      <formula>"NO"</formula>
    </cfRule>
  </conditionalFormatting>
  <conditionalFormatting sqref="R25">
    <cfRule type="cellIs" dxfId="7615" priority="2056" stopIfTrue="1" operator="equal">
      <formula>"NO"</formula>
    </cfRule>
  </conditionalFormatting>
  <conditionalFormatting sqref="R25">
    <cfRule type="cellIs" dxfId="7614" priority="2055" stopIfTrue="1" operator="equal">
      <formula>"NO"</formula>
    </cfRule>
  </conditionalFormatting>
  <conditionalFormatting sqref="R25">
    <cfRule type="cellIs" dxfId="7613" priority="2053" stopIfTrue="1" operator="equal">
      <formula>"NO"</formula>
    </cfRule>
  </conditionalFormatting>
  <conditionalFormatting sqref="R22">
    <cfRule type="cellIs" dxfId="7612" priority="2030" stopIfTrue="1" operator="equal">
      <formula>"NO"</formula>
    </cfRule>
  </conditionalFormatting>
  <conditionalFormatting sqref="R22">
    <cfRule type="cellIs" dxfId="7611" priority="2029" stopIfTrue="1" operator="equal">
      <formula>"NO"</formula>
    </cfRule>
  </conditionalFormatting>
  <conditionalFormatting sqref="R22">
    <cfRule type="cellIs" dxfId="7610" priority="2027" stopIfTrue="1" operator="equal">
      <formula>"NO"</formula>
    </cfRule>
  </conditionalFormatting>
  <conditionalFormatting sqref="R23">
    <cfRule type="cellIs" dxfId="7609" priority="2004" stopIfTrue="1" operator="equal">
      <formula>"NO"</formula>
    </cfRule>
  </conditionalFormatting>
  <conditionalFormatting sqref="R23">
    <cfRule type="cellIs" dxfId="7608" priority="2003" stopIfTrue="1" operator="equal">
      <formula>"NO"</formula>
    </cfRule>
  </conditionalFormatting>
  <conditionalFormatting sqref="R23">
    <cfRule type="cellIs" dxfId="7607" priority="2001" stopIfTrue="1" operator="equal">
      <formula>"NO"</formula>
    </cfRule>
  </conditionalFormatting>
  <conditionalFormatting sqref="R24">
    <cfRule type="cellIs" dxfId="7606" priority="1978" stopIfTrue="1" operator="equal">
      <formula>"NO"</formula>
    </cfRule>
  </conditionalFormatting>
  <conditionalFormatting sqref="R24">
    <cfRule type="cellIs" dxfId="7605" priority="1977" stopIfTrue="1" operator="equal">
      <formula>"NO"</formula>
    </cfRule>
  </conditionalFormatting>
  <conditionalFormatting sqref="R24">
    <cfRule type="cellIs" dxfId="7604" priority="1975" stopIfTrue="1" operator="equal">
      <formula>"NO"</formula>
    </cfRule>
  </conditionalFormatting>
  <conditionalFormatting sqref="R29">
    <cfRule type="cellIs" dxfId="7603" priority="1926" stopIfTrue="1" operator="equal">
      <formula>"NO"</formula>
    </cfRule>
  </conditionalFormatting>
  <conditionalFormatting sqref="R29">
    <cfRule type="cellIs" dxfId="7602" priority="1925" stopIfTrue="1" operator="equal">
      <formula>"NO"</formula>
    </cfRule>
  </conditionalFormatting>
  <conditionalFormatting sqref="R29">
    <cfRule type="cellIs" dxfId="7601" priority="1923" stopIfTrue="1" operator="equal">
      <formula>"NO"</formula>
    </cfRule>
  </conditionalFormatting>
  <conditionalFormatting sqref="R31">
    <cfRule type="cellIs" dxfId="7600" priority="1900" stopIfTrue="1" operator="equal">
      <formula>"NO"</formula>
    </cfRule>
  </conditionalFormatting>
  <conditionalFormatting sqref="R31">
    <cfRule type="cellIs" dxfId="7599" priority="1899" stopIfTrue="1" operator="equal">
      <formula>"NO"</formula>
    </cfRule>
  </conditionalFormatting>
  <conditionalFormatting sqref="R31">
    <cfRule type="cellIs" dxfId="7598" priority="1897" stopIfTrue="1" operator="equal">
      <formula>"NO"</formula>
    </cfRule>
  </conditionalFormatting>
  <conditionalFormatting sqref="R28">
    <cfRule type="cellIs" dxfId="7597" priority="1874" stopIfTrue="1" operator="equal">
      <formula>"NO"</formula>
    </cfRule>
  </conditionalFormatting>
  <conditionalFormatting sqref="R28">
    <cfRule type="cellIs" dxfId="7596" priority="1873" stopIfTrue="1" operator="equal">
      <formula>"NO"</formula>
    </cfRule>
  </conditionalFormatting>
  <conditionalFormatting sqref="R28">
    <cfRule type="cellIs" dxfId="7595" priority="1871" stopIfTrue="1" operator="equal">
      <formula>"NO"</formula>
    </cfRule>
  </conditionalFormatting>
  <conditionalFormatting sqref="R32">
    <cfRule type="cellIs" dxfId="7594" priority="1848" stopIfTrue="1" operator="equal">
      <formula>"NO"</formula>
    </cfRule>
  </conditionalFormatting>
  <conditionalFormatting sqref="R32">
    <cfRule type="cellIs" dxfId="7593" priority="1847" stopIfTrue="1" operator="equal">
      <formula>"NO"</formula>
    </cfRule>
  </conditionalFormatting>
  <conditionalFormatting sqref="R32">
    <cfRule type="cellIs" dxfId="7592" priority="1845" stopIfTrue="1" operator="equal">
      <formula>"NO"</formula>
    </cfRule>
  </conditionalFormatting>
  <conditionalFormatting sqref="S128">
    <cfRule type="cellIs" dxfId="7591" priority="1585" stopIfTrue="1" operator="equal">
      <formula>"INVIABLE SANITARIAMENTE"</formula>
    </cfRule>
  </conditionalFormatting>
  <conditionalFormatting sqref="S128">
    <cfRule type="containsText" dxfId="7590" priority="1580" stopIfTrue="1" operator="containsText" text="INVIABLE SANITARIAMENTE">
      <formula>NOT(ISERROR(SEARCH("INVIABLE SANITARIAMENTE",S128)))</formula>
    </cfRule>
    <cfRule type="containsText" dxfId="7589" priority="1581" stopIfTrue="1" operator="containsText" text="ALTO">
      <formula>NOT(ISERROR(SEARCH("ALTO",S128)))</formula>
    </cfRule>
    <cfRule type="containsText" dxfId="7588" priority="1582" stopIfTrue="1" operator="containsText" text="MEDIO">
      <formula>NOT(ISERROR(SEARCH("MEDIO",S128)))</formula>
    </cfRule>
    <cfRule type="containsText" dxfId="7587" priority="1583" stopIfTrue="1" operator="containsText" text="BAJO">
      <formula>NOT(ISERROR(SEARCH("BAJO",S128)))</formula>
    </cfRule>
    <cfRule type="containsText" dxfId="7586" priority="1584" stopIfTrue="1" operator="containsText" text="SIN RIESGO">
      <formula>NOT(ISERROR(SEARCH("SIN RIESGO",S128)))</formula>
    </cfRule>
  </conditionalFormatting>
  <conditionalFormatting sqref="S128">
    <cfRule type="containsText" dxfId="7585" priority="1579" stopIfTrue="1" operator="containsText" text="SIN RIESGO">
      <formula>NOT(ISERROR(SEARCH("SIN RIESGO",S128)))</formula>
    </cfRule>
  </conditionalFormatting>
  <conditionalFormatting sqref="E100:H100 E63:I64 F99:J99 F101:J101 J100 E109:P109 P99:Q99 I102:K102 E50:Q50 E52:Q52 E70:Q71 Q72 Q51 Q68:Q69 Q53:Q59 E62:Q62 L63:Q66 E65:J66 E102:G102 M102:O102 P100:P102 E34 Q78:Q98 E73:Q77 Q12:Q43 E67:Q67 Q100:Q121 Q45:Q49">
    <cfRule type="containsBlanks" dxfId="7584" priority="1572" stopIfTrue="1">
      <formula>LEN(TRIM(E12))=0</formula>
    </cfRule>
    <cfRule type="cellIs" dxfId="7583" priority="1573" stopIfTrue="1" operator="between">
      <formula>80.1</formula>
      <formula>100</formula>
    </cfRule>
    <cfRule type="cellIs" dxfId="7582" priority="1574" stopIfTrue="1" operator="between">
      <formula>35.1</formula>
      <formula>80</formula>
    </cfRule>
    <cfRule type="cellIs" dxfId="7581" priority="1575" stopIfTrue="1" operator="between">
      <formula>14.1</formula>
      <formula>35</formula>
    </cfRule>
    <cfRule type="cellIs" dxfId="7580" priority="1576" stopIfTrue="1" operator="between">
      <formula>5.1</formula>
      <formula>14</formula>
    </cfRule>
    <cfRule type="cellIs" dxfId="7579" priority="1577" stopIfTrue="1" operator="between">
      <formula>0</formula>
      <formula>5</formula>
    </cfRule>
    <cfRule type="containsBlanks" dxfId="7578" priority="1578" stopIfTrue="1">
      <formula>LEN(TRIM(E12))=0</formula>
    </cfRule>
  </conditionalFormatting>
  <conditionalFormatting sqref="Q32 Q36 Q39:Q43 Q45">
    <cfRule type="containsBlanks" dxfId="7577" priority="1565" stopIfTrue="1">
      <formula>LEN(TRIM(Q32))=0</formula>
    </cfRule>
    <cfRule type="cellIs" dxfId="7576" priority="1566" stopIfTrue="1" operator="between">
      <formula>80.1</formula>
      <formula>100</formula>
    </cfRule>
    <cfRule type="cellIs" dxfId="7575" priority="1567" stopIfTrue="1" operator="between">
      <formula>35.1</formula>
      <formula>80</formula>
    </cfRule>
    <cfRule type="cellIs" dxfId="7574" priority="1568" stopIfTrue="1" operator="between">
      <formula>14.1</formula>
      <formula>35</formula>
    </cfRule>
    <cfRule type="cellIs" dxfId="7573" priority="1569" stopIfTrue="1" operator="between">
      <formula>5.1</formula>
      <formula>14</formula>
    </cfRule>
    <cfRule type="cellIs" dxfId="7572" priority="1570" stopIfTrue="1" operator="between">
      <formula>0</formula>
      <formula>5</formula>
    </cfRule>
    <cfRule type="containsBlanks" dxfId="7571" priority="1571" stopIfTrue="1">
      <formula>LEN(TRIM(Q32))=0</formula>
    </cfRule>
  </conditionalFormatting>
  <conditionalFormatting sqref="E32:P32 E36:P36 E39:P43 E13:P13 K65:K66 E92:J92 E45:P45">
    <cfRule type="containsBlanks" dxfId="7570" priority="1558" stopIfTrue="1">
      <formula>LEN(TRIM(E13))=0</formula>
    </cfRule>
    <cfRule type="cellIs" dxfId="7569" priority="1559" stopIfTrue="1" operator="between">
      <formula>79.1</formula>
      <formula>100</formula>
    </cfRule>
    <cfRule type="cellIs" dxfId="7568" priority="1560" stopIfTrue="1" operator="between">
      <formula>34.1</formula>
      <formula>79</formula>
    </cfRule>
    <cfRule type="cellIs" dxfId="7567" priority="1561" stopIfTrue="1" operator="between">
      <formula>13.1</formula>
      <formula>34</formula>
    </cfRule>
    <cfRule type="cellIs" dxfId="7566" priority="1562" stopIfTrue="1" operator="between">
      <formula>5.1</formula>
      <formula>13</formula>
    </cfRule>
    <cfRule type="cellIs" dxfId="7565" priority="1563" stopIfTrue="1" operator="between">
      <formula>0</formula>
      <formula>5</formula>
    </cfRule>
    <cfRule type="containsBlanks" dxfId="7564" priority="1564" stopIfTrue="1">
      <formula>LEN(TRIM(E13))=0</formula>
    </cfRule>
  </conditionalFormatting>
  <conditionalFormatting sqref="F21:Q21">
    <cfRule type="containsBlanks" dxfId="7563" priority="1551" stopIfTrue="1">
      <formula>LEN(TRIM(F21))=0</formula>
    </cfRule>
    <cfRule type="cellIs" dxfId="7562" priority="1552" stopIfTrue="1" operator="between">
      <formula>80.1</formula>
      <formula>100</formula>
    </cfRule>
    <cfRule type="cellIs" dxfId="7561" priority="1553" stopIfTrue="1" operator="between">
      <formula>35.1</formula>
      <formula>80</formula>
    </cfRule>
    <cfRule type="cellIs" dxfId="7560" priority="1554" stopIfTrue="1" operator="between">
      <formula>14.1</formula>
      <formula>35</formula>
    </cfRule>
    <cfRule type="cellIs" dxfId="7559" priority="1555" stopIfTrue="1" operator="between">
      <formula>5.1</formula>
      <formula>14</formula>
    </cfRule>
    <cfRule type="cellIs" dxfId="7558" priority="1556" stopIfTrue="1" operator="between">
      <formula>0</formula>
      <formula>5</formula>
    </cfRule>
    <cfRule type="containsBlanks" dxfId="7557" priority="1557" stopIfTrue="1">
      <formula>LEN(TRIM(F21))=0</formula>
    </cfRule>
  </conditionalFormatting>
  <conditionalFormatting sqref="E21">
    <cfRule type="containsBlanks" dxfId="7556" priority="1544" stopIfTrue="1">
      <formula>LEN(TRIM(E21))=0</formula>
    </cfRule>
    <cfRule type="cellIs" dxfId="7555" priority="1545" stopIfTrue="1" operator="between">
      <formula>80.1</formula>
      <formula>100</formula>
    </cfRule>
    <cfRule type="cellIs" dxfId="7554" priority="1546" stopIfTrue="1" operator="between">
      <formula>35.1</formula>
      <formula>80</formula>
    </cfRule>
    <cfRule type="cellIs" dxfId="7553" priority="1547" stopIfTrue="1" operator="between">
      <formula>14.1</formula>
      <formula>35</formula>
    </cfRule>
    <cfRule type="cellIs" dxfId="7552" priority="1548" stopIfTrue="1" operator="between">
      <formula>5.1</formula>
      <formula>14</formula>
    </cfRule>
    <cfRule type="cellIs" dxfId="7551" priority="1549" stopIfTrue="1" operator="between">
      <formula>0</formula>
      <formula>5</formula>
    </cfRule>
    <cfRule type="containsBlanks" dxfId="7550" priority="1550" stopIfTrue="1">
      <formula>LEN(TRIM(E21))=0</formula>
    </cfRule>
  </conditionalFormatting>
  <conditionalFormatting sqref="F31:Q31">
    <cfRule type="containsBlanks" dxfId="7549" priority="1537" stopIfTrue="1">
      <formula>LEN(TRIM(F31))=0</formula>
    </cfRule>
    <cfRule type="cellIs" dxfId="7548" priority="1538" stopIfTrue="1" operator="between">
      <formula>80.1</formula>
      <formula>100</formula>
    </cfRule>
    <cfRule type="cellIs" dxfId="7547" priority="1539" stopIfTrue="1" operator="between">
      <formula>35.1</formula>
      <formula>80</formula>
    </cfRule>
    <cfRule type="cellIs" dxfId="7546" priority="1540" stopIfTrue="1" operator="between">
      <formula>14.1</formula>
      <formula>35</formula>
    </cfRule>
    <cfRule type="cellIs" dxfId="7545" priority="1541" stopIfTrue="1" operator="between">
      <formula>5.1</formula>
      <formula>14</formula>
    </cfRule>
    <cfRule type="cellIs" dxfId="7544" priority="1542" stopIfTrue="1" operator="between">
      <formula>0</formula>
      <formula>5</formula>
    </cfRule>
    <cfRule type="containsBlanks" dxfId="7543" priority="1543" stopIfTrue="1">
      <formula>LEN(TRIM(F31))=0</formula>
    </cfRule>
  </conditionalFormatting>
  <conditionalFormatting sqref="E31">
    <cfRule type="containsBlanks" dxfId="7542" priority="1530" stopIfTrue="1">
      <formula>LEN(TRIM(E31))=0</formula>
    </cfRule>
    <cfRule type="cellIs" dxfId="7541" priority="1531" stopIfTrue="1" operator="between">
      <formula>80.1</formula>
      <formula>100</formula>
    </cfRule>
    <cfRule type="cellIs" dxfId="7540" priority="1532" stopIfTrue="1" operator="between">
      <formula>35.1</formula>
      <formula>80</formula>
    </cfRule>
    <cfRule type="cellIs" dxfId="7539" priority="1533" stopIfTrue="1" operator="between">
      <formula>14.1</formula>
      <formula>35</formula>
    </cfRule>
    <cfRule type="cellIs" dxfId="7538" priority="1534" stopIfTrue="1" operator="between">
      <formula>5.1</formula>
      <formula>14</formula>
    </cfRule>
    <cfRule type="cellIs" dxfId="7537" priority="1535" stopIfTrue="1" operator="between">
      <formula>0</formula>
      <formula>5</formula>
    </cfRule>
    <cfRule type="containsBlanks" dxfId="7536" priority="1536" stopIfTrue="1">
      <formula>LEN(TRIM(E31))=0</formula>
    </cfRule>
  </conditionalFormatting>
  <conditionalFormatting sqref="F30:Q30">
    <cfRule type="containsBlanks" dxfId="7535" priority="1523" stopIfTrue="1">
      <formula>LEN(TRIM(F30))=0</formula>
    </cfRule>
    <cfRule type="cellIs" dxfId="7534" priority="1524" stopIfTrue="1" operator="between">
      <formula>80.1</formula>
      <formula>100</formula>
    </cfRule>
    <cfRule type="cellIs" dxfId="7533" priority="1525" stopIfTrue="1" operator="between">
      <formula>35.1</formula>
      <formula>80</formula>
    </cfRule>
    <cfRule type="cellIs" dxfId="7532" priority="1526" stopIfTrue="1" operator="between">
      <formula>14.1</formula>
      <formula>35</formula>
    </cfRule>
    <cfRule type="cellIs" dxfId="7531" priority="1527" stopIfTrue="1" operator="between">
      <formula>5.1</formula>
      <formula>14</formula>
    </cfRule>
    <cfRule type="cellIs" dxfId="7530" priority="1528" stopIfTrue="1" operator="between">
      <formula>0</formula>
      <formula>5</formula>
    </cfRule>
    <cfRule type="containsBlanks" dxfId="7529" priority="1529" stopIfTrue="1">
      <formula>LEN(TRIM(F30))=0</formula>
    </cfRule>
  </conditionalFormatting>
  <conditionalFormatting sqref="E30">
    <cfRule type="containsBlanks" dxfId="7528" priority="1516" stopIfTrue="1">
      <formula>LEN(TRIM(E30))=0</formula>
    </cfRule>
    <cfRule type="cellIs" dxfId="7527" priority="1517" stopIfTrue="1" operator="between">
      <formula>80.1</formula>
      <formula>100</formula>
    </cfRule>
    <cfRule type="cellIs" dxfId="7526" priority="1518" stopIfTrue="1" operator="between">
      <formula>35.1</formula>
      <formula>80</formula>
    </cfRule>
    <cfRule type="cellIs" dxfId="7525" priority="1519" stopIfTrue="1" operator="between">
      <formula>14.1</formula>
      <formula>35</formula>
    </cfRule>
    <cfRule type="cellIs" dxfId="7524" priority="1520" stopIfTrue="1" operator="between">
      <formula>5.1</formula>
      <formula>14</formula>
    </cfRule>
    <cfRule type="cellIs" dxfId="7523" priority="1521" stopIfTrue="1" operator="between">
      <formula>0</formula>
      <formula>5</formula>
    </cfRule>
    <cfRule type="containsBlanks" dxfId="7522" priority="1522" stopIfTrue="1">
      <formula>LEN(TRIM(E30))=0</formula>
    </cfRule>
  </conditionalFormatting>
  <conditionalFormatting sqref="F22:Q22">
    <cfRule type="containsBlanks" dxfId="7521" priority="1509" stopIfTrue="1">
      <formula>LEN(TRIM(F22))=0</formula>
    </cfRule>
    <cfRule type="cellIs" dxfId="7520" priority="1510" stopIfTrue="1" operator="between">
      <formula>80.1</formula>
      <formula>100</formula>
    </cfRule>
    <cfRule type="cellIs" dxfId="7519" priority="1511" stopIfTrue="1" operator="between">
      <formula>35.1</formula>
      <formula>80</formula>
    </cfRule>
    <cfRule type="cellIs" dxfId="7518" priority="1512" stopIfTrue="1" operator="between">
      <formula>14.1</formula>
      <formula>35</formula>
    </cfRule>
    <cfRule type="cellIs" dxfId="7517" priority="1513" stopIfTrue="1" operator="between">
      <formula>5.1</formula>
      <formula>14</formula>
    </cfRule>
    <cfRule type="cellIs" dxfId="7516" priority="1514" stopIfTrue="1" operator="between">
      <formula>0</formula>
      <formula>5</formula>
    </cfRule>
    <cfRule type="containsBlanks" dxfId="7515" priority="1515" stopIfTrue="1">
      <formula>LEN(TRIM(F22))=0</formula>
    </cfRule>
  </conditionalFormatting>
  <conditionalFormatting sqref="E22">
    <cfRule type="containsBlanks" dxfId="7514" priority="1502" stopIfTrue="1">
      <formula>LEN(TRIM(E22))=0</formula>
    </cfRule>
    <cfRule type="cellIs" dxfId="7513" priority="1503" stopIfTrue="1" operator="between">
      <formula>80.1</formula>
      <formula>100</formula>
    </cfRule>
    <cfRule type="cellIs" dxfId="7512" priority="1504" stopIfTrue="1" operator="between">
      <formula>35.1</formula>
      <formula>80</formula>
    </cfRule>
    <cfRule type="cellIs" dxfId="7511" priority="1505" stopIfTrue="1" operator="between">
      <formula>14.1</formula>
      <formula>35</formula>
    </cfRule>
    <cfRule type="cellIs" dxfId="7510" priority="1506" stopIfTrue="1" operator="between">
      <formula>5.1</formula>
      <formula>14</formula>
    </cfRule>
    <cfRule type="cellIs" dxfId="7509" priority="1507" stopIfTrue="1" operator="between">
      <formula>0</formula>
      <formula>5</formula>
    </cfRule>
    <cfRule type="containsBlanks" dxfId="7508" priority="1508" stopIfTrue="1">
      <formula>LEN(TRIM(E22))=0</formula>
    </cfRule>
  </conditionalFormatting>
  <conditionalFormatting sqref="F23:Q23">
    <cfRule type="containsBlanks" dxfId="7507" priority="1495" stopIfTrue="1">
      <formula>LEN(TRIM(F23))=0</formula>
    </cfRule>
    <cfRule type="cellIs" dxfId="7506" priority="1496" stopIfTrue="1" operator="between">
      <formula>80.1</formula>
      <formula>100</formula>
    </cfRule>
    <cfRule type="cellIs" dxfId="7505" priority="1497" stopIfTrue="1" operator="between">
      <formula>35.1</formula>
      <formula>80</formula>
    </cfRule>
    <cfRule type="cellIs" dxfId="7504" priority="1498" stopIfTrue="1" operator="between">
      <formula>14.1</formula>
      <formula>35</formula>
    </cfRule>
    <cfRule type="cellIs" dxfId="7503" priority="1499" stopIfTrue="1" operator="between">
      <formula>5.1</formula>
      <formula>14</formula>
    </cfRule>
    <cfRule type="cellIs" dxfId="7502" priority="1500" stopIfTrue="1" operator="between">
      <formula>0</formula>
      <formula>5</formula>
    </cfRule>
    <cfRule type="containsBlanks" dxfId="7501" priority="1501" stopIfTrue="1">
      <formula>LEN(TRIM(F23))=0</formula>
    </cfRule>
  </conditionalFormatting>
  <conditionalFormatting sqref="E23">
    <cfRule type="containsBlanks" dxfId="7500" priority="1488" stopIfTrue="1">
      <formula>LEN(TRIM(E23))=0</formula>
    </cfRule>
    <cfRule type="cellIs" dxfId="7499" priority="1489" stopIfTrue="1" operator="between">
      <formula>80.1</formula>
      <formula>100</formula>
    </cfRule>
    <cfRule type="cellIs" dxfId="7498" priority="1490" stopIfTrue="1" operator="between">
      <formula>35.1</formula>
      <formula>80</formula>
    </cfRule>
    <cfRule type="cellIs" dxfId="7497" priority="1491" stopIfTrue="1" operator="between">
      <formula>14.1</formula>
      <formula>35</formula>
    </cfRule>
    <cfRule type="cellIs" dxfId="7496" priority="1492" stopIfTrue="1" operator="between">
      <formula>5.1</formula>
      <formula>14</formula>
    </cfRule>
    <cfRule type="cellIs" dxfId="7495" priority="1493" stopIfTrue="1" operator="between">
      <formula>0</formula>
      <formula>5</formula>
    </cfRule>
    <cfRule type="containsBlanks" dxfId="7494" priority="1494" stopIfTrue="1">
      <formula>LEN(TRIM(E23))=0</formula>
    </cfRule>
  </conditionalFormatting>
  <conditionalFormatting sqref="F28:Q28">
    <cfRule type="containsBlanks" dxfId="7493" priority="1481" stopIfTrue="1">
      <formula>LEN(TRIM(F28))=0</formula>
    </cfRule>
    <cfRule type="cellIs" dxfId="7492" priority="1482" stopIfTrue="1" operator="between">
      <formula>80.1</formula>
      <formula>100</formula>
    </cfRule>
    <cfRule type="cellIs" dxfId="7491" priority="1483" stopIfTrue="1" operator="between">
      <formula>35.1</formula>
      <formula>80</formula>
    </cfRule>
    <cfRule type="cellIs" dxfId="7490" priority="1484" stopIfTrue="1" operator="between">
      <formula>14.1</formula>
      <formula>35</formula>
    </cfRule>
    <cfRule type="cellIs" dxfId="7489" priority="1485" stopIfTrue="1" operator="between">
      <formula>5.1</formula>
      <formula>14</formula>
    </cfRule>
    <cfRule type="cellIs" dxfId="7488" priority="1486" stopIfTrue="1" operator="between">
      <formula>0</formula>
      <formula>5</formula>
    </cfRule>
    <cfRule type="containsBlanks" dxfId="7487" priority="1487" stopIfTrue="1">
      <formula>LEN(TRIM(F28))=0</formula>
    </cfRule>
  </conditionalFormatting>
  <conditionalFormatting sqref="E28">
    <cfRule type="containsBlanks" dxfId="7486" priority="1474" stopIfTrue="1">
      <formula>LEN(TRIM(E28))=0</formula>
    </cfRule>
    <cfRule type="cellIs" dxfId="7485" priority="1475" stopIfTrue="1" operator="between">
      <formula>80.1</formula>
      <formula>100</formula>
    </cfRule>
    <cfRule type="cellIs" dxfId="7484" priority="1476" stopIfTrue="1" operator="between">
      <formula>35.1</formula>
      <formula>80</formula>
    </cfRule>
    <cfRule type="cellIs" dxfId="7483" priority="1477" stopIfTrue="1" operator="between">
      <formula>14.1</formula>
      <formula>35</formula>
    </cfRule>
    <cfRule type="cellIs" dxfId="7482" priority="1478" stopIfTrue="1" operator="between">
      <formula>5.1</formula>
      <formula>14</formula>
    </cfRule>
    <cfRule type="cellIs" dxfId="7481" priority="1479" stopIfTrue="1" operator="between">
      <formula>0</formula>
      <formula>5</formula>
    </cfRule>
    <cfRule type="containsBlanks" dxfId="7480" priority="1480" stopIfTrue="1">
      <formula>LEN(TRIM(E28))=0</formula>
    </cfRule>
  </conditionalFormatting>
  <conditionalFormatting sqref="F35:Q35">
    <cfRule type="containsBlanks" dxfId="7479" priority="1467" stopIfTrue="1">
      <formula>LEN(TRIM(F35))=0</formula>
    </cfRule>
    <cfRule type="cellIs" dxfId="7478" priority="1468" stopIfTrue="1" operator="between">
      <formula>80.1</formula>
      <formula>100</formula>
    </cfRule>
    <cfRule type="cellIs" dxfId="7477" priority="1469" stopIfTrue="1" operator="between">
      <formula>35.1</formula>
      <formula>80</formula>
    </cfRule>
    <cfRule type="cellIs" dxfId="7476" priority="1470" stopIfTrue="1" operator="between">
      <formula>14.1</formula>
      <formula>35</formula>
    </cfRule>
    <cfRule type="cellIs" dxfId="7475" priority="1471" stopIfTrue="1" operator="between">
      <formula>5.1</formula>
      <formula>14</formula>
    </cfRule>
    <cfRule type="cellIs" dxfId="7474" priority="1472" stopIfTrue="1" operator="between">
      <formula>0</formula>
      <formula>5</formula>
    </cfRule>
    <cfRule type="containsBlanks" dxfId="7473" priority="1473" stopIfTrue="1">
      <formula>LEN(TRIM(F35))=0</formula>
    </cfRule>
  </conditionalFormatting>
  <conditionalFormatting sqref="E35">
    <cfRule type="containsBlanks" dxfId="7472" priority="1460" stopIfTrue="1">
      <formula>LEN(TRIM(E35))=0</formula>
    </cfRule>
    <cfRule type="cellIs" dxfId="7471" priority="1461" stopIfTrue="1" operator="between">
      <formula>80.1</formula>
      <formula>100</formula>
    </cfRule>
    <cfRule type="cellIs" dxfId="7470" priority="1462" stopIfTrue="1" operator="between">
      <formula>35.1</formula>
      <formula>80</formula>
    </cfRule>
    <cfRule type="cellIs" dxfId="7469" priority="1463" stopIfTrue="1" operator="between">
      <formula>14.1</formula>
      <formula>35</formula>
    </cfRule>
    <cfRule type="cellIs" dxfId="7468" priority="1464" stopIfTrue="1" operator="between">
      <formula>5.1</formula>
      <formula>14</formula>
    </cfRule>
    <cfRule type="cellIs" dxfId="7467" priority="1465" stopIfTrue="1" operator="between">
      <formula>0</formula>
      <formula>5</formula>
    </cfRule>
    <cfRule type="containsBlanks" dxfId="7466" priority="1466" stopIfTrue="1">
      <formula>LEN(TRIM(E35))=0</formula>
    </cfRule>
  </conditionalFormatting>
  <conditionalFormatting sqref="F37:Q37">
    <cfRule type="containsBlanks" dxfId="7465" priority="1453" stopIfTrue="1">
      <formula>LEN(TRIM(F37))=0</formula>
    </cfRule>
    <cfRule type="cellIs" dxfId="7464" priority="1454" stopIfTrue="1" operator="between">
      <formula>80.1</formula>
      <formula>100</formula>
    </cfRule>
    <cfRule type="cellIs" dxfId="7463" priority="1455" stopIfTrue="1" operator="between">
      <formula>35.1</formula>
      <formula>80</formula>
    </cfRule>
    <cfRule type="cellIs" dxfId="7462" priority="1456" stopIfTrue="1" operator="between">
      <formula>14.1</formula>
      <formula>35</formula>
    </cfRule>
    <cfRule type="cellIs" dxfId="7461" priority="1457" stopIfTrue="1" operator="between">
      <formula>5.1</formula>
      <formula>14</formula>
    </cfRule>
    <cfRule type="cellIs" dxfId="7460" priority="1458" stopIfTrue="1" operator="between">
      <formula>0</formula>
      <formula>5</formula>
    </cfRule>
    <cfRule type="containsBlanks" dxfId="7459" priority="1459" stopIfTrue="1">
      <formula>LEN(TRIM(F37))=0</formula>
    </cfRule>
  </conditionalFormatting>
  <conditionalFormatting sqref="E37">
    <cfRule type="containsBlanks" dxfId="7458" priority="1446" stopIfTrue="1">
      <formula>LEN(TRIM(E37))=0</formula>
    </cfRule>
    <cfRule type="cellIs" dxfId="7457" priority="1447" stopIfTrue="1" operator="between">
      <formula>80.1</formula>
      <formula>100</formula>
    </cfRule>
    <cfRule type="cellIs" dxfId="7456" priority="1448" stopIfTrue="1" operator="between">
      <formula>35.1</formula>
      <formula>80</formula>
    </cfRule>
    <cfRule type="cellIs" dxfId="7455" priority="1449" stopIfTrue="1" operator="between">
      <formula>14.1</formula>
      <formula>35</formula>
    </cfRule>
    <cfRule type="cellIs" dxfId="7454" priority="1450" stopIfTrue="1" operator="between">
      <formula>5.1</formula>
      <formula>14</formula>
    </cfRule>
    <cfRule type="cellIs" dxfId="7453" priority="1451" stopIfTrue="1" operator="between">
      <formula>0</formula>
      <formula>5</formula>
    </cfRule>
    <cfRule type="containsBlanks" dxfId="7452" priority="1452" stopIfTrue="1">
      <formula>LEN(TRIM(E37))=0</formula>
    </cfRule>
  </conditionalFormatting>
  <conditionalFormatting sqref="F34:P34">
    <cfRule type="containsBlanks" dxfId="7451" priority="1439" stopIfTrue="1">
      <formula>LEN(TRIM(F34))=0</formula>
    </cfRule>
    <cfRule type="cellIs" dxfId="7450" priority="1440" stopIfTrue="1" operator="between">
      <formula>80.1</formula>
      <formula>100</formula>
    </cfRule>
    <cfRule type="cellIs" dxfId="7449" priority="1441" stopIfTrue="1" operator="between">
      <formula>35.1</formula>
      <formula>80</formula>
    </cfRule>
    <cfRule type="cellIs" dxfId="7448" priority="1442" stopIfTrue="1" operator="between">
      <formula>14.1</formula>
      <formula>35</formula>
    </cfRule>
    <cfRule type="cellIs" dxfId="7447" priority="1443" stopIfTrue="1" operator="between">
      <formula>5.1</formula>
      <formula>14</formula>
    </cfRule>
    <cfRule type="cellIs" dxfId="7446" priority="1444" stopIfTrue="1" operator="between">
      <formula>0</formula>
      <formula>5</formula>
    </cfRule>
    <cfRule type="containsBlanks" dxfId="7445" priority="1445" stopIfTrue="1">
      <formula>LEN(TRIM(F34))=0</formula>
    </cfRule>
  </conditionalFormatting>
  <conditionalFormatting sqref="F38:Q38">
    <cfRule type="containsBlanks" dxfId="7444" priority="1425" stopIfTrue="1">
      <formula>LEN(TRIM(F38))=0</formula>
    </cfRule>
    <cfRule type="cellIs" dxfId="7443" priority="1426" stopIfTrue="1" operator="between">
      <formula>80.1</formula>
      <formula>100</formula>
    </cfRule>
    <cfRule type="cellIs" dxfId="7442" priority="1427" stopIfTrue="1" operator="between">
      <formula>35.1</formula>
      <formula>80</formula>
    </cfRule>
    <cfRule type="cellIs" dxfId="7441" priority="1428" stopIfTrue="1" operator="between">
      <formula>14.1</formula>
      <formula>35</formula>
    </cfRule>
    <cfRule type="cellIs" dxfId="7440" priority="1429" stopIfTrue="1" operator="between">
      <formula>5.1</formula>
      <formula>14</formula>
    </cfRule>
    <cfRule type="cellIs" dxfId="7439" priority="1430" stopIfTrue="1" operator="between">
      <formula>0</formula>
      <formula>5</formula>
    </cfRule>
    <cfRule type="containsBlanks" dxfId="7438" priority="1431" stopIfTrue="1">
      <formula>LEN(TRIM(F38))=0</formula>
    </cfRule>
  </conditionalFormatting>
  <conditionalFormatting sqref="E38">
    <cfRule type="containsBlanks" dxfId="7437" priority="1418" stopIfTrue="1">
      <formula>LEN(TRIM(E38))=0</formula>
    </cfRule>
    <cfRule type="cellIs" dxfId="7436" priority="1419" stopIfTrue="1" operator="between">
      <formula>80.1</formula>
      <formula>100</formula>
    </cfRule>
    <cfRule type="cellIs" dxfId="7435" priority="1420" stopIfTrue="1" operator="between">
      <formula>35.1</formula>
      <formula>80</formula>
    </cfRule>
    <cfRule type="cellIs" dxfId="7434" priority="1421" stopIfTrue="1" operator="between">
      <formula>14.1</formula>
      <formula>35</formula>
    </cfRule>
    <cfRule type="cellIs" dxfId="7433" priority="1422" stopIfTrue="1" operator="between">
      <formula>5.1</formula>
      <formula>14</formula>
    </cfRule>
    <cfRule type="cellIs" dxfId="7432" priority="1423" stopIfTrue="1" operator="between">
      <formula>0</formula>
      <formula>5</formula>
    </cfRule>
    <cfRule type="containsBlanks" dxfId="7431" priority="1424" stopIfTrue="1">
      <formula>LEN(TRIM(E38))=0</formula>
    </cfRule>
  </conditionalFormatting>
  <conditionalFormatting sqref="J63:J64">
    <cfRule type="containsBlanks" dxfId="7430" priority="1411" stopIfTrue="1">
      <formula>LEN(TRIM(J63))=0</formula>
    </cfRule>
    <cfRule type="cellIs" dxfId="7429" priority="1412" stopIfTrue="1" operator="between">
      <formula>79.1</formula>
      <formula>100</formula>
    </cfRule>
    <cfRule type="cellIs" dxfId="7428" priority="1413" stopIfTrue="1" operator="between">
      <formula>34.1</formula>
      <formula>79</formula>
    </cfRule>
    <cfRule type="cellIs" dxfId="7427" priority="1414" stopIfTrue="1" operator="between">
      <formula>13.1</formula>
      <formula>34</formula>
    </cfRule>
    <cfRule type="cellIs" dxfId="7426" priority="1415" stopIfTrue="1" operator="between">
      <formula>5.1</formula>
      <formula>13</formula>
    </cfRule>
    <cfRule type="cellIs" dxfId="7425" priority="1416" stopIfTrue="1" operator="between">
      <formula>0</formula>
      <formula>5</formula>
    </cfRule>
    <cfRule type="containsBlanks" dxfId="7424" priority="1417" stopIfTrue="1">
      <formula>LEN(TRIM(J63))=0</formula>
    </cfRule>
  </conditionalFormatting>
  <conditionalFormatting sqref="E99">
    <cfRule type="containsBlanks" dxfId="7423" priority="1404" stopIfTrue="1">
      <formula>LEN(TRIM(E99))=0</formula>
    </cfRule>
    <cfRule type="cellIs" dxfId="7422" priority="1405" stopIfTrue="1" operator="between">
      <formula>79.1</formula>
      <formula>100</formula>
    </cfRule>
    <cfRule type="cellIs" dxfId="7421" priority="1406" stopIfTrue="1" operator="between">
      <formula>34.1</formula>
      <formula>79</formula>
    </cfRule>
    <cfRule type="cellIs" dxfId="7420" priority="1407" stopIfTrue="1" operator="between">
      <formula>13.1</formula>
      <formula>34</formula>
    </cfRule>
    <cfRule type="cellIs" dxfId="7419" priority="1408" stopIfTrue="1" operator="between">
      <formula>5.1</formula>
      <formula>13</formula>
    </cfRule>
    <cfRule type="cellIs" dxfId="7418" priority="1409" stopIfTrue="1" operator="between">
      <formula>0</formula>
      <formula>5</formula>
    </cfRule>
    <cfRule type="containsBlanks" dxfId="7417" priority="1410" stopIfTrue="1">
      <formula>LEN(TRIM(E99))=0</formula>
    </cfRule>
  </conditionalFormatting>
  <conditionalFormatting sqref="E17:P18">
    <cfRule type="containsBlanks" dxfId="7416" priority="1390" stopIfTrue="1">
      <formula>LEN(TRIM(E17))=0</formula>
    </cfRule>
    <cfRule type="cellIs" dxfId="7415" priority="1391" stopIfTrue="1" operator="between">
      <formula>79.1</formula>
      <formula>100</formula>
    </cfRule>
    <cfRule type="cellIs" dxfId="7414" priority="1392" stopIfTrue="1" operator="between">
      <formula>34.1</formula>
      <formula>79</formula>
    </cfRule>
    <cfRule type="cellIs" dxfId="7413" priority="1393" stopIfTrue="1" operator="between">
      <formula>13.1</formula>
      <formula>34</formula>
    </cfRule>
    <cfRule type="cellIs" dxfId="7412" priority="1394" stopIfTrue="1" operator="between">
      <formula>5.1</formula>
      <formula>13</formula>
    </cfRule>
    <cfRule type="cellIs" dxfId="7411" priority="1395" stopIfTrue="1" operator="between">
      <formula>0</formula>
      <formula>5</formula>
    </cfRule>
    <cfRule type="containsBlanks" dxfId="7410" priority="1396" stopIfTrue="1">
      <formula>LEN(TRIM(E17))=0</formula>
    </cfRule>
  </conditionalFormatting>
  <conditionalFormatting sqref="E11:P43 E45:P59 E62:P128">
    <cfRule type="containsBlanks" dxfId="7409" priority="1397" stopIfTrue="1">
      <formula>LEN(TRIM(E11))=0</formula>
    </cfRule>
    <cfRule type="cellIs" dxfId="7408" priority="1398" stopIfTrue="1" operator="between">
      <formula>79.1</formula>
      <formula>100</formula>
    </cfRule>
    <cfRule type="cellIs" dxfId="7407" priority="1399" stopIfTrue="1" operator="between">
      <formula>34.1</formula>
      <formula>79</formula>
    </cfRule>
    <cfRule type="cellIs" dxfId="7406" priority="1400" stopIfTrue="1" operator="between">
      <formula>13.1</formula>
      <formula>34</formula>
    </cfRule>
    <cfRule type="cellIs" dxfId="7405" priority="1401" stopIfTrue="1" operator="between">
      <formula>5.1</formula>
      <formula>13</formula>
    </cfRule>
    <cfRule type="cellIs" dxfId="7404" priority="1402" stopIfTrue="1" operator="between">
      <formula>0</formula>
      <formula>5</formula>
    </cfRule>
    <cfRule type="containsBlanks" dxfId="7403" priority="1403" stopIfTrue="1">
      <formula>LEN(TRIM(E11))=0</formula>
    </cfRule>
  </conditionalFormatting>
  <conditionalFormatting sqref="E19:P20">
    <cfRule type="containsBlanks" dxfId="7402" priority="1383" stopIfTrue="1">
      <formula>LEN(TRIM(E19))=0</formula>
    </cfRule>
    <cfRule type="cellIs" dxfId="7401" priority="1384" stopIfTrue="1" operator="between">
      <formula>79.1</formula>
      <formula>100</formula>
    </cfRule>
    <cfRule type="cellIs" dxfId="7400" priority="1385" stopIfTrue="1" operator="between">
      <formula>34.1</formula>
      <formula>79</formula>
    </cfRule>
    <cfRule type="cellIs" dxfId="7399" priority="1386" stopIfTrue="1" operator="between">
      <formula>13.1</formula>
      <formula>34</formula>
    </cfRule>
    <cfRule type="cellIs" dxfId="7398" priority="1387" stopIfTrue="1" operator="between">
      <formula>5.1</formula>
      <formula>13</formula>
    </cfRule>
    <cfRule type="cellIs" dxfId="7397" priority="1388" stopIfTrue="1" operator="between">
      <formula>0</formula>
      <formula>5</formula>
    </cfRule>
    <cfRule type="containsBlanks" dxfId="7396" priority="1389" stopIfTrue="1">
      <formula>LEN(TRIM(E19))=0</formula>
    </cfRule>
  </conditionalFormatting>
  <conditionalFormatting sqref="K63:K64">
    <cfRule type="containsBlanks" dxfId="7395" priority="1369" stopIfTrue="1">
      <formula>LEN(TRIM(K63))=0</formula>
    </cfRule>
    <cfRule type="cellIs" dxfId="7394" priority="1370" stopIfTrue="1" operator="between">
      <formula>79.1</formula>
      <formula>100</formula>
    </cfRule>
    <cfRule type="cellIs" dxfId="7393" priority="1371" stopIfTrue="1" operator="between">
      <formula>34.1</formula>
      <formula>79</formula>
    </cfRule>
    <cfRule type="cellIs" dxfId="7392" priority="1372" stopIfTrue="1" operator="between">
      <formula>13.1</formula>
      <formula>34</formula>
    </cfRule>
    <cfRule type="cellIs" dxfId="7391" priority="1373" stopIfTrue="1" operator="between">
      <formula>5.1</formula>
      <formula>13</formula>
    </cfRule>
    <cfRule type="cellIs" dxfId="7390" priority="1374" stopIfTrue="1" operator="between">
      <formula>0</formula>
      <formula>5</formula>
    </cfRule>
    <cfRule type="containsBlanks" dxfId="7389" priority="1375" stopIfTrue="1">
      <formula>LEN(TRIM(K63))=0</formula>
    </cfRule>
  </conditionalFormatting>
  <conditionalFormatting sqref="E89:J90 E98:J98">
    <cfRule type="containsBlanks" dxfId="7388" priority="1362" stopIfTrue="1">
      <formula>LEN(TRIM(E89))=0</formula>
    </cfRule>
    <cfRule type="cellIs" dxfId="7387" priority="1363" stopIfTrue="1" operator="between">
      <formula>79.1</formula>
      <formula>100</formula>
    </cfRule>
    <cfRule type="cellIs" dxfId="7386" priority="1364" stopIfTrue="1" operator="between">
      <formula>34.1</formula>
      <formula>79</formula>
    </cfRule>
    <cfRule type="cellIs" dxfId="7385" priority="1365" stopIfTrue="1" operator="between">
      <formula>13.1</formula>
      <formula>34</formula>
    </cfRule>
    <cfRule type="cellIs" dxfId="7384" priority="1366" stopIfTrue="1" operator="between">
      <formula>5.1</formula>
      <formula>13</formula>
    </cfRule>
    <cfRule type="cellIs" dxfId="7383" priority="1367" stopIfTrue="1" operator="between">
      <formula>0</formula>
      <formula>5</formula>
    </cfRule>
    <cfRule type="containsBlanks" dxfId="7382" priority="1368" stopIfTrue="1">
      <formula>LEN(TRIM(E89))=0</formula>
    </cfRule>
  </conditionalFormatting>
  <conditionalFormatting sqref="K99:O101">
    <cfRule type="containsBlanks" dxfId="7381" priority="1341" stopIfTrue="1">
      <formula>LEN(TRIM(K99))=0</formula>
    </cfRule>
    <cfRule type="cellIs" dxfId="7380" priority="1342" stopIfTrue="1" operator="between">
      <formula>80.1</formula>
      <formula>100</formula>
    </cfRule>
    <cfRule type="cellIs" dxfId="7379" priority="1343" stopIfTrue="1" operator="between">
      <formula>35.1</formula>
      <formula>80</formula>
    </cfRule>
    <cfRule type="cellIs" dxfId="7378" priority="1344" stopIfTrue="1" operator="between">
      <formula>14.1</formula>
      <formula>35</formula>
    </cfRule>
    <cfRule type="cellIs" dxfId="7377" priority="1345" stopIfTrue="1" operator="between">
      <formula>5.1</formula>
      <formula>14</formula>
    </cfRule>
    <cfRule type="cellIs" dxfId="7376" priority="1346" stopIfTrue="1" operator="between">
      <formula>0</formula>
      <formula>5</formula>
    </cfRule>
    <cfRule type="containsBlanks" dxfId="7375" priority="1347" stopIfTrue="1">
      <formula>LEN(TRIM(K99))=0</formula>
    </cfRule>
  </conditionalFormatting>
  <conditionalFormatting sqref="L102">
    <cfRule type="containsBlanks" dxfId="7374" priority="1320" stopIfTrue="1">
      <formula>LEN(TRIM(L102))=0</formula>
    </cfRule>
    <cfRule type="cellIs" dxfId="7373" priority="1321" stopIfTrue="1" operator="between">
      <formula>80.1</formula>
      <formula>100</formula>
    </cfRule>
    <cfRule type="cellIs" dxfId="7372" priority="1322" stopIfTrue="1" operator="between">
      <formula>35.1</formula>
      <formula>80</formula>
    </cfRule>
    <cfRule type="cellIs" dxfId="7371" priority="1323" stopIfTrue="1" operator="between">
      <formula>14.1</formula>
      <formula>35</formula>
    </cfRule>
    <cfRule type="cellIs" dxfId="7370" priority="1324" stopIfTrue="1" operator="between">
      <formula>5.1</formula>
      <formula>14</formula>
    </cfRule>
    <cfRule type="cellIs" dxfId="7369" priority="1325" stopIfTrue="1" operator="between">
      <formula>0</formula>
      <formula>5</formula>
    </cfRule>
    <cfRule type="containsBlanks" dxfId="7368" priority="1326" stopIfTrue="1">
      <formula>LEN(TRIM(L102))=0</formula>
    </cfRule>
  </conditionalFormatting>
  <conditionalFormatting sqref="I100">
    <cfRule type="containsBlanks" dxfId="7367" priority="1313" stopIfTrue="1">
      <formula>LEN(TRIM(I100))=0</formula>
    </cfRule>
    <cfRule type="cellIs" dxfId="7366" priority="1314" stopIfTrue="1" operator="between">
      <formula>80.1</formula>
      <formula>100</formula>
    </cfRule>
    <cfRule type="cellIs" dxfId="7365" priority="1315" stopIfTrue="1" operator="between">
      <formula>35.1</formula>
      <formula>80</formula>
    </cfRule>
    <cfRule type="cellIs" dxfId="7364" priority="1316" stopIfTrue="1" operator="between">
      <formula>14.1</formula>
      <formula>35</formula>
    </cfRule>
    <cfRule type="cellIs" dxfId="7363" priority="1317" stopIfTrue="1" operator="between">
      <formula>5.1</formula>
      <formula>14</formula>
    </cfRule>
    <cfRule type="cellIs" dxfId="7362" priority="1318" stopIfTrue="1" operator="between">
      <formula>0</formula>
      <formula>5</formula>
    </cfRule>
    <cfRule type="containsBlanks" dxfId="7361" priority="1319" stopIfTrue="1">
      <formula>LEN(TRIM(I100))=0</formula>
    </cfRule>
  </conditionalFormatting>
  <conditionalFormatting sqref="H102">
    <cfRule type="containsBlanks" dxfId="7360" priority="1299" stopIfTrue="1">
      <formula>LEN(TRIM(H102))=0</formula>
    </cfRule>
    <cfRule type="cellIs" dxfId="7359" priority="1300" stopIfTrue="1" operator="between">
      <formula>80.1</formula>
      <formula>100</formula>
    </cfRule>
    <cfRule type="cellIs" dxfId="7358" priority="1301" stopIfTrue="1" operator="between">
      <formula>35.1</formula>
      <formula>80</formula>
    </cfRule>
    <cfRule type="cellIs" dxfId="7357" priority="1302" stopIfTrue="1" operator="between">
      <formula>14.1</formula>
      <formula>35</formula>
    </cfRule>
    <cfRule type="cellIs" dxfId="7356" priority="1303" stopIfTrue="1" operator="between">
      <formula>5.1</formula>
      <formula>14</formula>
    </cfRule>
    <cfRule type="cellIs" dxfId="7355" priority="1304" stopIfTrue="1" operator="between">
      <formula>0</formula>
      <formula>5</formula>
    </cfRule>
    <cfRule type="containsBlanks" dxfId="7354" priority="1305" stopIfTrue="1">
      <formula>LEN(TRIM(H102))=0</formula>
    </cfRule>
  </conditionalFormatting>
  <conditionalFormatting sqref="E101">
    <cfRule type="containsBlanks" dxfId="7353" priority="1292" stopIfTrue="1">
      <formula>LEN(TRIM(E101))=0</formula>
    </cfRule>
    <cfRule type="cellIs" dxfId="7352" priority="1293" stopIfTrue="1" operator="between">
      <formula>80.1</formula>
      <formula>100</formula>
    </cfRule>
    <cfRule type="cellIs" dxfId="7351" priority="1294" stopIfTrue="1" operator="between">
      <formula>35.1</formula>
      <formula>80</formula>
    </cfRule>
    <cfRule type="cellIs" dxfId="7350" priority="1295" stopIfTrue="1" operator="between">
      <formula>14.1</formula>
      <formula>35</formula>
    </cfRule>
    <cfRule type="cellIs" dxfId="7349" priority="1296" stopIfTrue="1" operator="between">
      <formula>5.1</formula>
      <formula>14</formula>
    </cfRule>
    <cfRule type="cellIs" dxfId="7348" priority="1297" stopIfTrue="1" operator="between">
      <formula>0</formula>
      <formula>5</formula>
    </cfRule>
    <cfRule type="containsBlanks" dxfId="7347" priority="1298" stopIfTrue="1">
      <formula>LEN(TRIM(E101))=0</formula>
    </cfRule>
  </conditionalFormatting>
  <conditionalFormatting sqref="Q34">
    <cfRule type="containsBlanks" dxfId="7346" priority="1285" stopIfTrue="1">
      <formula>LEN(TRIM(Q34))=0</formula>
    </cfRule>
    <cfRule type="cellIs" dxfId="7345" priority="1286" stopIfTrue="1" operator="between">
      <formula>80.1</formula>
      <formula>100</formula>
    </cfRule>
    <cfRule type="cellIs" dxfId="7344" priority="1287" stopIfTrue="1" operator="between">
      <formula>35.1</formula>
      <formula>80</formula>
    </cfRule>
    <cfRule type="cellIs" dxfId="7343" priority="1288" stopIfTrue="1" operator="between">
      <formula>14.1</formula>
      <formula>35</formula>
    </cfRule>
    <cfRule type="cellIs" dxfId="7342" priority="1289" stopIfTrue="1" operator="between">
      <formula>5.1</formula>
      <formula>14</formula>
    </cfRule>
    <cfRule type="cellIs" dxfId="7341" priority="1290" stopIfTrue="1" operator="between">
      <formula>0</formula>
      <formula>5</formula>
    </cfRule>
    <cfRule type="containsBlanks" dxfId="7340" priority="1291" stopIfTrue="1">
      <formula>LEN(TRIM(Q34))=0</formula>
    </cfRule>
  </conditionalFormatting>
  <conditionalFormatting sqref="E14:P14">
    <cfRule type="containsBlanks" dxfId="7339" priority="1278" stopIfTrue="1">
      <formula>LEN(TRIM(E14))=0</formula>
    </cfRule>
    <cfRule type="cellIs" dxfId="7338" priority="1279" stopIfTrue="1" operator="between">
      <formula>79.1</formula>
      <formula>100</formula>
    </cfRule>
    <cfRule type="cellIs" dxfId="7337" priority="1280" stopIfTrue="1" operator="between">
      <formula>34.1</formula>
      <formula>79</formula>
    </cfRule>
    <cfRule type="cellIs" dxfId="7336" priority="1281" stopIfTrue="1" operator="between">
      <formula>13.1</formula>
      <formula>34</formula>
    </cfRule>
    <cfRule type="cellIs" dxfId="7335" priority="1282" stopIfTrue="1" operator="between">
      <formula>5.1</formula>
      <formula>13</formula>
    </cfRule>
    <cfRule type="cellIs" dxfId="7334" priority="1283" stopIfTrue="1" operator="between">
      <formula>0</formula>
      <formula>5</formula>
    </cfRule>
    <cfRule type="containsBlanks" dxfId="7333" priority="1284" stopIfTrue="1">
      <formula>LEN(TRIM(E14))=0</formula>
    </cfRule>
  </conditionalFormatting>
  <conditionalFormatting sqref="E15:P15">
    <cfRule type="containsBlanks" dxfId="7332" priority="1271" stopIfTrue="1">
      <formula>LEN(TRIM(E15))=0</formula>
    </cfRule>
    <cfRule type="cellIs" dxfId="7331" priority="1272" stopIfTrue="1" operator="between">
      <formula>79.1</formula>
      <formula>100</formula>
    </cfRule>
    <cfRule type="cellIs" dxfId="7330" priority="1273" stopIfTrue="1" operator="between">
      <formula>34.1</formula>
      <formula>79</formula>
    </cfRule>
    <cfRule type="cellIs" dxfId="7329" priority="1274" stopIfTrue="1" operator="between">
      <formula>13.1</formula>
      <formula>34</formula>
    </cfRule>
    <cfRule type="cellIs" dxfId="7328" priority="1275" stopIfTrue="1" operator="between">
      <formula>5.1</formula>
      <formula>13</formula>
    </cfRule>
    <cfRule type="cellIs" dxfId="7327" priority="1276" stopIfTrue="1" operator="between">
      <formula>0</formula>
      <formula>5</formula>
    </cfRule>
    <cfRule type="containsBlanks" dxfId="7326" priority="1277" stopIfTrue="1">
      <formula>LEN(TRIM(E15))=0</formula>
    </cfRule>
  </conditionalFormatting>
  <conditionalFormatting sqref="E16:P16">
    <cfRule type="containsBlanks" dxfId="7325" priority="1264" stopIfTrue="1">
      <formula>LEN(TRIM(E16))=0</formula>
    </cfRule>
    <cfRule type="cellIs" dxfId="7324" priority="1265" stopIfTrue="1" operator="between">
      <formula>79.1</formula>
      <formula>100</formula>
    </cfRule>
    <cfRule type="cellIs" dxfId="7323" priority="1266" stopIfTrue="1" operator="between">
      <formula>34.1</formula>
      <formula>79</formula>
    </cfRule>
    <cfRule type="cellIs" dxfId="7322" priority="1267" stopIfTrue="1" operator="between">
      <formula>13.1</formula>
      <formula>34</formula>
    </cfRule>
    <cfRule type="cellIs" dxfId="7321" priority="1268" stopIfTrue="1" operator="between">
      <formula>5.1</formula>
      <formula>13</formula>
    </cfRule>
    <cfRule type="cellIs" dxfId="7320" priority="1269" stopIfTrue="1" operator="between">
      <formula>0</formula>
      <formula>5</formula>
    </cfRule>
    <cfRule type="containsBlanks" dxfId="7319" priority="1270" stopIfTrue="1">
      <formula>LEN(TRIM(E16))=0</formula>
    </cfRule>
  </conditionalFormatting>
  <conditionalFormatting sqref="E46:P46">
    <cfRule type="containsBlanks" dxfId="7318" priority="1250" stopIfTrue="1">
      <formula>LEN(TRIM(E46))=0</formula>
    </cfRule>
    <cfRule type="cellIs" dxfId="7317" priority="1251" stopIfTrue="1" operator="between">
      <formula>80.1</formula>
      <formula>100</formula>
    </cfRule>
    <cfRule type="cellIs" dxfId="7316" priority="1252" stopIfTrue="1" operator="between">
      <formula>35.1</formula>
      <formula>80</formula>
    </cfRule>
    <cfRule type="cellIs" dxfId="7315" priority="1253" stopIfTrue="1" operator="between">
      <formula>14.1</formula>
      <formula>35</formula>
    </cfRule>
    <cfRule type="cellIs" dxfId="7314" priority="1254" stopIfTrue="1" operator="between">
      <formula>5.1</formula>
      <formula>14</formula>
    </cfRule>
    <cfRule type="cellIs" dxfId="7313" priority="1255" stopIfTrue="1" operator="between">
      <formula>0</formula>
      <formula>5</formula>
    </cfRule>
    <cfRule type="containsBlanks" dxfId="7312" priority="1256" stopIfTrue="1">
      <formula>LEN(TRIM(E46))=0</formula>
    </cfRule>
  </conditionalFormatting>
  <conditionalFormatting sqref="E47:P47">
    <cfRule type="containsBlanks" dxfId="7311" priority="1243" stopIfTrue="1">
      <formula>LEN(TRIM(E47))=0</formula>
    </cfRule>
    <cfRule type="cellIs" dxfId="7310" priority="1244" stopIfTrue="1" operator="between">
      <formula>80.1</formula>
      <formula>100</formula>
    </cfRule>
    <cfRule type="cellIs" dxfId="7309" priority="1245" stopIfTrue="1" operator="between">
      <formula>35.1</formula>
      <formula>80</formula>
    </cfRule>
    <cfRule type="cellIs" dxfId="7308" priority="1246" stopIfTrue="1" operator="between">
      <formula>14.1</formula>
      <formula>35</formula>
    </cfRule>
    <cfRule type="cellIs" dxfId="7307" priority="1247" stopIfTrue="1" operator="between">
      <formula>5.1</formula>
      <formula>14</formula>
    </cfRule>
    <cfRule type="cellIs" dxfId="7306" priority="1248" stopIfTrue="1" operator="between">
      <formula>0</formula>
      <formula>5</formula>
    </cfRule>
    <cfRule type="containsBlanks" dxfId="7305" priority="1249" stopIfTrue="1">
      <formula>LEN(TRIM(E47))=0</formula>
    </cfRule>
  </conditionalFormatting>
  <conditionalFormatting sqref="E48:P48">
    <cfRule type="containsBlanks" dxfId="7304" priority="1236" stopIfTrue="1">
      <formula>LEN(TRIM(E48))=0</formula>
    </cfRule>
    <cfRule type="cellIs" dxfId="7303" priority="1237" stopIfTrue="1" operator="between">
      <formula>80.1</formula>
      <formula>100</formula>
    </cfRule>
    <cfRule type="cellIs" dxfId="7302" priority="1238" stopIfTrue="1" operator="between">
      <formula>35.1</formula>
      <formula>80</formula>
    </cfRule>
    <cfRule type="cellIs" dxfId="7301" priority="1239" stopIfTrue="1" operator="between">
      <formula>14.1</formula>
      <formula>35</formula>
    </cfRule>
    <cfRule type="cellIs" dxfId="7300" priority="1240" stopIfTrue="1" operator="between">
      <formula>5.1</formula>
      <formula>14</formula>
    </cfRule>
    <cfRule type="cellIs" dxfId="7299" priority="1241" stopIfTrue="1" operator="between">
      <formula>0</formula>
      <formula>5</formula>
    </cfRule>
    <cfRule type="containsBlanks" dxfId="7298" priority="1242" stopIfTrue="1">
      <formula>LEN(TRIM(E48))=0</formula>
    </cfRule>
  </conditionalFormatting>
  <conditionalFormatting sqref="E49:P49">
    <cfRule type="containsBlanks" dxfId="7297" priority="1229" stopIfTrue="1">
      <formula>LEN(TRIM(E49))=0</formula>
    </cfRule>
    <cfRule type="cellIs" dxfId="7296" priority="1230" stopIfTrue="1" operator="between">
      <formula>80.1</formula>
      <formula>100</formula>
    </cfRule>
    <cfRule type="cellIs" dxfId="7295" priority="1231" stopIfTrue="1" operator="between">
      <formula>35.1</formula>
      <formula>80</formula>
    </cfRule>
    <cfRule type="cellIs" dxfId="7294" priority="1232" stopIfTrue="1" operator="between">
      <formula>14.1</formula>
      <formula>35</formula>
    </cfRule>
    <cfRule type="cellIs" dxfId="7293" priority="1233" stopIfTrue="1" operator="between">
      <formula>5.1</formula>
      <formula>14</formula>
    </cfRule>
    <cfRule type="cellIs" dxfId="7292" priority="1234" stopIfTrue="1" operator="between">
      <formula>0</formula>
      <formula>5</formula>
    </cfRule>
    <cfRule type="containsBlanks" dxfId="7291" priority="1235" stopIfTrue="1">
      <formula>LEN(TRIM(E49))=0</formula>
    </cfRule>
  </conditionalFormatting>
  <conditionalFormatting sqref="E51:P51">
    <cfRule type="containsBlanks" dxfId="7290" priority="1222" stopIfTrue="1">
      <formula>LEN(TRIM(E51))=0</formula>
    </cfRule>
    <cfRule type="cellIs" dxfId="7289" priority="1223" stopIfTrue="1" operator="between">
      <formula>80.1</formula>
      <formula>100</formula>
    </cfRule>
    <cfRule type="cellIs" dxfId="7288" priority="1224" stopIfTrue="1" operator="between">
      <formula>35.1</formula>
      <formula>80</formula>
    </cfRule>
    <cfRule type="cellIs" dxfId="7287" priority="1225" stopIfTrue="1" operator="between">
      <formula>14.1</formula>
      <formula>35</formula>
    </cfRule>
    <cfRule type="cellIs" dxfId="7286" priority="1226" stopIfTrue="1" operator="between">
      <formula>5.1</formula>
      <formula>14</formula>
    </cfRule>
    <cfRule type="cellIs" dxfId="7285" priority="1227" stopIfTrue="1" operator="between">
      <formula>0</formula>
      <formula>5</formula>
    </cfRule>
    <cfRule type="containsBlanks" dxfId="7284" priority="1228" stopIfTrue="1">
      <formula>LEN(TRIM(E51))=0</formula>
    </cfRule>
  </conditionalFormatting>
  <conditionalFormatting sqref="E53:P53">
    <cfRule type="containsBlanks" dxfId="7283" priority="1215" stopIfTrue="1">
      <formula>LEN(TRIM(E53))=0</formula>
    </cfRule>
    <cfRule type="cellIs" dxfId="7282" priority="1216" stopIfTrue="1" operator="between">
      <formula>80.1</formula>
      <formula>100</formula>
    </cfRule>
    <cfRule type="cellIs" dxfId="7281" priority="1217" stopIfTrue="1" operator="between">
      <formula>35.1</formula>
      <formula>80</formula>
    </cfRule>
    <cfRule type="cellIs" dxfId="7280" priority="1218" stopIfTrue="1" operator="between">
      <formula>14.1</formula>
      <formula>35</formula>
    </cfRule>
    <cfRule type="cellIs" dxfId="7279" priority="1219" stopIfTrue="1" operator="between">
      <formula>5.1</formula>
      <formula>14</formula>
    </cfRule>
    <cfRule type="cellIs" dxfId="7278" priority="1220" stopIfTrue="1" operator="between">
      <formula>0</formula>
      <formula>5</formula>
    </cfRule>
    <cfRule type="containsBlanks" dxfId="7277" priority="1221" stopIfTrue="1">
      <formula>LEN(TRIM(E53))=0</formula>
    </cfRule>
  </conditionalFormatting>
  <conditionalFormatting sqref="E54:P54">
    <cfRule type="containsBlanks" dxfId="7276" priority="1208" stopIfTrue="1">
      <formula>LEN(TRIM(E54))=0</formula>
    </cfRule>
    <cfRule type="cellIs" dxfId="7275" priority="1209" stopIfTrue="1" operator="between">
      <formula>80.1</formula>
      <formula>100</formula>
    </cfRule>
    <cfRule type="cellIs" dxfId="7274" priority="1210" stopIfTrue="1" operator="between">
      <formula>35.1</formula>
      <formula>80</formula>
    </cfRule>
    <cfRule type="cellIs" dxfId="7273" priority="1211" stopIfTrue="1" operator="between">
      <formula>14.1</formula>
      <formula>35</formula>
    </cfRule>
    <cfRule type="cellIs" dxfId="7272" priority="1212" stopIfTrue="1" operator="between">
      <formula>5.1</formula>
      <formula>14</formula>
    </cfRule>
    <cfRule type="cellIs" dxfId="7271" priority="1213" stopIfTrue="1" operator="between">
      <formula>0</formula>
      <formula>5</formula>
    </cfRule>
    <cfRule type="containsBlanks" dxfId="7270" priority="1214" stopIfTrue="1">
      <formula>LEN(TRIM(E54))=0</formula>
    </cfRule>
  </conditionalFormatting>
  <conditionalFormatting sqref="E55:P55">
    <cfRule type="containsBlanks" dxfId="7269" priority="1201" stopIfTrue="1">
      <formula>LEN(TRIM(E55))=0</formula>
    </cfRule>
    <cfRule type="cellIs" dxfId="7268" priority="1202" stopIfTrue="1" operator="between">
      <formula>80.1</formula>
      <formula>100</formula>
    </cfRule>
    <cfRule type="cellIs" dxfId="7267" priority="1203" stopIfTrue="1" operator="between">
      <formula>35.1</formula>
      <formula>80</formula>
    </cfRule>
    <cfRule type="cellIs" dxfId="7266" priority="1204" stopIfTrue="1" operator="between">
      <formula>14.1</formula>
      <formula>35</formula>
    </cfRule>
    <cfRule type="cellIs" dxfId="7265" priority="1205" stopIfTrue="1" operator="between">
      <formula>5.1</formula>
      <formula>14</formula>
    </cfRule>
    <cfRule type="cellIs" dxfId="7264" priority="1206" stopIfTrue="1" operator="between">
      <formula>0</formula>
      <formula>5</formula>
    </cfRule>
    <cfRule type="containsBlanks" dxfId="7263" priority="1207" stopIfTrue="1">
      <formula>LEN(TRIM(E55))=0</formula>
    </cfRule>
  </conditionalFormatting>
  <conditionalFormatting sqref="E56:P56">
    <cfRule type="containsBlanks" dxfId="7262" priority="1194" stopIfTrue="1">
      <formula>LEN(TRIM(E56))=0</formula>
    </cfRule>
    <cfRule type="cellIs" dxfId="7261" priority="1195" stopIfTrue="1" operator="between">
      <formula>80.1</formula>
      <formula>100</formula>
    </cfRule>
    <cfRule type="cellIs" dxfId="7260" priority="1196" stopIfTrue="1" operator="between">
      <formula>35.1</formula>
      <formula>80</formula>
    </cfRule>
    <cfRule type="cellIs" dxfId="7259" priority="1197" stopIfTrue="1" operator="between">
      <formula>14.1</formula>
      <formula>35</formula>
    </cfRule>
    <cfRule type="cellIs" dxfId="7258" priority="1198" stopIfTrue="1" operator="between">
      <formula>5.1</formula>
      <formula>14</formula>
    </cfRule>
    <cfRule type="cellIs" dxfId="7257" priority="1199" stopIfTrue="1" operator="between">
      <formula>0</formula>
      <formula>5</formula>
    </cfRule>
    <cfRule type="containsBlanks" dxfId="7256" priority="1200" stopIfTrue="1">
      <formula>LEN(TRIM(E56))=0</formula>
    </cfRule>
  </conditionalFormatting>
  <conditionalFormatting sqref="E59:P59">
    <cfRule type="containsBlanks" dxfId="7255" priority="1187" stopIfTrue="1">
      <formula>LEN(TRIM(E59))=0</formula>
    </cfRule>
    <cfRule type="cellIs" dxfId="7254" priority="1188" stopIfTrue="1" operator="between">
      <formula>80.1</formula>
      <formula>100</formula>
    </cfRule>
    <cfRule type="cellIs" dxfId="7253" priority="1189" stopIfTrue="1" operator="between">
      <formula>35.1</formula>
      <formula>80</formula>
    </cfRule>
    <cfRule type="cellIs" dxfId="7252" priority="1190" stopIfTrue="1" operator="between">
      <formula>14.1</formula>
      <formula>35</formula>
    </cfRule>
    <cfRule type="cellIs" dxfId="7251" priority="1191" stopIfTrue="1" operator="between">
      <formula>5.1</formula>
      <formula>14</formula>
    </cfRule>
    <cfRule type="cellIs" dxfId="7250" priority="1192" stopIfTrue="1" operator="between">
      <formula>0</formula>
      <formula>5</formula>
    </cfRule>
    <cfRule type="containsBlanks" dxfId="7249" priority="1193" stopIfTrue="1">
      <formula>LEN(TRIM(E59))=0</formula>
    </cfRule>
  </conditionalFormatting>
  <conditionalFormatting sqref="Q58">
    <cfRule type="containsBlanks" dxfId="7248" priority="1180" stopIfTrue="1">
      <formula>LEN(TRIM(Q58))=0</formula>
    </cfRule>
    <cfRule type="cellIs" dxfId="7247" priority="1181" stopIfTrue="1" operator="between">
      <formula>80.1</formula>
      <formula>100</formula>
    </cfRule>
    <cfRule type="cellIs" dxfId="7246" priority="1182" stopIfTrue="1" operator="between">
      <formula>35.1</formula>
      <formula>80</formula>
    </cfRule>
    <cfRule type="cellIs" dxfId="7245" priority="1183" stopIfTrue="1" operator="between">
      <formula>14.1</formula>
      <formula>35</formula>
    </cfRule>
    <cfRule type="cellIs" dxfId="7244" priority="1184" stopIfTrue="1" operator="between">
      <formula>5.1</formula>
      <formula>14</formula>
    </cfRule>
    <cfRule type="cellIs" dxfId="7243" priority="1185" stopIfTrue="1" operator="between">
      <formula>0</formula>
      <formula>5</formula>
    </cfRule>
    <cfRule type="containsBlanks" dxfId="7242" priority="1186" stopIfTrue="1">
      <formula>LEN(TRIM(Q58))=0</formula>
    </cfRule>
  </conditionalFormatting>
  <conditionalFormatting sqref="E58:P58">
    <cfRule type="containsBlanks" dxfId="7241" priority="1173" stopIfTrue="1">
      <formula>LEN(TRIM(E58))=0</formula>
    </cfRule>
    <cfRule type="cellIs" dxfId="7240" priority="1174" stopIfTrue="1" operator="between">
      <formula>80.1</formula>
      <formula>100</formula>
    </cfRule>
    <cfRule type="cellIs" dxfId="7239" priority="1175" stopIfTrue="1" operator="between">
      <formula>35.1</formula>
      <formula>80</formula>
    </cfRule>
    <cfRule type="cellIs" dxfId="7238" priority="1176" stopIfTrue="1" operator="between">
      <formula>14.1</formula>
      <formula>35</formula>
    </cfRule>
    <cfRule type="cellIs" dxfId="7237" priority="1177" stopIfTrue="1" operator="between">
      <formula>5.1</formula>
      <formula>14</formula>
    </cfRule>
    <cfRule type="cellIs" dxfId="7236" priority="1178" stopIfTrue="1" operator="between">
      <formula>0</formula>
      <formula>5</formula>
    </cfRule>
    <cfRule type="containsBlanks" dxfId="7235" priority="1179" stopIfTrue="1">
      <formula>LEN(TRIM(E58))=0</formula>
    </cfRule>
  </conditionalFormatting>
  <conditionalFormatting sqref="E57:P57">
    <cfRule type="containsBlanks" dxfId="7234" priority="1152" stopIfTrue="1">
      <formula>LEN(TRIM(E57))=0</formula>
    </cfRule>
    <cfRule type="cellIs" dxfId="7233" priority="1153" stopIfTrue="1" operator="between">
      <formula>80.1</formula>
      <formula>100</formula>
    </cfRule>
    <cfRule type="cellIs" dxfId="7232" priority="1154" stopIfTrue="1" operator="between">
      <formula>35.1</formula>
      <formula>80</formula>
    </cfRule>
    <cfRule type="cellIs" dxfId="7231" priority="1155" stopIfTrue="1" operator="between">
      <formula>14.1</formula>
      <formula>35</formula>
    </cfRule>
    <cfRule type="cellIs" dxfId="7230" priority="1156" stopIfTrue="1" operator="between">
      <formula>5.1</formula>
      <formula>14</formula>
    </cfRule>
    <cfRule type="cellIs" dxfId="7229" priority="1157" stopIfTrue="1" operator="between">
      <formula>0</formula>
      <formula>5</formula>
    </cfRule>
    <cfRule type="containsBlanks" dxfId="7228" priority="1158" stopIfTrue="1">
      <formula>LEN(TRIM(E57))=0</formula>
    </cfRule>
  </conditionalFormatting>
  <conditionalFormatting sqref="E68:P68">
    <cfRule type="containsBlanks" dxfId="7227" priority="1145" stopIfTrue="1">
      <formula>LEN(TRIM(E68))=0</formula>
    </cfRule>
    <cfRule type="cellIs" dxfId="7226" priority="1146" stopIfTrue="1" operator="between">
      <formula>79.1</formula>
      <formula>100</formula>
    </cfRule>
    <cfRule type="cellIs" dxfId="7225" priority="1147" stopIfTrue="1" operator="between">
      <formula>34.1</formula>
      <formula>79</formula>
    </cfRule>
    <cfRule type="cellIs" dxfId="7224" priority="1148" stopIfTrue="1" operator="between">
      <formula>13.1</formula>
      <formula>34</formula>
    </cfRule>
    <cfRule type="cellIs" dxfId="7223" priority="1149" stopIfTrue="1" operator="between">
      <formula>5.1</formula>
      <formula>13</formula>
    </cfRule>
    <cfRule type="cellIs" dxfId="7222" priority="1150" stopIfTrue="1" operator="between">
      <formula>0</formula>
      <formula>5</formula>
    </cfRule>
    <cfRule type="containsBlanks" dxfId="7221" priority="1151" stopIfTrue="1">
      <formula>LEN(TRIM(E68))=0</formula>
    </cfRule>
  </conditionalFormatting>
  <conditionalFormatting sqref="E80:P80">
    <cfRule type="containsBlanks" dxfId="7220" priority="1138" stopIfTrue="1">
      <formula>LEN(TRIM(E80))=0</formula>
    </cfRule>
    <cfRule type="cellIs" dxfId="7219" priority="1139" stopIfTrue="1" operator="between">
      <formula>79.1</formula>
      <formula>100</formula>
    </cfRule>
    <cfRule type="cellIs" dxfId="7218" priority="1140" stopIfTrue="1" operator="between">
      <formula>34.1</formula>
      <formula>79</formula>
    </cfRule>
    <cfRule type="cellIs" dxfId="7217" priority="1141" stopIfTrue="1" operator="between">
      <formula>13.1</formula>
      <formula>34</formula>
    </cfRule>
    <cfRule type="cellIs" dxfId="7216" priority="1142" stopIfTrue="1" operator="between">
      <formula>5.1</formula>
      <formula>13</formula>
    </cfRule>
    <cfRule type="cellIs" dxfId="7215" priority="1143" stopIfTrue="1" operator="between">
      <formula>0</formula>
      <formula>5</formula>
    </cfRule>
    <cfRule type="containsBlanks" dxfId="7214" priority="1144" stopIfTrue="1">
      <formula>LEN(TRIM(E80))=0</formula>
    </cfRule>
  </conditionalFormatting>
  <conditionalFormatting sqref="E81:P88">
    <cfRule type="containsBlanks" dxfId="7213" priority="1131" stopIfTrue="1">
      <formula>LEN(TRIM(E81))=0</formula>
    </cfRule>
    <cfRule type="cellIs" dxfId="7212" priority="1132" stopIfTrue="1" operator="between">
      <formula>79.1</formula>
      <formula>100</formula>
    </cfRule>
    <cfRule type="cellIs" dxfId="7211" priority="1133" stopIfTrue="1" operator="between">
      <formula>34.1</formula>
      <formula>79</formula>
    </cfRule>
    <cfRule type="cellIs" dxfId="7210" priority="1134" stopIfTrue="1" operator="between">
      <formula>13.1</formula>
      <formula>34</formula>
    </cfRule>
    <cfRule type="cellIs" dxfId="7209" priority="1135" stopIfTrue="1" operator="between">
      <formula>5.1</formula>
      <formula>13</formula>
    </cfRule>
    <cfRule type="cellIs" dxfId="7208" priority="1136" stopIfTrue="1" operator="between">
      <formula>0</formula>
      <formula>5</formula>
    </cfRule>
    <cfRule type="containsBlanks" dxfId="7207" priority="1137" stopIfTrue="1">
      <formula>LEN(TRIM(E81))=0</formula>
    </cfRule>
  </conditionalFormatting>
  <conditionalFormatting sqref="E82:P82">
    <cfRule type="containsBlanks" dxfId="7206" priority="1124" stopIfTrue="1">
      <formula>LEN(TRIM(E82))=0</formula>
    </cfRule>
    <cfRule type="cellIs" dxfId="7205" priority="1125" stopIfTrue="1" operator="between">
      <formula>79.1</formula>
      <formula>100</formula>
    </cfRule>
    <cfRule type="cellIs" dxfId="7204" priority="1126" stopIfTrue="1" operator="between">
      <formula>34.1</formula>
      <formula>79</formula>
    </cfRule>
    <cfRule type="cellIs" dxfId="7203" priority="1127" stopIfTrue="1" operator="between">
      <formula>13.1</formula>
      <formula>34</formula>
    </cfRule>
    <cfRule type="cellIs" dxfId="7202" priority="1128" stopIfTrue="1" operator="between">
      <formula>5.1</formula>
      <formula>13</formula>
    </cfRule>
    <cfRule type="cellIs" dxfId="7201" priority="1129" stopIfTrue="1" operator="between">
      <formula>0</formula>
      <formula>5</formula>
    </cfRule>
    <cfRule type="containsBlanks" dxfId="7200" priority="1130" stopIfTrue="1">
      <formula>LEN(TRIM(E82))=0</formula>
    </cfRule>
  </conditionalFormatting>
  <conditionalFormatting sqref="E83:P83">
    <cfRule type="containsBlanks" dxfId="7199" priority="1117" stopIfTrue="1">
      <formula>LEN(TRIM(E83))=0</formula>
    </cfRule>
    <cfRule type="cellIs" dxfId="7198" priority="1118" stopIfTrue="1" operator="between">
      <formula>79.1</formula>
      <formula>100</formula>
    </cfRule>
    <cfRule type="cellIs" dxfId="7197" priority="1119" stopIfTrue="1" operator="between">
      <formula>34.1</formula>
      <formula>79</formula>
    </cfRule>
    <cfRule type="cellIs" dxfId="7196" priority="1120" stopIfTrue="1" operator="between">
      <formula>13.1</formula>
      <formula>34</formula>
    </cfRule>
    <cfRule type="cellIs" dxfId="7195" priority="1121" stopIfTrue="1" operator="between">
      <formula>5.1</formula>
      <formula>13</formula>
    </cfRule>
    <cfRule type="cellIs" dxfId="7194" priority="1122" stopIfTrue="1" operator="between">
      <formula>0</formula>
      <formula>5</formula>
    </cfRule>
    <cfRule type="containsBlanks" dxfId="7193" priority="1123" stopIfTrue="1">
      <formula>LEN(TRIM(E83))=0</formula>
    </cfRule>
  </conditionalFormatting>
  <conditionalFormatting sqref="E84:P84">
    <cfRule type="containsBlanks" dxfId="7192" priority="1110" stopIfTrue="1">
      <formula>LEN(TRIM(E84))=0</formula>
    </cfRule>
    <cfRule type="cellIs" dxfId="7191" priority="1111" stopIfTrue="1" operator="between">
      <formula>79.1</formula>
      <formula>100</formula>
    </cfRule>
    <cfRule type="cellIs" dxfId="7190" priority="1112" stopIfTrue="1" operator="between">
      <formula>34.1</formula>
      <formula>79</formula>
    </cfRule>
    <cfRule type="cellIs" dxfId="7189" priority="1113" stopIfTrue="1" operator="between">
      <formula>13.1</formula>
      <formula>34</formula>
    </cfRule>
    <cfRule type="cellIs" dxfId="7188" priority="1114" stopIfTrue="1" operator="between">
      <formula>5.1</formula>
      <formula>13</formula>
    </cfRule>
    <cfRule type="cellIs" dxfId="7187" priority="1115" stopIfTrue="1" operator="between">
      <formula>0</formula>
      <formula>5</formula>
    </cfRule>
    <cfRule type="containsBlanks" dxfId="7186" priority="1116" stopIfTrue="1">
      <formula>LEN(TRIM(E84))=0</formula>
    </cfRule>
  </conditionalFormatting>
  <conditionalFormatting sqref="E85:P85">
    <cfRule type="containsBlanks" dxfId="7185" priority="1103" stopIfTrue="1">
      <formula>LEN(TRIM(E85))=0</formula>
    </cfRule>
    <cfRule type="cellIs" dxfId="7184" priority="1104" stopIfTrue="1" operator="between">
      <formula>79.1</formula>
      <formula>100</formula>
    </cfRule>
    <cfRule type="cellIs" dxfId="7183" priority="1105" stopIfTrue="1" operator="between">
      <formula>34.1</formula>
      <formula>79</formula>
    </cfRule>
    <cfRule type="cellIs" dxfId="7182" priority="1106" stopIfTrue="1" operator="between">
      <formula>13.1</formula>
      <formula>34</formula>
    </cfRule>
    <cfRule type="cellIs" dxfId="7181" priority="1107" stopIfTrue="1" operator="between">
      <formula>5.1</formula>
      <formula>13</formula>
    </cfRule>
    <cfRule type="cellIs" dxfId="7180" priority="1108" stopIfTrue="1" operator="between">
      <formula>0</formula>
      <formula>5</formula>
    </cfRule>
    <cfRule type="containsBlanks" dxfId="7179" priority="1109" stopIfTrue="1">
      <formula>LEN(TRIM(E85))=0</formula>
    </cfRule>
  </conditionalFormatting>
  <conditionalFormatting sqref="E91:P91">
    <cfRule type="containsBlanks" dxfId="7178" priority="1096" stopIfTrue="1">
      <formula>LEN(TRIM(E91))=0</formula>
    </cfRule>
    <cfRule type="cellIs" dxfId="7177" priority="1097" stopIfTrue="1" operator="between">
      <formula>79.1</formula>
      <formula>100</formula>
    </cfRule>
    <cfRule type="cellIs" dxfId="7176" priority="1098" stopIfTrue="1" operator="between">
      <formula>34.1</formula>
      <formula>79</formula>
    </cfRule>
    <cfRule type="cellIs" dxfId="7175" priority="1099" stopIfTrue="1" operator="between">
      <formula>13.1</formula>
      <formula>34</formula>
    </cfRule>
    <cfRule type="cellIs" dxfId="7174" priority="1100" stopIfTrue="1" operator="between">
      <formula>5.1</formula>
      <formula>13</formula>
    </cfRule>
    <cfRule type="cellIs" dxfId="7173" priority="1101" stopIfTrue="1" operator="between">
      <formula>0</formula>
      <formula>5</formula>
    </cfRule>
    <cfRule type="containsBlanks" dxfId="7172" priority="1102" stopIfTrue="1">
      <formula>LEN(TRIM(E91))=0</formula>
    </cfRule>
  </conditionalFormatting>
  <conditionalFormatting sqref="E93:P93">
    <cfRule type="containsBlanks" dxfId="7171" priority="1089" stopIfTrue="1">
      <formula>LEN(TRIM(E93))=0</formula>
    </cfRule>
    <cfRule type="cellIs" dxfId="7170" priority="1090" stopIfTrue="1" operator="between">
      <formula>79.1</formula>
      <formula>100</formula>
    </cfRule>
    <cfRule type="cellIs" dxfId="7169" priority="1091" stopIfTrue="1" operator="between">
      <formula>34.1</formula>
      <formula>79</formula>
    </cfRule>
    <cfRule type="cellIs" dxfId="7168" priority="1092" stopIfTrue="1" operator="between">
      <formula>13.1</formula>
      <formula>34</formula>
    </cfRule>
    <cfRule type="cellIs" dxfId="7167" priority="1093" stopIfTrue="1" operator="between">
      <formula>5.1</formula>
      <formula>13</formula>
    </cfRule>
    <cfRule type="cellIs" dxfId="7166" priority="1094" stopIfTrue="1" operator="between">
      <formula>0</formula>
      <formula>5</formula>
    </cfRule>
    <cfRule type="containsBlanks" dxfId="7165" priority="1095" stopIfTrue="1">
      <formula>LEN(TRIM(E93))=0</formula>
    </cfRule>
  </conditionalFormatting>
  <conditionalFormatting sqref="E94:P94">
    <cfRule type="containsBlanks" dxfId="7164" priority="1082" stopIfTrue="1">
      <formula>LEN(TRIM(E94))=0</formula>
    </cfRule>
    <cfRule type="cellIs" dxfId="7163" priority="1083" stopIfTrue="1" operator="between">
      <formula>79.1</formula>
      <formula>100</formula>
    </cfRule>
    <cfRule type="cellIs" dxfId="7162" priority="1084" stopIfTrue="1" operator="between">
      <formula>34.1</formula>
      <formula>79</formula>
    </cfRule>
    <cfRule type="cellIs" dxfId="7161" priority="1085" stopIfTrue="1" operator="between">
      <formula>13.1</formula>
      <formula>34</formula>
    </cfRule>
    <cfRule type="cellIs" dxfId="7160" priority="1086" stopIfTrue="1" operator="between">
      <formula>5.1</formula>
      <formula>13</formula>
    </cfRule>
    <cfRule type="cellIs" dxfId="7159" priority="1087" stopIfTrue="1" operator="between">
      <formula>0</formula>
      <formula>5</formula>
    </cfRule>
    <cfRule type="containsBlanks" dxfId="7158" priority="1088" stopIfTrue="1">
      <formula>LEN(TRIM(E94))=0</formula>
    </cfRule>
  </conditionalFormatting>
  <conditionalFormatting sqref="E95:P95">
    <cfRule type="containsBlanks" dxfId="7157" priority="1075" stopIfTrue="1">
      <formula>LEN(TRIM(E95))=0</formula>
    </cfRule>
    <cfRule type="cellIs" dxfId="7156" priority="1076" stopIfTrue="1" operator="between">
      <formula>79.1</formula>
      <formula>100</formula>
    </cfRule>
    <cfRule type="cellIs" dxfId="7155" priority="1077" stopIfTrue="1" operator="between">
      <formula>34.1</formula>
      <formula>79</formula>
    </cfRule>
    <cfRule type="cellIs" dxfId="7154" priority="1078" stopIfTrue="1" operator="between">
      <formula>13.1</formula>
      <formula>34</formula>
    </cfRule>
    <cfRule type="cellIs" dxfId="7153" priority="1079" stopIfTrue="1" operator="between">
      <formula>5.1</formula>
      <formula>13</formula>
    </cfRule>
    <cfRule type="cellIs" dxfId="7152" priority="1080" stopIfTrue="1" operator="between">
      <formula>0</formula>
      <formula>5</formula>
    </cfRule>
    <cfRule type="containsBlanks" dxfId="7151" priority="1081" stopIfTrue="1">
      <formula>LEN(TRIM(E95))=0</formula>
    </cfRule>
  </conditionalFormatting>
  <conditionalFormatting sqref="E79:P79">
    <cfRule type="containsBlanks" dxfId="7150" priority="1068" stopIfTrue="1">
      <formula>LEN(TRIM(E79))=0</formula>
    </cfRule>
    <cfRule type="cellIs" dxfId="7149" priority="1069" stopIfTrue="1" operator="between">
      <formula>79.1</formula>
      <formula>100</formula>
    </cfRule>
    <cfRule type="cellIs" dxfId="7148" priority="1070" stopIfTrue="1" operator="between">
      <formula>34.1</formula>
      <formula>79</formula>
    </cfRule>
    <cfRule type="cellIs" dxfId="7147" priority="1071" stopIfTrue="1" operator="between">
      <formula>13.1</formula>
      <formula>34</formula>
    </cfRule>
    <cfRule type="cellIs" dxfId="7146" priority="1072" stopIfTrue="1" operator="between">
      <formula>5.1</formula>
      <formula>13</formula>
    </cfRule>
    <cfRule type="cellIs" dxfId="7145" priority="1073" stopIfTrue="1" operator="between">
      <formula>0</formula>
      <formula>5</formula>
    </cfRule>
    <cfRule type="containsBlanks" dxfId="7144" priority="1074" stopIfTrue="1">
      <formula>LEN(TRIM(E79))=0</formula>
    </cfRule>
  </conditionalFormatting>
  <conditionalFormatting sqref="E105:P105">
    <cfRule type="containsBlanks" dxfId="7143" priority="1012" stopIfTrue="1">
      <formula>LEN(TRIM(E105))=0</formula>
    </cfRule>
    <cfRule type="cellIs" dxfId="7142" priority="1013" stopIfTrue="1" operator="between">
      <formula>79.1</formula>
      <formula>100</formula>
    </cfRule>
    <cfRule type="cellIs" dxfId="7141" priority="1014" stopIfTrue="1" operator="between">
      <formula>34.1</formula>
      <formula>79</formula>
    </cfRule>
    <cfRule type="cellIs" dxfId="7140" priority="1015" stopIfTrue="1" operator="between">
      <formula>13.1</formula>
      <formula>34</formula>
    </cfRule>
    <cfRule type="cellIs" dxfId="7139" priority="1016" stopIfTrue="1" operator="between">
      <formula>5.1</formula>
      <formula>13</formula>
    </cfRule>
    <cfRule type="cellIs" dxfId="7138" priority="1017" stopIfTrue="1" operator="between">
      <formula>0</formula>
      <formula>5</formula>
    </cfRule>
    <cfRule type="containsBlanks" dxfId="7137" priority="1018" stopIfTrue="1">
      <formula>LEN(TRIM(E105))=0</formula>
    </cfRule>
  </conditionalFormatting>
  <conditionalFormatting sqref="Q96">
    <cfRule type="containsBlanks" dxfId="7136" priority="1061" stopIfTrue="1">
      <formula>LEN(TRIM(Q96))=0</formula>
    </cfRule>
    <cfRule type="cellIs" dxfId="7135" priority="1062" stopIfTrue="1" operator="between">
      <formula>80.1</formula>
      <formula>100</formula>
    </cfRule>
    <cfRule type="cellIs" dxfId="7134" priority="1063" stopIfTrue="1" operator="between">
      <formula>35.1</formula>
      <formula>80</formula>
    </cfRule>
    <cfRule type="cellIs" dxfId="7133" priority="1064" stopIfTrue="1" operator="between">
      <formula>14.1</formula>
      <formula>35</formula>
    </cfRule>
    <cfRule type="cellIs" dxfId="7132" priority="1065" stopIfTrue="1" operator="between">
      <formula>5.1</formula>
      <formula>14</formula>
    </cfRule>
    <cfRule type="cellIs" dxfId="7131" priority="1066" stopIfTrue="1" operator="between">
      <formula>0</formula>
      <formula>5</formula>
    </cfRule>
    <cfRule type="containsBlanks" dxfId="7130" priority="1067" stopIfTrue="1">
      <formula>LEN(TRIM(Q96))=0</formula>
    </cfRule>
  </conditionalFormatting>
  <conditionalFormatting sqref="E96:P96">
    <cfRule type="containsBlanks" dxfId="7129" priority="1054" stopIfTrue="1">
      <formula>LEN(TRIM(E96))=0</formula>
    </cfRule>
    <cfRule type="cellIs" dxfId="7128" priority="1055" stopIfTrue="1" operator="between">
      <formula>79.1</formula>
      <formula>100</formula>
    </cfRule>
    <cfRule type="cellIs" dxfId="7127" priority="1056" stopIfTrue="1" operator="between">
      <formula>34.1</formula>
      <formula>79</formula>
    </cfRule>
    <cfRule type="cellIs" dxfId="7126" priority="1057" stopIfTrue="1" operator="between">
      <formula>13.1</formula>
      <formula>34</formula>
    </cfRule>
    <cfRule type="cellIs" dxfId="7125" priority="1058" stopIfTrue="1" operator="between">
      <formula>5.1</formula>
      <formula>13</formula>
    </cfRule>
    <cfRule type="cellIs" dxfId="7124" priority="1059" stopIfTrue="1" operator="between">
      <formula>0</formula>
      <formula>5</formula>
    </cfRule>
    <cfRule type="containsBlanks" dxfId="7123" priority="1060" stopIfTrue="1">
      <formula>LEN(TRIM(E96))=0</formula>
    </cfRule>
  </conditionalFormatting>
  <conditionalFormatting sqref="Q97">
    <cfRule type="containsBlanks" dxfId="7122" priority="1047" stopIfTrue="1">
      <formula>LEN(TRIM(Q97))=0</formula>
    </cfRule>
    <cfRule type="cellIs" dxfId="7121" priority="1048" stopIfTrue="1" operator="between">
      <formula>80.1</formula>
      <formula>100</formula>
    </cfRule>
    <cfRule type="cellIs" dxfId="7120" priority="1049" stopIfTrue="1" operator="between">
      <formula>35.1</formula>
      <formula>80</formula>
    </cfRule>
    <cfRule type="cellIs" dxfId="7119" priority="1050" stopIfTrue="1" operator="between">
      <formula>14.1</formula>
      <formula>35</formula>
    </cfRule>
    <cfRule type="cellIs" dxfId="7118" priority="1051" stopIfTrue="1" operator="between">
      <formula>5.1</formula>
      <formula>14</formula>
    </cfRule>
    <cfRule type="cellIs" dxfId="7117" priority="1052" stopIfTrue="1" operator="between">
      <formula>0</formula>
      <formula>5</formula>
    </cfRule>
    <cfRule type="containsBlanks" dxfId="7116" priority="1053" stopIfTrue="1">
      <formula>LEN(TRIM(Q97))=0</formula>
    </cfRule>
  </conditionalFormatting>
  <conditionalFormatting sqref="E97:P97">
    <cfRule type="containsBlanks" dxfId="7115" priority="1040" stopIfTrue="1">
      <formula>LEN(TRIM(E97))=0</formula>
    </cfRule>
    <cfRule type="cellIs" dxfId="7114" priority="1041" stopIfTrue="1" operator="between">
      <formula>79.1</formula>
      <formula>100</formula>
    </cfRule>
    <cfRule type="cellIs" dxfId="7113" priority="1042" stopIfTrue="1" operator="between">
      <formula>34.1</formula>
      <formula>79</formula>
    </cfRule>
    <cfRule type="cellIs" dxfId="7112" priority="1043" stopIfTrue="1" operator="between">
      <formula>13.1</formula>
      <formula>34</formula>
    </cfRule>
    <cfRule type="cellIs" dxfId="7111" priority="1044" stopIfTrue="1" operator="between">
      <formula>5.1</formula>
      <formula>13</formula>
    </cfRule>
    <cfRule type="cellIs" dxfId="7110" priority="1045" stopIfTrue="1" operator="between">
      <formula>0</formula>
      <formula>5</formula>
    </cfRule>
    <cfRule type="containsBlanks" dxfId="7109" priority="1046" stopIfTrue="1">
      <formula>LEN(TRIM(E97))=0</formula>
    </cfRule>
  </conditionalFormatting>
  <conditionalFormatting sqref="E103:P103">
    <cfRule type="containsBlanks" dxfId="7108" priority="1026" stopIfTrue="1">
      <formula>LEN(TRIM(E103))=0</formula>
    </cfRule>
    <cfRule type="cellIs" dxfId="7107" priority="1027" stopIfTrue="1" operator="between">
      <formula>79.1</formula>
      <formula>100</formula>
    </cfRule>
    <cfRule type="cellIs" dxfId="7106" priority="1028" stopIfTrue="1" operator="between">
      <formula>34.1</formula>
      <formula>79</formula>
    </cfRule>
    <cfRule type="cellIs" dxfId="7105" priority="1029" stopIfTrue="1" operator="between">
      <formula>13.1</formula>
      <formula>34</formula>
    </cfRule>
    <cfRule type="cellIs" dxfId="7104" priority="1030" stopIfTrue="1" operator="between">
      <formula>5.1</formula>
      <formula>13</formula>
    </cfRule>
    <cfRule type="cellIs" dxfId="7103" priority="1031" stopIfTrue="1" operator="between">
      <formula>0</formula>
      <formula>5</formula>
    </cfRule>
    <cfRule type="containsBlanks" dxfId="7102" priority="1032" stopIfTrue="1">
      <formula>LEN(TRIM(E103))=0</formula>
    </cfRule>
  </conditionalFormatting>
  <conditionalFormatting sqref="E104:P104">
    <cfRule type="containsBlanks" dxfId="7101" priority="1019" stopIfTrue="1">
      <formula>LEN(TRIM(E104))=0</formula>
    </cfRule>
    <cfRule type="cellIs" dxfId="7100" priority="1020" stopIfTrue="1" operator="between">
      <formula>79.1</formula>
      <formula>100</formula>
    </cfRule>
    <cfRule type="cellIs" dxfId="7099" priority="1021" stopIfTrue="1" operator="between">
      <formula>34.1</formula>
      <formula>79</formula>
    </cfRule>
    <cfRule type="cellIs" dxfId="7098" priority="1022" stopIfTrue="1" operator="between">
      <formula>13.1</formula>
      <formula>34</formula>
    </cfRule>
    <cfRule type="cellIs" dxfId="7097" priority="1023" stopIfTrue="1" operator="between">
      <formula>5.1</formula>
      <formula>13</formula>
    </cfRule>
    <cfRule type="cellIs" dxfId="7096" priority="1024" stopIfTrue="1" operator="between">
      <formula>0</formula>
      <formula>5</formula>
    </cfRule>
    <cfRule type="containsBlanks" dxfId="7095" priority="1025" stopIfTrue="1">
      <formula>LEN(TRIM(E104))=0</formula>
    </cfRule>
  </conditionalFormatting>
  <conditionalFormatting sqref="Q107">
    <cfRule type="containsBlanks" dxfId="7094" priority="998" stopIfTrue="1">
      <formula>LEN(TRIM(Q107))=0</formula>
    </cfRule>
    <cfRule type="cellIs" dxfId="7093" priority="999" stopIfTrue="1" operator="between">
      <formula>80.1</formula>
      <formula>100</formula>
    </cfRule>
    <cfRule type="cellIs" dxfId="7092" priority="1000" stopIfTrue="1" operator="between">
      <formula>35.1</formula>
      <formula>80</formula>
    </cfRule>
    <cfRule type="cellIs" dxfId="7091" priority="1001" stopIfTrue="1" operator="between">
      <formula>14.1</formula>
      <formula>35</formula>
    </cfRule>
    <cfRule type="cellIs" dxfId="7090" priority="1002" stopIfTrue="1" operator="between">
      <formula>5.1</formula>
      <formula>14</formula>
    </cfRule>
    <cfRule type="cellIs" dxfId="7089" priority="1003" stopIfTrue="1" operator="between">
      <formula>0</formula>
      <formula>5</formula>
    </cfRule>
    <cfRule type="containsBlanks" dxfId="7088" priority="1004" stopIfTrue="1">
      <formula>LEN(TRIM(Q107))=0</formula>
    </cfRule>
  </conditionalFormatting>
  <conditionalFormatting sqref="Q106">
    <cfRule type="containsBlanks" dxfId="7087" priority="991" stopIfTrue="1">
      <formula>LEN(TRIM(Q106))=0</formula>
    </cfRule>
    <cfRule type="cellIs" dxfId="7086" priority="992" stopIfTrue="1" operator="between">
      <formula>80.1</formula>
      <formula>100</formula>
    </cfRule>
    <cfRule type="cellIs" dxfId="7085" priority="993" stopIfTrue="1" operator="between">
      <formula>35.1</formula>
      <formula>80</formula>
    </cfRule>
    <cfRule type="cellIs" dxfId="7084" priority="994" stopIfTrue="1" operator="between">
      <formula>14.1</formula>
      <formula>35</formula>
    </cfRule>
    <cfRule type="cellIs" dxfId="7083" priority="995" stopIfTrue="1" operator="between">
      <formula>5.1</formula>
      <formula>14</formula>
    </cfRule>
    <cfRule type="cellIs" dxfId="7082" priority="996" stopIfTrue="1" operator="between">
      <formula>0</formula>
      <formula>5</formula>
    </cfRule>
    <cfRule type="containsBlanks" dxfId="7081" priority="997" stopIfTrue="1">
      <formula>LEN(TRIM(Q106))=0</formula>
    </cfRule>
  </conditionalFormatting>
  <conditionalFormatting sqref="E106:P106">
    <cfRule type="containsBlanks" dxfId="7080" priority="984" stopIfTrue="1">
      <formula>LEN(TRIM(E106))=0</formula>
    </cfRule>
    <cfRule type="cellIs" dxfId="7079" priority="985" stopIfTrue="1" operator="between">
      <formula>79.1</formula>
      <formula>100</formula>
    </cfRule>
    <cfRule type="cellIs" dxfId="7078" priority="986" stopIfTrue="1" operator="between">
      <formula>34.1</formula>
      <formula>79</formula>
    </cfRule>
    <cfRule type="cellIs" dxfId="7077" priority="987" stopIfTrue="1" operator="between">
      <formula>13.1</formula>
      <formula>34</formula>
    </cfRule>
    <cfRule type="cellIs" dxfId="7076" priority="988" stopIfTrue="1" operator="between">
      <formula>5.1</formula>
      <formula>13</formula>
    </cfRule>
    <cfRule type="cellIs" dxfId="7075" priority="989" stopIfTrue="1" operator="between">
      <formula>0</formula>
      <formula>5</formula>
    </cfRule>
    <cfRule type="containsBlanks" dxfId="7074" priority="990" stopIfTrue="1">
      <formula>LEN(TRIM(E106))=0</formula>
    </cfRule>
  </conditionalFormatting>
  <conditionalFormatting sqref="E107:P107">
    <cfRule type="containsBlanks" dxfId="7073" priority="977" stopIfTrue="1">
      <formula>LEN(TRIM(E107))=0</formula>
    </cfRule>
    <cfRule type="cellIs" dxfId="7072" priority="978" stopIfTrue="1" operator="between">
      <formula>79.1</formula>
      <formula>100</formula>
    </cfRule>
    <cfRule type="cellIs" dxfId="7071" priority="979" stopIfTrue="1" operator="between">
      <formula>34.1</formula>
      <formula>79</formula>
    </cfRule>
    <cfRule type="cellIs" dxfId="7070" priority="980" stopIfTrue="1" operator="between">
      <formula>13.1</formula>
      <formula>34</formula>
    </cfRule>
    <cfRule type="cellIs" dxfId="7069" priority="981" stopIfTrue="1" operator="between">
      <formula>5.1</formula>
      <formula>13</formula>
    </cfRule>
    <cfRule type="cellIs" dxfId="7068" priority="982" stopIfTrue="1" operator="between">
      <formula>0</formula>
      <formula>5</formula>
    </cfRule>
    <cfRule type="containsBlanks" dxfId="7067" priority="983" stopIfTrue="1">
      <formula>LEN(TRIM(E107))=0</formula>
    </cfRule>
  </conditionalFormatting>
  <conditionalFormatting sqref="E108:P108">
    <cfRule type="containsBlanks" dxfId="7066" priority="963" stopIfTrue="1">
      <formula>LEN(TRIM(E108))=0</formula>
    </cfRule>
    <cfRule type="cellIs" dxfId="7065" priority="964" stopIfTrue="1" operator="between">
      <formula>79.1</formula>
      <formula>100</formula>
    </cfRule>
    <cfRule type="cellIs" dxfId="7064" priority="965" stopIfTrue="1" operator="between">
      <formula>34.1</formula>
      <formula>79</formula>
    </cfRule>
    <cfRule type="cellIs" dxfId="7063" priority="966" stopIfTrue="1" operator="between">
      <formula>13.1</formula>
      <formula>34</formula>
    </cfRule>
    <cfRule type="cellIs" dxfId="7062" priority="967" stopIfTrue="1" operator="between">
      <formula>5.1</formula>
      <formula>13</formula>
    </cfRule>
    <cfRule type="cellIs" dxfId="7061" priority="968" stopIfTrue="1" operator="between">
      <formula>0</formula>
      <formula>5</formula>
    </cfRule>
    <cfRule type="containsBlanks" dxfId="7060" priority="969" stopIfTrue="1">
      <formula>LEN(TRIM(E108))=0</formula>
    </cfRule>
  </conditionalFormatting>
  <conditionalFormatting sqref="E110:P110">
    <cfRule type="containsBlanks" dxfId="7059" priority="956" stopIfTrue="1">
      <formula>LEN(TRIM(E110))=0</formula>
    </cfRule>
    <cfRule type="cellIs" dxfId="7058" priority="957" stopIfTrue="1" operator="between">
      <formula>79.1</formula>
      <formula>100</formula>
    </cfRule>
    <cfRule type="cellIs" dxfId="7057" priority="958" stopIfTrue="1" operator="between">
      <formula>34.1</formula>
      <formula>79</formula>
    </cfRule>
    <cfRule type="cellIs" dxfId="7056" priority="959" stopIfTrue="1" operator="between">
      <formula>13.1</formula>
      <formula>34</formula>
    </cfRule>
    <cfRule type="cellIs" dxfId="7055" priority="960" stopIfTrue="1" operator="between">
      <formula>5.1</formula>
      <formula>13</formula>
    </cfRule>
    <cfRule type="cellIs" dxfId="7054" priority="961" stopIfTrue="1" operator="between">
      <formula>0</formula>
      <formula>5</formula>
    </cfRule>
    <cfRule type="containsBlanks" dxfId="7053" priority="962" stopIfTrue="1">
      <formula>LEN(TRIM(E110))=0</formula>
    </cfRule>
  </conditionalFormatting>
  <conditionalFormatting sqref="E111:P111">
    <cfRule type="containsBlanks" dxfId="7052" priority="949" stopIfTrue="1">
      <formula>LEN(TRIM(E111))=0</formula>
    </cfRule>
    <cfRule type="cellIs" dxfId="7051" priority="950" stopIfTrue="1" operator="between">
      <formula>79.1</formula>
      <formula>100</formula>
    </cfRule>
    <cfRule type="cellIs" dxfId="7050" priority="951" stopIfTrue="1" operator="between">
      <formula>34.1</formula>
      <formula>79</formula>
    </cfRule>
    <cfRule type="cellIs" dxfId="7049" priority="952" stopIfTrue="1" operator="between">
      <formula>13.1</formula>
      <formula>34</formula>
    </cfRule>
    <cfRule type="cellIs" dxfId="7048" priority="953" stopIfTrue="1" operator="between">
      <formula>5.1</formula>
      <formula>13</formula>
    </cfRule>
    <cfRule type="cellIs" dxfId="7047" priority="954" stopIfTrue="1" operator="between">
      <formula>0</formula>
      <formula>5</formula>
    </cfRule>
    <cfRule type="containsBlanks" dxfId="7046" priority="955" stopIfTrue="1">
      <formula>LEN(TRIM(E111))=0</formula>
    </cfRule>
  </conditionalFormatting>
  <conditionalFormatting sqref="E112:P113">
    <cfRule type="containsBlanks" dxfId="7045" priority="942" stopIfTrue="1">
      <formula>LEN(TRIM(E112))=0</formula>
    </cfRule>
    <cfRule type="cellIs" dxfId="7044" priority="943" stopIfTrue="1" operator="between">
      <formula>79.1</formula>
      <formula>100</formula>
    </cfRule>
    <cfRule type="cellIs" dxfId="7043" priority="944" stopIfTrue="1" operator="between">
      <formula>34.1</formula>
      <formula>79</formula>
    </cfRule>
    <cfRule type="cellIs" dxfId="7042" priority="945" stopIfTrue="1" operator="between">
      <formula>13.1</formula>
      <formula>34</formula>
    </cfRule>
    <cfRule type="cellIs" dxfId="7041" priority="946" stopIfTrue="1" operator="between">
      <formula>5.1</formula>
      <formula>13</formula>
    </cfRule>
    <cfRule type="cellIs" dxfId="7040" priority="947" stopIfTrue="1" operator="between">
      <formula>0</formula>
      <formula>5</formula>
    </cfRule>
    <cfRule type="containsBlanks" dxfId="7039" priority="948" stopIfTrue="1">
      <formula>LEN(TRIM(E112))=0</formula>
    </cfRule>
  </conditionalFormatting>
  <conditionalFormatting sqref="E114:P114">
    <cfRule type="containsBlanks" dxfId="7038" priority="935" stopIfTrue="1">
      <formula>LEN(TRIM(E114))=0</formula>
    </cfRule>
    <cfRule type="cellIs" dxfId="7037" priority="936" stopIfTrue="1" operator="between">
      <formula>79.1</formula>
      <formula>100</formula>
    </cfRule>
    <cfRule type="cellIs" dxfId="7036" priority="937" stopIfTrue="1" operator="between">
      <formula>34.1</formula>
      <formula>79</formula>
    </cfRule>
    <cfRule type="cellIs" dxfId="7035" priority="938" stopIfTrue="1" operator="between">
      <formula>13.1</formula>
      <formula>34</formula>
    </cfRule>
    <cfRule type="cellIs" dxfId="7034" priority="939" stopIfTrue="1" operator="between">
      <formula>5.1</formula>
      <formula>13</formula>
    </cfRule>
    <cfRule type="cellIs" dxfId="7033" priority="940" stopIfTrue="1" operator="between">
      <formula>0</formula>
      <formula>5</formula>
    </cfRule>
    <cfRule type="containsBlanks" dxfId="7032" priority="941" stopIfTrue="1">
      <formula>LEN(TRIM(E114))=0</formula>
    </cfRule>
  </conditionalFormatting>
  <conditionalFormatting sqref="E115:P115">
    <cfRule type="containsBlanks" dxfId="7031" priority="928" stopIfTrue="1">
      <formula>LEN(TRIM(E115))=0</formula>
    </cfRule>
    <cfRule type="cellIs" dxfId="7030" priority="929" stopIfTrue="1" operator="between">
      <formula>79.1</formula>
      <formula>100</formula>
    </cfRule>
    <cfRule type="cellIs" dxfId="7029" priority="930" stopIfTrue="1" operator="between">
      <formula>34.1</formula>
      <formula>79</formula>
    </cfRule>
    <cfRule type="cellIs" dxfId="7028" priority="931" stopIfTrue="1" operator="between">
      <formula>13.1</formula>
      <formula>34</formula>
    </cfRule>
    <cfRule type="cellIs" dxfId="7027" priority="932" stopIfTrue="1" operator="between">
      <formula>5.1</formula>
      <formula>13</formula>
    </cfRule>
    <cfRule type="cellIs" dxfId="7026" priority="933" stopIfTrue="1" operator="between">
      <formula>0</formula>
      <formula>5</formula>
    </cfRule>
    <cfRule type="containsBlanks" dxfId="7025" priority="934" stopIfTrue="1">
      <formula>LEN(TRIM(E115))=0</formula>
    </cfRule>
  </conditionalFormatting>
  <conditionalFormatting sqref="E116:P116">
    <cfRule type="containsBlanks" dxfId="7024" priority="921" stopIfTrue="1">
      <formula>LEN(TRIM(E116))=0</formula>
    </cfRule>
    <cfRule type="cellIs" dxfId="7023" priority="922" stopIfTrue="1" operator="between">
      <formula>79.1</formula>
      <formula>100</formula>
    </cfRule>
    <cfRule type="cellIs" dxfId="7022" priority="923" stopIfTrue="1" operator="between">
      <formula>34.1</formula>
      <formula>79</formula>
    </cfRule>
    <cfRule type="cellIs" dxfId="7021" priority="924" stopIfTrue="1" operator="between">
      <formula>13.1</formula>
      <formula>34</formula>
    </cfRule>
    <cfRule type="cellIs" dxfId="7020" priority="925" stopIfTrue="1" operator="between">
      <formula>5.1</formula>
      <formula>13</formula>
    </cfRule>
    <cfRule type="cellIs" dxfId="7019" priority="926" stopIfTrue="1" operator="between">
      <formula>0</formula>
      <formula>5</formula>
    </cfRule>
    <cfRule type="containsBlanks" dxfId="7018" priority="927" stopIfTrue="1">
      <formula>LEN(TRIM(E116))=0</formula>
    </cfRule>
  </conditionalFormatting>
  <conditionalFormatting sqref="E117:P117">
    <cfRule type="containsBlanks" dxfId="7017" priority="914" stopIfTrue="1">
      <formula>LEN(TRIM(E117))=0</formula>
    </cfRule>
    <cfRule type="cellIs" dxfId="7016" priority="915" stopIfTrue="1" operator="between">
      <formula>79.1</formula>
      <formula>100</formula>
    </cfRule>
    <cfRule type="cellIs" dxfId="7015" priority="916" stopIfTrue="1" operator="between">
      <formula>34.1</formula>
      <formula>79</formula>
    </cfRule>
    <cfRule type="cellIs" dxfId="7014" priority="917" stopIfTrue="1" operator="between">
      <formula>13.1</formula>
      <formula>34</formula>
    </cfRule>
    <cfRule type="cellIs" dxfId="7013" priority="918" stopIfTrue="1" operator="between">
      <formula>5.1</formula>
      <formula>13</formula>
    </cfRule>
    <cfRule type="cellIs" dxfId="7012" priority="919" stopIfTrue="1" operator="between">
      <formula>0</formula>
      <formula>5</formula>
    </cfRule>
    <cfRule type="containsBlanks" dxfId="7011" priority="920" stopIfTrue="1">
      <formula>LEN(TRIM(E117))=0</formula>
    </cfRule>
  </conditionalFormatting>
  <conditionalFormatting sqref="E118:P118">
    <cfRule type="containsBlanks" dxfId="7010" priority="907" stopIfTrue="1">
      <formula>LEN(TRIM(E118))=0</formula>
    </cfRule>
    <cfRule type="cellIs" dxfId="7009" priority="908" stopIfTrue="1" operator="between">
      <formula>79.1</formula>
      <formula>100</formula>
    </cfRule>
    <cfRule type="cellIs" dxfId="7008" priority="909" stopIfTrue="1" operator="between">
      <formula>34.1</formula>
      <formula>79</formula>
    </cfRule>
    <cfRule type="cellIs" dxfId="7007" priority="910" stopIfTrue="1" operator="between">
      <formula>13.1</formula>
      <formula>34</formula>
    </cfRule>
    <cfRule type="cellIs" dxfId="7006" priority="911" stopIfTrue="1" operator="between">
      <formula>5.1</formula>
      <formula>13</formula>
    </cfRule>
    <cfRule type="cellIs" dxfId="7005" priority="912" stopIfTrue="1" operator="between">
      <formula>0</formula>
      <formula>5</formula>
    </cfRule>
    <cfRule type="containsBlanks" dxfId="7004" priority="913" stopIfTrue="1">
      <formula>LEN(TRIM(E118))=0</formula>
    </cfRule>
  </conditionalFormatting>
  <conditionalFormatting sqref="Q120">
    <cfRule type="containsBlanks" dxfId="7003" priority="886" stopIfTrue="1">
      <formula>LEN(TRIM(Q120))=0</formula>
    </cfRule>
    <cfRule type="cellIs" dxfId="7002" priority="887" stopIfTrue="1" operator="between">
      <formula>80.1</formula>
      <formula>100</formula>
    </cfRule>
    <cfRule type="cellIs" dxfId="7001" priority="888" stopIfTrue="1" operator="between">
      <formula>35.1</formula>
      <formula>80</formula>
    </cfRule>
    <cfRule type="cellIs" dxfId="7000" priority="889" stopIfTrue="1" operator="between">
      <formula>14.1</formula>
      <formula>35</formula>
    </cfRule>
    <cfRule type="cellIs" dxfId="6999" priority="890" stopIfTrue="1" operator="between">
      <formula>5.1</formula>
      <formula>14</formula>
    </cfRule>
    <cfRule type="cellIs" dxfId="6998" priority="891" stopIfTrue="1" operator="between">
      <formula>0</formula>
      <formula>5</formula>
    </cfRule>
    <cfRule type="containsBlanks" dxfId="6997" priority="892" stopIfTrue="1">
      <formula>LEN(TRIM(Q120))=0</formula>
    </cfRule>
  </conditionalFormatting>
  <conditionalFormatting sqref="E120:K120">
    <cfRule type="containsBlanks" dxfId="6996" priority="851" stopIfTrue="1">
      <formula>LEN(TRIM(E120))=0</formula>
    </cfRule>
    <cfRule type="cellIs" dxfId="6995" priority="852" stopIfTrue="1" operator="between">
      <formula>79.1</formula>
      <formula>100</formula>
    </cfRule>
    <cfRule type="cellIs" dxfId="6994" priority="853" stopIfTrue="1" operator="between">
      <formula>34.1</formula>
      <formula>79</formula>
    </cfRule>
    <cfRule type="cellIs" dxfId="6993" priority="854" stopIfTrue="1" operator="between">
      <formula>13.1</formula>
      <formula>34</formula>
    </cfRule>
    <cfRule type="cellIs" dxfId="6992" priority="855" stopIfTrue="1" operator="between">
      <formula>5.1</formula>
      <formula>13</formula>
    </cfRule>
    <cfRule type="cellIs" dxfId="6991" priority="856" stopIfTrue="1" operator="between">
      <formula>0</formula>
      <formula>5</formula>
    </cfRule>
    <cfRule type="containsBlanks" dxfId="6990" priority="857" stopIfTrue="1">
      <formula>LEN(TRIM(E120))=0</formula>
    </cfRule>
  </conditionalFormatting>
  <conditionalFormatting sqref="E119:K119">
    <cfRule type="containsBlanks" dxfId="6989" priority="865" stopIfTrue="1">
      <formula>LEN(TRIM(E119))=0</formula>
    </cfRule>
    <cfRule type="cellIs" dxfId="6988" priority="866" stopIfTrue="1" operator="between">
      <formula>79.1</formula>
      <formula>100</formula>
    </cfRule>
    <cfRule type="cellIs" dxfId="6987" priority="867" stopIfTrue="1" operator="between">
      <formula>34.1</formula>
      <formula>79</formula>
    </cfRule>
    <cfRule type="cellIs" dxfId="6986" priority="868" stopIfTrue="1" operator="between">
      <formula>13.1</formula>
      <formula>34</formula>
    </cfRule>
    <cfRule type="cellIs" dxfId="6985" priority="869" stopIfTrue="1" operator="between">
      <formula>5.1</formula>
      <formula>13</formula>
    </cfRule>
    <cfRule type="cellIs" dxfId="6984" priority="870" stopIfTrue="1" operator="between">
      <formula>0</formula>
      <formula>5</formula>
    </cfRule>
    <cfRule type="containsBlanks" dxfId="6983" priority="871" stopIfTrue="1">
      <formula>LEN(TRIM(E119))=0</formula>
    </cfRule>
  </conditionalFormatting>
  <conditionalFormatting sqref="Q119">
    <cfRule type="containsBlanks" dxfId="6982" priority="879" stopIfTrue="1">
      <formula>LEN(TRIM(Q119))=0</formula>
    </cfRule>
    <cfRule type="cellIs" dxfId="6981" priority="880" stopIfTrue="1" operator="between">
      <formula>80.1</formula>
      <formula>100</formula>
    </cfRule>
    <cfRule type="cellIs" dxfId="6980" priority="881" stopIfTrue="1" operator="between">
      <formula>35.1</formula>
      <formula>80</formula>
    </cfRule>
    <cfRule type="cellIs" dxfId="6979" priority="882" stopIfTrue="1" operator="between">
      <formula>14.1</formula>
      <formula>35</formula>
    </cfRule>
    <cfRule type="cellIs" dxfId="6978" priority="883" stopIfTrue="1" operator="between">
      <formula>5.1</formula>
      <formula>14</formula>
    </cfRule>
    <cfRule type="cellIs" dxfId="6977" priority="884" stopIfTrue="1" operator="between">
      <formula>0</formula>
      <formula>5</formula>
    </cfRule>
    <cfRule type="containsBlanks" dxfId="6976" priority="885" stopIfTrue="1">
      <formula>LEN(TRIM(Q119))=0</formula>
    </cfRule>
  </conditionalFormatting>
  <conditionalFormatting sqref="L119:P119">
    <cfRule type="containsBlanks" dxfId="6975" priority="872" stopIfTrue="1">
      <formula>LEN(TRIM(L119))=0</formula>
    </cfRule>
    <cfRule type="cellIs" dxfId="6974" priority="873" stopIfTrue="1" operator="between">
      <formula>79.1</formula>
      <formula>100</formula>
    </cfRule>
    <cfRule type="cellIs" dxfId="6973" priority="874" stopIfTrue="1" operator="between">
      <formula>34.1</formula>
      <formula>79</formula>
    </cfRule>
    <cfRule type="cellIs" dxfId="6972" priority="875" stopIfTrue="1" operator="between">
      <formula>13.1</formula>
      <formula>34</formula>
    </cfRule>
    <cfRule type="cellIs" dxfId="6971" priority="876" stopIfTrue="1" operator="between">
      <formula>5.1</formula>
      <formula>13</formula>
    </cfRule>
    <cfRule type="cellIs" dxfId="6970" priority="877" stopIfTrue="1" operator="between">
      <formula>0</formula>
      <formula>5</formula>
    </cfRule>
    <cfRule type="containsBlanks" dxfId="6969" priority="878" stopIfTrue="1">
      <formula>LEN(TRIM(L119))=0</formula>
    </cfRule>
  </conditionalFormatting>
  <conditionalFormatting sqref="L120:P120">
    <cfRule type="containsBlanks" dxfId="6968" priority="858" stopIfTrue="1">
      <formula>LEN(TRIM(L120))=0</formula>
    </cfRule>
    <cfRule type="cellIs" dxfId="6967" priority="859" stopIfTrue="1" operator="between">
      <formula>79.1</formula>
      <formula>100</formula>
    </cfRule>
    <cfRule type="cellIs" dxfId="6966" priority="860" stopIfTrue="1" operator="between">
      <formula>34.1</formula>
      <formula>79</formula>
    </cfRule>
    <cfRule type="cellIs" dxfId="6965" priority="861" stopIfTrue="1" operator="between">
      <formula>13.1</formula>
      <formula>34</formula>
    </cfRule>
    <cfRule type="cellIs" dxfId="6964" priority="862" stopIfTrue="1" operator="between">
      <formula>5.1</formula>
      <formula>13</formula>
    </cfRule>
    <cfRule type="cellIs" dxfId="6963" priority="863" stopIfTrue="1" operator="between">
      <formula>0</formula>
      <formula>5</formula>
    </cfRule>
    <cfRule type="containsBlanks" dxfId="6962" priority="864" stopIfTrue="1">
      <formula>LEN(TRIM(L120))=0</formula>
    </cfRule>
  </conditionalFormatting>
  <conditionalFormatting sqref="F29:Q29">
    <cfRule type="containsBlanks" dxfId="6961" priority="830" stopIfTrue="1">
      <formula>LEN(TRIM(F29))=0</formula>
    </cfRule>
    <cfRule type="cellIs" dxfId="6960" priority="831" stopIfTrue="1" operator="between">
      <formula>80.1</formula>
      <formula>100</formula>
    </cfRule>
    <cfRule type="cellIs" dxfId="6959" priority="832" stopIfTrue="1" operator="between">
      <formula>35.1</formula>
      <formula>80</formula>
    </cfRule>
    <cfRule type="cellIs" dxfId="6958" priority="833" stopIfTrue="1" operator="between">
      <formula>14.1</formula>
      <formula>35</formula>
    </cfRule>
    <cfRule type="cellIs" dxfId="6957" priority="834" stopIfTrue="1" operator="between">
      <formula>5.1</formula>
      <formula>14</formula>
    </cfRule>
    <cfRule type="cellIs" dxfId="6956" priority="835" stopIfTrue="1" operator="between">
      <formula>0</formula>
      <formula>5</formula>
    </cfRule>
    <cfRule type="containsBlanks" dxfId="6955" priority="836" stopIfTrue="1">
      <formula>LEN(TRIM(F29))=0</formula>
    </cfRule>
  </conditionalFormatting>
  <conditionalFormatting sqref="E29">
    <cfRule type="containsBlanks" dxfId="6954" priority="823" stopIfTrue="1">
      <formula>LEN(TRIM(E29))=0</formula>
    </cfRule>
    <cfRule type="cellIs" dxfId="6953" priority="824" stopIfTrue="1" operator="between">
      <formula>80.1</formula>
      <formula>100</formula>
    </cfRule>
    <cfRule type="cellIs" dxfId="6952" priority="825" stopIfTrue="1" operator="between">
      <formula>35.1</formula>
      <formula>80</formula>
    </cfRule>
    <cfRule type="cellIs" dxfId="6951" priority="826" stopIfTrue="1" operator="between">
      <formula>14.1</formula>
      <formula>35</formula>
    </cfRule>
    <cfRule type="cellIs" dxfId="6950" priority="827" stopIfTrue="1" operator="between">
      <formula>5.1</formula>
      <formula>14</formula>
    </cfRule>
    <cfRule type="cellIs" dxfId="6949" priority="828" stopIfTrue="1" operator="between">
      <formula>0</formula>
      <formula>5</formula>
    </cfRule>
    <cfRule type="containsBlanks" dxfId="6948" priority="829" stopIfTrue="1">
      <formula>LEN(TRIM(E29))=0</formula>
    </cfRule>
  </conditionalFormatting>
  <conditionalFormatting sqref="F33:Q33">
    <cfRule type="containsBlanks" dxfId="6947" priority="816" stopIfTrue="1">
      <formula>LEN(TRIM(F33))=0</formula>
    </cfRule>
    <cfRule type="cellIs" dxfId="6946" priority="817" stopIfTrue="1" operator="between">
      <formula>80.1</formula>
      <formula>100</formula>
    </cfRule>
    <cfRule type="cellIs" dxfId="6945" priority="818" stopIfTrue="1" operator="between">
      <formula>35.1</formula>
      <formula>80</formula>
    </cfRule>
    <cfRule type="cellIs" dxfId="6944" priority="819" stopIfTrue="1" operator="between">
      <formula>14.1</formula>
      <formula>35</formula>
    </cfRule>
    <cfRule type="cellIs" dxfId="6943" priority="820" stopIfTrue="1" operator="between">
      <formula>5.1</formula>
      <formula>14</formula>
    </cfRule>
    <cfRule type="cellIs" dxfId="6942" priority="821" stopIfTrue="1" operator="between">
      <formula>0</formula>
      <formula>5</formula>
    </cfRule>
    <cfRule type="containsBlanks" dxfId="6941" priority="822" stopIfTrue="1">
      <formula>LEN(TRIM(F33))=0</formula>
    </cfRule>
  </conditionalFormatting>
  <conditionalFormatting sqref="E33">
    <cfRule type="containsBlanks" dxfId="6940" priority="809" stopIfTrue="1">
      <formula>LEN(TRIM(E33))=0</formula>
    </cfRule>
    <cfRule type="cellIs" dxfId="6939" priority="810" stopIfTrue="1" operator="between">
      <formula>80.1</formula>
      <formula>100</formula>
    </cfRule>
    <cfRule type="cellIs" dxfId="6938" priority="811" stopIfTrue="1" operator="between">
      <formula>35.1</formula>
      <formula>80</formula>
    </cfRule>
    <cfRule type="cellIs" dxfId="6937" priority="812" stopIfTrue="1" operator="between">
      <formula>14.1</formula>
      <formula>35</formula>
    </cfRule>
    <cfRule type="cellIs" dxfId="6936" priority="813" stopIfTrue="1" operator="between">
      <formula>5.1</formula>
      <formula>14</formula>
    </cfRule>
    <cfRule type="cellIs" dxfId="6935" priority="814" stopIfTrue="1" operator="between">
      <formula>0</formula>
      <formula>5</formula>
    </cfRule>
    <cfRule type="containsBlanks" dxfId="6934" priority="815" stopIfTrue="1">
      <formula>LEN(TRIM(E33))=0</formula>
    </cfRule>
  </conditionalFormatting>
  <conditionalFormatting sqref="F24:Q24">
    <cfRule type="containsBlanks" dxfId="6933" priority="802" stopIfTrue="1">
      <formula>LEN(TRIM(F24))=0</formula>
    </cfRule>
    <cfRule type="cellIs" dxfId="6932" priority="803" stopIfTrue="1" operator="between">
      <formula>80.1</formula>
      <formula>100</formula>
    </cfRule>
    <cfRule type="cellIs" dxfId="6931" priority="804" stopIfTrue="1" operator="between">
      <formula>35.1</formula>
      <formula>80</formula>
    </cfRule>
    <cfRule type="cellIs" dxfId="6930" priority="805" stopIfTrue="1" operator="between">
      <formula>14.1</formula>
      <formula>35</formula>
    </cfRule>
    <cfRule type="cellIs" dxfId="6929" priority="806" stopIfTrue="1" operator="between">
      <formula>5.1</formula>
      <formula>14</formula>
    </cfRule>
    <cfRule type="cellIs" dxfId="6928" priority="807" stopIfTrue="1" operator="between">
      <formula>0</formula>
      <formula>5</formula>
    </cfRule>
    <cfRule type="containsBlanks" dxfId="6927" priority="808" stopIfTrue="1">
      <formula>LEN(TRIM(F24))=0</formula>
    </cfRule>
  </conditionalFormatting>
  <conditionalFormatting sqref="E24">
    <cfRule type="containsBlanks" dxfId="6926" priority="795" stopIfTrue="1">
      <formula>LEN(TRIM(E24))=0</formula>
    </cfRule>
    <cfRule type="cellIs" dxfId="6925" priority="796" stopIfTrue="1" operator="between">
      <formula>80.1</formula>
      <formula>100</formula>
    </cfRule>
    <cfRule type="cellIs" dxfId="6924" priority="797" stopIfTrue="1" operator="between">
      <formula>35.1</formula>
      <formula>80</formula>
    </cfRule>
    <cfRule type="cellIs" dxfId="6923" priority="798" stopIfTrue="1" operator="between">
      <formula>14.1</formula>
      <formula>35</formula>
    </cfRule>
    <cfRule type="cellIs" dxfId="6922" priority="799" stopIfTrue="1" operator="between">
      <formula>5.1</formula>
      <formula>14</formula>
    </cfRule>
    <cfRule type="cellIs" dxfId="6921" priority="800" stopIfTrue="1" operator="between">
      <formula>0</formula>
      <formula>5</formula>
    </cfRule>
    <cfRule type="containsBlanks" dxfId="6920" priority="801" stopIfTrue="1">
      <formula>LEN(TRIM(E24))=0</formula>
    </cfRule>
  </conditionalFormatting>
  <conditionalFormatting sqref="F25:Q25">
    <cfRule type="containsBlanks" dxfId="6919" priority="788" stopIfTrue="1">
      <formula>LEN(TRIM(F25))=0</formula>
    </cfRule>
    <cfRule type="cellIs" dxfId="6918" priority="789" stopIfTrue="1" operator="between">
      <formula>80.1</formula>
      <formula>100</formula>
    </cfRule>
    <cfRule type="cellIs" dxfId="6917" priority="790" stopIfTrue="1" operator="between">
      <formula>35.1</formula>
      <formula>80</formula>
    </cfRule>
    <cfRule type="cellIs" dxfId="6916" priority="791" stopIfTrue="1" operator="between">
      <formula>14.1</formula>
      <formula>35</formula>
    </cfRule>
    <cfRule type="cellIs" dxfId="6915" priority="792" stopIfTrue="1" operator="between">
      <formula>5.1</formula>
      <formula>14</formula>
    </cfRule>
    <cfRule type="cellIs" dxfId="6914" priority="793" stopIfTrue="1" operator="between">
      <formula>0</formula>
      <formula>5</formula>
    </cfRule>
    <cfRule type="containsBlanks" dxfId="6913" priority="794" stopIfTrue="1">
      <formula>LEN(TRIM(F25))=0</formula>
    </cfRule>
  </conditionalFormatting>
  <conditionalFormatting sqref="E25">
    <cfRule type="containsBlanks" dxfId="6912" priority="781" stopIfTrue="1">
      <formula>LEN(TRIM(E25))=0</formula>
    </cfRule>
    <cfRule type="cellIs" dxfId="6911" priority="782" stopIfTrue="1" operator="between">
      <formula>80.1</formula>
      <formula>100</formula>
    </cfRule>
    <cfRule type="cellIs" dxfId="6910" priority="783" stopIfTrue="1" operator="between">
      <formula>35.1</formula>
      <formula>80</formula>
    </cfRule>
    <cfRule type="cellIs" dxfId="6909" priority="784" stopIfTrue="1" operator="between">
      <formula>14.1</formula>
      <formula>35</formula>
    </cfRule>
    <cfRule type="cellIs" dxfId="6908" priority="785" stopIfTrue="1" operator="between">
      <formula>5.1</formula>
      <formula>14</formula>
    </cfRule>
    <cfRule type="cellIs" dxfId="6907" priority="786" stopIfTrue="1" operator="between">
      <formula>0</formula>
      <formula>5</formula>
    </cfRule>
    <cfRule type="containsBlanks" dxfId="6906" priority="787" stopIfTrue="1">
      <formula>LEN(TRIM(E25))=0</formula>
    </cfRule>
  </conditionalFormatting>
  <conditionalFormatting sqref="F26:Q26">
    <cfRule type="containsBlanks" dxfId="6905" priority="774" stopIfTrue="1">
      <formula>LEN(TRIM(F26))=0</formula>
    </cfRule>
    <cfRule type="cellIs" dxfId="6904" priority="775" stopIfTrue="1" operator="between">
      <formula>80.1</formula>
      <formula>100</formula>
    </cfRule>
    <cfRule type="cellIs" dxfId="6903" priority="776" stopIfTrue="1" operator="between">
      <formula>35.1</formula>
      <formula>80</formula>
    </cfRule>
    <cfRule type="cellIs" dxfId="6902" priority="777" stopIfTrue="1" operator="between">
      <formula>14.1</formula>
      <formula>35</formula>
    </cfRule>
    <cfRule type="cellIs" dxfId="6901" priority="778" stopIfTrue="1" operator="between">
      <formula>5.1</formula>
      <formula>14</formula>
    </cfRule>
    <cfRule type="cellIs" dxfId="6900" priority="779" stopIfTrue="1" operator="between">
      <formula>0</formula>
      <formula>5</formula>
    </cfRule>
    <cfRule type="containsBlanks" dxfId="6899" priority="780" stopIfTrue="1">
      <formula>LEN(TRIM(F26))=0</formula>
    </cfRule>
  </conditionalFormatting>
  <conditionalFormatting sqref="E26">
    <cfRule type="containsBlanks" dxfId="6898" priority="767" stopIfTrue="1">
      <formula>LEN(TRIM(E26))=0</formula>
    </cfRule>
    <cfRule type="cellIs" dxfId="6897" priority="768" stopIfTrue="1" operator="between">
      <formula>80.1</formula>
      <formula>100</formula>
    </cfRule>
    <cfRule type="cellIs" dxfId="6896" priority="769" stopIfTrue="1" operator="between">
      <formula>35.1</formula>
      <formula>80</formula>
    </cfRule>
    <cfRule type="cellIs" dxfId="6895" priority="770" stopIfTrue="1" operator="between">
      <formula>14.1</formula>
      <formula>35</formula>
    </cfRule>
    <cfRule type="cellIs" dxfId="6894" priority="771" stopIfTrue="1" operator="between">
      <formula>5.1</formula>
      <formula>14</formula>
    </cfRule>
    <cfRule type="cellIs" dxfId="6893" priority="772" stopIfTrue="1" operator="between">
      <formula>0</formula>
      <formula>5</formula>
    </cfRule>
    <cfRule type="containsBlanks" dxfId="6892" priority="773" stopIfTrue="1">
      <formula>LEN(TRIM(E26))=0</formula>
    </cfRule>
  </conditionalFormatting>
  <conditionalFormatting sqref="F27:Q27">
    <cfRule type="containsBlanks" dxfId="6891" priority="760" stopIfTrue="1">
      <formula>LEN(TRIM(F27))=0</formula>
    </cfRule>
    <cfRule type="cellIs" dxfId="6890" priority="761" stopIfTrue="1" operator="between">
      <formula>80.1</formula>
      <formula>100</formula>
    </cfRule>
    <cfRule type="cellIs" dxfId="6889" priority="762" stopIfTrue="1" operator="between">
      <formula>35.1</formula>
      <formula>80</formula>
    </cfRule>
    <cfRule type="cellIs" dxfId="6888" priority="763" stopIfTrue="1" operator="between">
      <formula>14.1</formula>
      <formula>35</formula>
    </cfRule>
    <cfRule type="cellIs" dxfId="6887" priority="764" stopIfTrue="1" operator="between">
      <formula>5.1</formula>
      <formula>14</formula>
    </cfRule>
    <cfRule type="cellIs" dxfId="6886" priority="765" stopIfTrue="1" operator="between">
      <formula>0</formula>
      <formula>5</formula>
    </cfRule>
    <cfRule type="containsBlanks" dxfId="6885" priority="766" stopIfTrue="1">
      <formula>LEN(TRIM(F27))=0</formula>
    </cfRule>
  </conditionalFormatting>
  <conditionalFormatting sqref="E27">
    <cfRule type="containsBlanks" dxfId="6884" priority="753" stopIfTrue="1">
      <formula>LEN(TRIM(E27))=0</formula>
    </cfRule>
    <cfRule type="cellIs" dxfId="6883" priority="754" stopIfTrue="1" operator="between">
      <formula>80.1</formula>
      <formula>100</formula>
    </cfRule>
    <cfRule type="cellIs" dxfId="6882" priority="755" stopIfTrue="1" operator="between">
      <formula>35.1</formula>
      <formula>80</formula>
    </cfRule>
    <cfRule type="cellIs" dxfId="6881" priority="756" stopIfTrue="1" operator="between">
      <formula>14.1</formula>
      <formula>35</formula>
    </cfRule>
    <cfRule type="cellIs" dxfId="6880" priority="757" stopIfTrue="1" operator="between">
      <formula>5.1</formula>
      <formula>14</formula>
    </cfRule>
    <cfRule type="cellIs" dxfId="6879" priority="758" stopIfTrue="1" operator="between">
      <formula>0</formula>
      <formula>5</formula>
    </cfRule>
    <cfRule type="containsBlanks" dxfId="6878" priority="759" stopIfTrue="1">
      <formula>LEN(TRIM(E27))=0</formula>
    </cfRule>
  </conditionalFormatting>
  <conditionalFormatting sqref="E69:Q69">
    <cfRule type="containsBlanks" dxfId="6877" priority="746" stopIfTrue="1">
      <formula>LEN(TRIM(E69))=0</formula>
    </cfRule>
    <cfRule type="cellIs" dxfId="6876" priority="747" stopIfTrue="1" operator="between">
      <formula>80.1</formula>
      <formula>100</formula>
    </cfRule>
    <cfRule type="cellIs" dxfId="6875" priority="748" stopIfTrue="1" operator="between">
      <formula>35.1</formula>
      <formula>80</formula>
    </cfRule>
    <cfRule type="cellIs" dxfId="6874" priority="749" stopIfTrue="1" operator="between">
      <formula>14.1</formula>
      <formula>35</formula>
    </cfRule>
    <cfRule type="cellIs" dxfId="6873" priority="750" stopIfTrue="1" operator="between">
      <formula>5.1</formula>
      <formula>14</formula>
    </cfRule>
    <cfRule type="cellIs" dxfId="6872" priority="751" stopIfTrue="1" operator="between">
      <formula>0</formula>
      <formula>5</formula>
    </cfRule>
    <cfRule type="containsBlanks" dxfId="6871" priority="752" stopIfTrue="1">
      <formula>LEN(TRIM(E69))=0</formula>
    </cfRule>
  </conditionalFormatting>
  <conditionalFormatting sqref="Q86">
    <cfRule type="containsBlanks" dxfId="6870" priority="655" stopIfTrue="1">
      <formula>LEN(TRIM(Q86))=0</formula>
    </cfRule>
    <cfRule type="cellIs" dxfId="6869" priority="656" stopIfTrue="1" operator="between">
      <formula>80.1</formula>
      <formula>100</formula>
    </cfRule>
    <cfRule type="cellIs" dxfId="6868" priority="657" stopIfTrue="1" operator="between">
      <formula>35.1</formula>
      <formula>80</formula>
    </cfRule>
    <cfRule type="cellIs" dxfId="6867" priority="658" stopIfTrue="1" operator="between">
      <formula>14.1</formula>
      <formula>35</formula>
    </cfRule>
    <cfRule type="cellIs" dxfId="6866" priority="659" stopIfTrue="1" operator="between">
      <formula>5.1</formula>
      <formula>14</formula>
    </cfRule>
    <cfRule type="cellIs" dxfId="6865" priority="660" stopIfTrue="1" operator="between">
      <formula>0</formula>
      <formula>5</formula>
    </cfRule>
    <cfRule type="containsBlanks" dxfId="6864" priority="661" stopIfTrue="1">
      <formula>LEN(TRIM(Q86))=0</formula>
    </cfRule>
  </conditionalFormatting>
  <conditionalFormatting sqref="E86:J86">
    <cfRule type="containsBlanks" dxfId="6863" priority="648" stopIfTrue="1">
      <formula>LEN(TRIM(E86))=0</formula>
    </cfRule>
    <cfRule type="cellIs" dxfId="6862" priority="649" stopIfTrue="1" operator="between">
      <formula>79.1</formula>
      <formula>100</formula>
    </cfRule>
    <cfRule type="cellIs" dxfId="6861" priority="650" stopIfTrue="1" operator="between">
      <formula>34.1</formula>
      <formula>79</formula>
    </cfRule>
    <cfRule type="cellIs" dxfId="6860" priority="651" stopIfTrue="1" operator="between">
      <formula>13.1</formula>
      <formula>34</formula>
    </cfRule>
    <cfRule type="cellIs" dxfId="6859" priority="652" stopIfTrue="1" operator="between">
      <formula>5.1</formula>
      <formula>13</formula>
    </cfRule>
    <cfRule type="cellIs" dxfId="6858" priority="653" stopIfTrue="1" operator="between">
      <formula>0</formula>
      <formula>5</formula>
    </cfRule>
    <cfRule type="containsBlanks" dxfId="6857" priority="654" stopIfTrue="1">
      <formula>LEN(TRIM(E86))=0</formula>
    </cfRule>
  </conditionalFormatting>
  <conditionalFormatting sqref="Q87">
    <cfRule type="containsBlanks" dxfId="6856" priority="641" stopIfTrue="1">
      <formula>LEN(TRIM(Q87))=0</formula>
    </cfRule>
    <cfRule type="cellIs" dxfId="6855" priority="642" stopIfTrue="1" operator="between">
      <formula>80.1</formula>
      <formula>100</formula>
    </cfRule>
    <cfRule type="cellIs" dxfId="6854" priority="643" stopIfTrue="1" operator="between">
      <formula>35.1</formula>
      <formula>80</formula>
    </cfRule>
    <cfRule type="cellIs" dxfId="6853" priority="644" stopIfTrue="1" operator="between">
      <formula>14.1</formula>
      <formula>35</formula>
    </cfRule>
    <cfRule type="cellIs" dxfId="6852" priority="645" stopIfTrue="1" operator="between">
      <formula>5.1</formula>
      <formula>14</formula>
    </cfRule>
    <cfRule type="cellIs" dxfId="6851" priority="646" stopIfTrue="1" operator="between">
      <formula>0</formula>
      <formula>5</formula>
    </cfRule>
    <cfRule type="containsBlanks" dxfId="6850" priority="647" stopIfTrue="1">
      <formula>LEN(TRIM(Q87))=0</formula>
    </cfRule>
  </conditionalFormatting>
  <conditionalFormatting sqref="E87:J87">
    <cfRule type="containsBlanks" dxfId="6849" priority="634" stopIfTrue="1">
      <formula>LEN(TRIM(E87))=0</formula>
    </cfRule>
    <cfRule type="cellIs" dxfId="6848" priority="635" stopIfTrue="1" operator="between">
      <formula>79.1</formula>
      <formula>100</formula>
    </cfRule>
    <cfRule type="cellIs" dxfId="6847" priority="636" stopIfTrue="1" operator="between">
      <formula>34.1</formula>
      <formula>79</formula>
    </cfRule>
    <cfRule type="cellIs" dxfId="6846" priority="637" stopIfTrue="1" operator="between">
      <formula>13.1</formula>
      <formula>34</formula>
    </cfRule>
    <cfRule type="cellIs" dxfId="6845" priority="638" stopIfTrue="1" operator="between">
      <formula>5.1</formula>
      <formula>13</formula>
    </cfRule>
    <cfRule type="cellIs" dxfId="6844" priority="639" stopIfTrue="1" operator="between">
      <formula>0</formula>
      <formula>5</formula>
    </cfRule>
    <cfRule type="containsBlanks" dxfId="6843" priority="640" stopIfTrue="1">
      <formula>LEN(TRIM(E87))=0</formula>
    </cfRule>
  </conditionalFormatting>
  <conditionalFormatting sqref="Q88">
    <cfRule type="containsBlanks" dxfId="6842" priority="627" stopIfTrue="1">
      <formula>LEN(TRIM(Q88))=0</formula>
    </cfRule>
    <cfRule type="cellIs" dxfId="6841" priority="628" stopIfTrue="1" operator="between">
      <formula>80.1</formula>
      <formula>100</formula>
    </cfRule>
    <cfRule type="cellIs" dxfId="6840" priority="629" stopIfTrue="1" operator="between">
      <formula>35.1</formula>
      <formula>80</formula>
    </cfRule>
    <cfRule type="cellIs" dxfId="6839" priority="630" stopIfTrue="1" operator="between">
      <formula>14.1</formula>
      <formula>35</formula>
    </cfRule>
    <cfRule type="cellIs" dxfId="6838" priority="631" stopIfTrue="1" operator="between">
      <formula>5.1</formula>
      <formula>14</formula>
    </cfRule>
    <cfRule type="cellIs" dxfId="6837" priority="632" stopIfTrue="1" operator="between">
      <formula>0</formula>
      <formula>5</formula>
    </cfRule>
    <cfRule type="containsBlanks" dxfId="6836" priority="633" stopIfTrue="1">
      <formula>LEN(TRIM(Q88))=0</formula>
    </cfRule>
  </conditionalFormatting>
  <conditionalFormatting sqref="E88:J88">
    <cfRule type="containsBlanks" dxfId="6835" priority="620" stopIfTrue="1">
      <formula>LEN(TRIM(E88))=0</formula>
    </cfRule>
    <cfRule type="cellIs" dxfId="6834" priority="621" stopIfTrue="1" operator="between">
      <formula>79.1</formula>
      <formula>100</formula>
    </cfRule>
    <cfRule type="cellIs" dxfId="6833" priority="622" stopIfTrue="1" operator="between">
      <formula>34.1</formula>
      <formula>79</formula>
    </cfRule>
    <cfRule type="cellIs" dxfId="6832" priority="623" stopIfTrue="1" operator="between">
      <formula>13.1</formula>
      <formula>34</formula>
    </cfRule>
    <cfRule type="cellIs" dxfId="6831" priority="624" stopIfTrue="1" operator="between">
      <formula>5.1</formula>
      <formula>13</formula>
    </cfRule>
    <cfRule type="cellIs" dxfId="6830" priority="625" stopIfTrue="1" operator="between">
      <formula>0</formula>
      <formula>5</formula>
    </cfRule>
    <cfRule type="containsBlanks" dxfId="6829" priority="626" stopIfTrue="1">
      <formula>LEN(TRIM(E88))=0</formula>
    </cfRule>
  </conditionalFormatting>
  <conditionalFormatting sqref="E72:Q72">
    <cfRule type="containsBlanks" dxfId="6828" priority="613" stopIfTrue="1">
      <formula>LEN(TRIM(E72))=0</formula>
    </cfRule>
    <cfRule type="cellIs" dxfId="6827" priority="614" stopIfTrue="1" operator="between">
      <formula>80.1</formula>
      <formula>100</formula>
    </cfRule>
    <cfRule type="cellIs" dxfId="6826" priority="615" stopIfTrue="1" operator="between">
      <formula>35.1</formula>
      <formula>80</formula>
    </cfRule>
    <cfRule type="cellIs" dxfId="6825" priority="616" stopIfTrue="1" operator="between">
      <formula>14.1</formula>
      <formula>35</formula>
    </cfRule>
    <cfRule type="cellIs" dxfId="6824" priority="617" stopIfTrue="1" operator="between">
      <formula>5.1</formula>
      <formula>14</formula>
    </cfRule>
    <cfRule type="cellIs" dxfId="6823" priority="618" stopIfTrue="1" operator="between">
      <formula>0</formula>
      <formula>5</formula>
    </cfRule>
    <cfRule type="containsBlanks" dxfId="6822" priority="619" stopIfTrue="1">
      <formula>LEN(TRIM(E72))=0</formula>
    </cfRule>
  </conditionalFormatting>
  <conditionalFormatting sqref="Q78">
    <cfRule type="containsBlanks" dxfId="6821" priority="592" stopIfTrue="1">
      <formula>LEN(TRIM(Q78))=0</formula>
    </cfRule>
    <cfRule type="cellIs" dxfId="6820" priority="593" stopIfTrue="1" operator="between">
      <formula>80.1</formula>
      <formula>100</formula>
    </cfRule>
    <cfRule type="cellIs" dxfId="6819" priority="594" stopIfTrue="1" operator="between">
      <formula>35.1</formula>
      <formula>80</formula>
    </cfRule>
    <cfRule type="cellIs" dxfId="6818" priority="595" stopIfTrue="1" operator="between">
      <formula>14.1</formula>
      <formula>35</formula>
    </cfRule>
    <cfRule type="cellIs" dxfId="6817" priority="596" stopIfTrue="1" operator="between">
      <formula>5.1</formula>
      <formula>14</formula>
    </cfRule>
    <cfRule type="cellIs" dxfId="6816" priority="597" stopIfTrue="1" operator="between">
      <formula>0</formula>
      <formula>5</formula>
    </cfRule>
    <cfRule type="containsBlanks" dxfId="6815" priority="598" stopIfTrue="1">
      <formula>LEN(TRIM(Q78))=0</formula>
    </cfRule>
  </conditionalFormatting>
  <conditionalFormatting sqref="E78:P78">
    <cfRule type="containsBlanks" dxfId="6814" priority="585" stopIfTrue="1">
      <formula>LEN(TRIM(E78))=0</formula>
    </cfRule>
    <cfRule type="cellIs" dxfId="6813" priority="586" stopIfTrue="1" operator="between">
      <formula>79.1</formula>
      <formula>100</formula>
    </cfRule>
    <cfRule type="cellIs" dxfId="6812" priority="587" stopIfTrue="1" operator="between">
      <formula>34.1</formula>
      <formula>79</formula>
    </cfRule>
    <cfRule type="cellIs" dxfId="6811" priority="588" stopIfTrue="1" operator="between">
      <formula>13.1</formula>
      <formula>34</formula>
    </cfRule>
    <cfRule type="cellIs" dxfId="6810" priority="589" stopIfTrue="1" operator="between">
      <formula>5.1</formula>
      <formula>13</formula>
    </cfRule>
    <cfRule type="cellIs" dxfId="6809" priority="590" stopIfTrue="1" operator="between">
      <formula>0</formula>
      <formula>5</formula>
    </cfRule>
    <cfRule type="containsBlanks" dxfId="6808" priority="591" stopIfTrue="1">
      <formula>LEN(TRIM(E78))=0</formula>
    </cfRule>
  </conditionalFormatting>
  <conditionalFormatting sqref="Q121">
    <cfRule type="containsBlanks" dxfId="6807" priority="578" stopIfTrue="1">
      <formula>LEN(TRIM(Q121))=0</formula>
    </cfRule>
    <cfRule type="cellIs" dxfId="6806" priority="579" stopIfTrue="1" operator="between">
      <formula>80.1</formula>
      <formula>100</formula>
    </cfRule>
    <cfRule type="cellIs" dxfId="6805" priority="580" stopIfTrue="1" operator="between">
      <formula>35.1</formula>
      <formula>80</formula>
    </cfRule>
    <cfRule type="cellIs" dxfId="6804" priority="581" stopIfTrue="1" operator="between">
      <formula>14.1</formula>
      <formula>35</formula>
    </cfRule>
    <cfRule type="cellIs" dxfId="6803" priority="582" stopIfTrue="1" operator="between">
      <formula>5.1</formula>
      <formula>14</formula>
    </cfRule>
    <cfRule type="cellIs" dxfId="6802" priority="583" stopIfTrue="1" operator="between">
      <formula>0</formula>
      <formula>5</formula>
    </cfRule>
    <cfRule type="containsBlanks" dxfId="6801" priority="584" stopIfTrue="1">
      <formula>LEN(TRIM(Q121))=0</formula>
    </cfRule>
  </conditionalFormatting>
  <conditionalFormatting sqref="E121:K121">
    <cfRule type="containsBlanks" dxfId="6800" priority="564" stopIfTrue="1">
      <formula>LEN(TRIM(E121))=0</formula>
    </cfRule>
    <cfRule type="cellIs" dxfId="6799" priority="565" stopIfTrue="1" operator="between">
      <formula>79.1</formula>
      <formula>100</formula>
    </cfRule>
    <cfRule type="cellIs" dxfId="6798" priority="566" stopIfTrue="1" operator="between">
      <formula>34.1</formula>
      <formula>79</formula>
    </cfRule>
    <cfRule type="cellIs" dxfId="6797" priority="567" stopIfTrue="1" operator="between">
      <formula>13.1</formula>
      <formula>34</formula>
    </cfRule>
    <cfRule type="cellIs" dxfId="6796" priority="568" stopIfTrue="1" operator="between">
      <formula>5.1</formula>
      <formula>13</formula>
    </cfRule>
    <cfRule type="cellIs" dxfId="6795" priority="569" stopIfTrue="1" operator="between">
      <formula>0</formula>
      <formula>5</formula>
    </cfRule>
    <cfRule type="containsBlanks" dxfId="6794" priority="570" stopIfTrue="1">
      <formula>LEN(TRIM(E121))=0</formula>
    </cfRule>
  </conditionalFormatting>
  <conditionalFormatting sqref="L121:P121">
    <cfRule type="containsBlanks" dxfId="6793" priority="571" stopIfTrue="1">
      <formula>LEN(TRIM(L121))=0</formula>
    </cfRule>
    <cfRule type="cellIs" dxfId="6792" priority="572" stopIfTrue="1" operator="between">
      <formula>79.1</formula>
      <formula>100</formula>
    </cfRule>
    <cfRule type="cellIs" dxfId="6791" priority="573" stopIfTrue="1" operator="between">
      <formula>34.1</formula>
      <formula>79</formula>
    </cfRule>
    <cfRule type="cellIs" dxfId="6790" priority="574" stopIfTrue="1" operator="between">
      <formula>13.1</formula>
      <formula>34</formula>
    </cfRule>
    <cfRule type="cellIs" dxfId="6789" priority="575" stopIfTrue="1" operator="between">
      <formula>5.1</formula>
      <formula>13</formula>
    </cfRule>
    <cfRule type="cellIs" dxfId="6788" priority="576" stopIfTrue="1" operator="between">
      <formula>0</formula>
      <formula>5</formula>
    </cfRule>
    <cfRule type="containsBlanks" dxfId="6787" priority="577" stopIfTrue="1">
      <formula>LEN(TRIM(L121))=0</formula>
    </cfRule>
  </conditionalFormatting>
  <conditionalFormatting sqref="R103">
    <cfRule type="containsBlanks" dxfId="6786" priority="535" stopIfTrue="1">
      <formula>LEN(TRIM(R103))=0</formula>
    </cfRule>
    <cfRule type="cellIs" dxfId="6785" priority="536" stopIfTrue="1" operator="between">
      <formula>80.1</formula>
      <formula>100</formula>
    </cfRule>
    <cfRule type="cellIs" dxfId="6784" priority="537" stopIfTrue="1" operator="between">
      <formula>35.1</formula>
      <formula>80</formula>
    </cfRule>
    <cfRule type="cellIs" dxfId="6783" priority="538" stopIfTrue="1" operator="between">
      <formula>14.1</formula>
      <formula>35</formula>
    </cfRule>
    <cfRule type="cellIs" dxfId="6782" priority="539" stopIfTrue="1" operator="between">
      <formula>5.1</formula>
      <formula>14</formula>
    </cfRule>
    <cfRule type="cellIs" dxfId="6781" priority="540" stopIfTrue="1" operator="between">
      <formula>0</formula>
      <formula>5</formula>
    </cfRule>
    <cfRule type="containsBlanks" dxfId="6780" priority="541" stopIfTrue="1">
      <formula>LEN(TRIM(R103))=0</formula>
    </cfRule>
  </conditionalFormatting>
  <conditionalFormatting sqref="R102">
    <cfRule type="containsBlanks" dxfId="6779" priority="542" stopIfTrue="1">
      <formula>LEN(TRIM(R102))=0</formula>
    </cfRule>
    <cfRule type="cellIs" dxfId="6778" priority="543" stopIfTrue="1" operator="between">
      <formula>80.1</formula>
      <formula>100</formula>
    </cfRule>
    <cfRule type="cellIs" dxfId="6777" priority="544" stopIfTrue="1" operator="between">
      <formula>35.1</formula>
      <formula>80</formula>
    </cfRule>
    <cfRule type="cellIs" dxfId="6776" priority="545" stopIfTrue="1" operator="between">
      <formula>14.1</formula>
      <formula>35</formula>
    </cfRule>
    <cfRule type="cellIs" dxfId="6775" priority="546" stopIfTrue="1" operator="between">
      <formula>5.1</formula>
      <formula>14</formula>
    </cfRule>
    <cfRule type="cellIs" dxfId="6774" priority="547" stopIfTrue="1" operator="between">
      <formula>0</formula>
      <formula>5</formula>
    </cfRule>
    <cfRule type="containsBlanks" dxfId="6773" priority="548" stopIfTrue="1">
      <formula>LEN(TRIM(R102))=0</formula>
    </cfRule>
  </conditionalFormatting>
  <conditionalFormatting sqref="Q98">
    <cfRule type="containsBlanks" dxfId="6772" priority="528" stopIfTrue="1">
      <formula>LEN(TRIM(Q98))=0</formula>
    </cfRule>
    <cfRule type="cellIs" dxfId="6771" priority="529" stopIfTrue="1" operator="between">
      <formula>80.1</formula>
      <formula>100</formula>
    </cfRule>
    <cfRule type="cellIs" dxfId="6770" priority="530" stopIfTrue="1" operator="between">
      <formula>35.1</formula>
      <formula>80</formula>
    </cfRule>
    <cfRule type="cellIs" dxfId="6769" priority="531" stopIfTrue="1" operator="between">
      <formula>14.1</formula>
      <formula>35</formula>
    </cfRule>
    <cfRule type="cellIs" dxfId="6768" priority="532" stopIfTrue="1" operator="between">
      <formula>5.1</formula>
      <formula>14</formula>
    </cfRule>
    <cfRule type="cellIs" dxfId="6767" priority="533" stopIfTrue="1" operator="between">
      <formula>0</formula>
      <formula>5</formula>
    </cfRule>
    <cfRule type="containsBlanks" dxfId="6766" priority="534" stopIfTrue="1">
      <formula>LEN(TRIM(Q98))=0</formula>
    </cfRule>
  </conditionalFormatting>
  <conditionalFormatting sqref="Q271:Q279">
    <cfRule type="containsBlanks" dxfId="6726" priority="459" stopIfTrue="1">
      <formula>LEN(TRIM(Q271))=0</formula>
    </cfRule>
    <cfRule type="cellIs" dxfId="6725" priority="460" stopIfTrue="1" operator="between">
      <formula>80.1</formula>
      <formula>100</formula>
    </cfRule>
    <cfRule type="cellIs" dxfId="6724" priority="461" stopIfTrue="1" operator="between">
      <formula>35.1</formula>
      <formula>80</formula>
    </cfRule>
    <cfRule type="cellIs" dxfId="6723" priority="462" stopIfTrue="1" operator="between">
      <formula>14.1</formula>
      <formula>35</formula>
    </cfRule>
    <cfRule type="cellIs" dxfId="6722" priority="463" stopIfTrue="1" operator="between">
      <formula>5.1</formula>
      <formula>14</formula>
    </cfRule>
    <cfRule type="cellIs" dxfId="6721" priority="464" stopIfTrue="1" operator="between">
      <formula>0</formula>
      <formula>5</formula>
    </cfRule>
    <cfRule type="containsBlanks" dxfId="6720" priority="465" stopIfTrue="1">
      <formula>LEN(TRIM(Q271))=0</formula>
    </cfRule>
  </conditionalFormatting>
  <conditionalFormatting sqref="Q277">
    <cfRule type="containsBlanks" dxfId="6719" priority="452" stopIfTrue="1">
      <formula>LEN(TRIM(Q277))=0</formula>
    </cfRule>
    <cfRule type="cellIs" dxfId="6718" priority="453" stopIfTrue="1" operator="between">
      <formula>80.1</formula>
      <formula>100</formula>
    </cfRule>
    <cfRule type="cellIs" dxfId="6717" priority="454" stopIfTrue="1" operator="between">
      <formula>35.1</formula>
      <formula>80</formula>
    </cfRule>
    <cfRule type="cellIs" dxfId="6716" priority="455" stopIfTrue="1" operator="between">
      <formula>14.1</formula>
      <formula>35</formula>
    </cfRule>
    <cfRule type="cellIs" dxfId="6715" priority="456" stopIfTrue="1" operator="between">
      <formula>5.1</formula>
      <formula>14</formula>
    </cfRule>
    <cfRule type="cellIs" dxfId="6714" priority="457" stopIfTrue="1" operator="between">
      <formula>0</formula>
      <formula>5</formula>
    </cfRule>
    <cfRule type="containsBlanks" dxfId="6713" priority="458" stopIfTrue="1">
      <formula>LEN(TRIM(Q277))=0</formula>
    </cfRule>
  </conditionalFormatting>
  <conditionalFormatting sqref="Q276">
    <cfRule type="containsBlanks" dxfId="6712" priority="445" stopIfTrue="1">
      <formula>LEN(TRIM(Q276))=0</formula>
    </cfRule>
    <cfRule type="cellIs" dxfId="6711" priority="446" stopIfTrue="1" operator="between">
      <formula>80.1</formula>
      <formula>100</formula>
    </cfRule>
    <cfRule type="cellIs" dxfId="6710" priority="447" stopIfTrue="1" operator="between">
      <formula>35.1</formula>
      <formula>80</formula>
    </cfRule>
    <cfRule type="cellIs" dxfId="6709" priority="448" stopIfTrue="1" operator="between">
      <formula>14.1</formula>
      <formula>35</formula>
    </cfRule>
    <cfRule type="cellIs" dxfId="6708" priority="449" stopIfTrue="1" operator="between">
      <formula>5.1</formula>
      <formula>14</formula>
    </cfRule>
    <cfRule type="cellIs" dxfId="6707" priority="450" stopIfTrue="1" operator="between">
      <formula>0</formula>
      <formula>5</formula>
    </cfRule>
    <cfRule type="containsBlanks" dxfId="6706" priority="451" stopIfTrue="1">
      <formula>LEN(TRIM(Q276))=0</formula>
    </cfRule>
  </conditionalFormatting>
  <conditionalFormatting sqref="Q278">
    <cfRule type="containsBlanks" dxfId="6705" priority="438" stopIfTrue="1">
      <formula>LEN(TRIM(Q278))=0</formula>
    </cfRule>
    <cfRule type="cellIs" dxfId="6704" priority="439" stopIfTrue="1" operator="between">
      <formula>80.1</formula>
      <formula>100</formula>
    </cfRule>
    <cfRule type="cellIs" dxfId="6703" priority="440" stopIfTrue="1" operator="between">
      <formula>35.1</formula>
      <formula>80</formula>
    </cfRule>
    <cfRule type="cellIs" dxfId="6702" priority="441" stopIfTrue="1" operator="between">
      <formula>14.1</formula>
      <formula>35</formula>
    </cfRule>
    <cfRule type="cellIs" dxfId="6701" priority="442" stopIfTrue="1" operator="between">
      <formula>5.1</formula>
      <formula>14</formula>
    </cfRule>
    <cfRule type="cellIs" dxfId="6700" priority="443" stopIfTrue="1" operator="between">
      <formula>0</formula>
      <formula>5</formula>
    </cfRule>
    <cfRule type="containsBlanks" dxfId="6699" priority="444" stopIfTrue="1">
      <formula>LEN(TRIM(Q278))=0</formula>
    </cfRule>
  </conditionalFormatting>
  <conditionalFormatting sqref="R428:R432">
    <cfRule type="cellIs" dxfId="6691" priority="430" stopIfTrue="1" operator="equal">
      <formula>"NO"</formula>
    </cfRule>
  </conditionalFormatting>
  <conditionalFormatting sqref="R428:R432">
    <cfRule type="cellIs" dxfId="6690" priority="429" stopIfTrue="1" operator="equal">
      <formula>"NO"</formula>
    </cfRule>
  </conditionalFormatting>
  <conditionalFormatting sqref="R428:R432">
    <cfRule type="cellIs" dxfId="6689" priority="428" stopIfTrue="1" operator="equal">
      <formula>"NO"</formula>
    </cfRule>
  </conditionalFormatting>
  <conditionalFormatting sqref="S428:S432">
    <cfRule type="cellIs" dxfId="6688" priority="427" stopIfTrue="1" operator="equal">
      <formula>"INVIABLE SANITARIAMENTE"</formula>
    </cfRule>
  </conditionalFormatting>
  <conditionalFormatting sqref="S428:S432">
    <cfRule type="containsText" dxfId="6687" priority="422" stopIfTrue="1" operator="containsText" text="INVIABLE SANITARIAMENTE">
      <formula>NOT(ISERROR(SEARCH("INVIABLE SANITARIAMENTE",S428)))</formula>
    </cfRule>
    <cfRule type="containsText" dxfId="6686" priority="423" stopIfTrue="1" operator="containsText" text="ALTO">
      <formula>NOT(ISERROR(SEARCH("ALTO",S428)))</formula>
    </cfRule>
    <cfRule type="containsText" dxfId="6685" priority="424" stopIfTrue="1" operator="containsText" text="MEDIO">
      <formula>NOT(ISERROR(SEARCH("MEDIO",S428)))</formula>
    </cfRule>
    <cfRule type="containsText" dxfId="6684" priority="425" stopIfTrue="1" operator="containsText" text="BAJO">
      <formula>NOT(ISERROR(SEARCH("BAJO",S428)))</formula>
    </cfRule>
    <cfRule type="containsText" dxfId="6683" priority="426" stopIfTrue="1" operator="containsText" text="SIN RIESGO">
      <formula>NOT(ISERROR(SEARCH("SIN RIESGO",S428)))</formula>
    </cfRule>
  </conditionalFormatting>
  <conditionalFormatting sqref="S428:S432">
    <cfRule type="containsText" dxfId="6682" priority="421" stopIfTrue="1" operator="containsText" text="SIN RIESGO">
      <formula>NOT(ISERROR(SEARCH("SIN RIESGO",S428)))</formula>
    </cfRule>
  </conditionalFormatting>
  <conditionalFormatting sqref="Q428:Q432">
    <cfRule type="containsBlanks" dxfId="6681" priority="414" stopIfTrue="1">
      <formula>LEN(TRIM(Q428))=0</formula>
    </cfRule>
    <cfRule type="cellIs" dxfId="6680" priority="415" stopIfTrue="1" operator="between">
      <formula>80.1</formula>
      <formula>100</formula>
    </cfRule>
    <cfRule type="cellIs" dxfId="6679" priority="416" stopIfTrue="1" operator="between">
      <formula>35.1</formula>
      <formula>80</formula>
    </cfRule>
    <cfRule type="cellIs" dxfId="6678" priority="417" stopIfTrue="1" operator="between">
      <formula>14.1</formula>
      <formula>35</formula>
    </cfRule>
    <cfRule type="cellIs" dxfId="6677" priority="418" stopIfTrue="1" operator="between">
      <formula>5.1</formula>
      <formula>14</formula>
    </cfRule>
    <cfRule type="cellIs" dxfId="6676" priority="419" stopIfTrue="1" operator="between">
      <formula>0</formula>
      <formula>5</formula>
    </cfRule>
    <cfRule type="containsBlanks" dxfId="6675" priority="420" stopIfTrue="1">
      <formula>LEN(TRIM(Q428))=0</formula>
    </cfRule>
  </conditionalFormatting>
  <conditionalFormatting sqref="R112:R114">
    <cfRule type="cellIs" dxfId="6600" priority="320" stopIfTrue="1" operator="equal">
      <formula>"NO"</formula>
    </cfRule>
  </conditionalFormatting>
  <conditionalFormatting sqref="R115">
    <cfRule type="cellIs" dxfId="6599" priority="304" stopIfTrue="1" operator="equal">
      <formula>"NO"</formula>
    </cfRule>
  </conditionalFormatting>
  <conditionalFormatting sqref="R116:R117">
    <cfRule type="cellIs" dxfId="6598" priority="296" stopIfTrue="1" operator="equal">
      <formula>"NO"</formula>
    </cfRule>
  </conditionalFormatting>
  <conditionalFormatting sqref="R119:R120">
    <cfRule type="cellIs" dxfId="6597" priority="280" stopIfTrue="1" operator="equal">
      <formula>"NO"</formula>
    </cfRule>
  </conditionalFormatting>
  <conditionalFormatting sqref="R121">
    <cfRule type="cellIs" dxfId="6596" priority="272" stopIfTrue="1" operator="equal">
      <formula>"NO"</formula>
    </cfRule>
  </conditionalFormatting>
  <conditionalFormatting sqref="R46:R59">
    <cfRule type="cellIs" dxfId="6595" priority="265" stopIfTrue="1" operator="equal">
      <formula>"NO"</formula>
    </cfRule>
  </conditionalFormatting>
  <conditionalFormatting sqref="R11">
    <cfRule type="cellIs" dxfId="6594" priority="123" stopIfTrue="1" operator="equal">
      <formula>"NO"</formula>
    </cfRule>
  </conditionalFormatting>
  <conditionalFormatting sqref="Q11:Q43 Q45:Q59 Q62:Q128">
    <cfRule type="containsBlanks" dxfId="6593" priority="115" stopIfTrue="1">
      <formula>LEN(TRIM(Q11))=0</formula>
    </cfRule>
    <cfRule type="cellIs" dxfId="6592" priority="116" stopIfTrue="1" operator="between">
      <formula>80.1</formula>
      <formula>100</formula>
    </cfRule>
    <cfRule type="cellIs" dxfId="6591" priority="117" stopIfTrue="1" operator="between">
      <formula>35.1</formula>
      <formula>80</formula>
    </cfRule>
    <cfRule type="cellIs" dxfId="6590" priority="118" stopIfTrue="1" operator="between">
      <formula>14.1</formula>
      <formula>35</formula>
    </cfRule>
    <cfRule type="cellIs" dxfId="6589" priority="119" stopIfTrue="1" operator="between">
      <formula>5.1</formula>
      <formula>14</formula>
    </cfRule>
    <cfRule type="cellIs" dxfId="6588" priority="120" stopIfTrue="1" operator="between">
      <formula>0</formula>
      <formula>5</formula>
    </cfRule>
    <cfRule type="containsBlanks" dxfId="6587" priority="121" stopIfTrue="1">
      <formula>LEN(TRIM(Q11))=0</formula>
    </cfRule>
  </conditionalFormatting>
  <conditionalFormatting sqref="S11:S43 S45:S59 S62:S127">
    <cfRule type="cellIs" dxfId="6586" priority="108" stopIfTrue="1" operator="equal">
      <formula>"INVIABLE SANITARIAMENTE"</formula>
    </cfRule>
  </conditionalFormatting>
  <conditionalFormatting sqref="S11:S43 S45:S59 S62:S127">
    <cfRule type="containsText" dxfId="6585" priority="103" stopIfTrue="1" operator="containsText" text="INVIABLE SANITARIAMENTE">
      <formula>NOT(ISERROR(SEARCH("INVIABLE SANITARIAMENTE",S11)))</formula>
    </cfRule>
    <cfRule type="containsText" dxfId="6584" priority="104" stopIfTrue="1" operator="containsText" text="ALTO">
      <formula>NOT(ISERROR(SEARCH("ALTO",S11)))</formula>
    </cfRule>
    <cfRule type="containsText" dxfId="6583" priority="105" stopIfTrue="1" operator="containsText" text="MEDIO">
      <formula>NOT(ISERROR(SEARCH("MEDIO",S11)))</formula>
    </cfRule>
    <cfRule type="containsText" dxfId="6582" priority="106" stopIfTrue="1" operator="containsText" text="BAJO">
      <formula>NOT(ISERROR(SEARCH("BAJO",S11)))</formula>
    </cfRule>
    <cfRule type="containsText" dxfId="6581" priority="107" stopIfTrue="1" operator="containsText" text="SIN RIESGO">
      <formula>NOT(ISERROR(SEARCH("SIN RIESGO",S11)))</formula>
    </cfRule>
  </conditionalFormatting>
  <conditionalFormatting sqref="S11:S43 S45:S59 S62:S127">
    <cfRule type="containsText" dxfId="6580" priority="102" stopIfTrue="1" operator="containsText" text="SIN RIESGO">
      <formula>NOT(ISERROR(SEARCH("SIN RIESGO",S11)))</formula>
    </cfRule>
  </conditionalFormatting>
  <conditionalFormatting sqref="R44">
    <cfRule type="cellIs" dxfId="6579" priority="101" stopIfTrue="1" operator="equal">
      <formula>"NO"</formula>
    </cfRule>
  </conditionalFormatting>
  <conditionalFormatting sqref="Q44">
    <cfRule type="containsBlanks" dxfId="6578" priority="94" stopIfTrue="1">
      <formula>LEN(TRIM(Q44))=0</formula>
    </cfRule>
    <cfRule type="cellIs" dxfId="6577" priority="95" stopIfTrue="1" operator="between">
      <formula>80.1</formula>
      <formula>100</formula>
    </cfRule>
    <cfRule type="cellIs" dxfId="6576" priority="96" stopIfTrue="1" operator="between">
      <formula>35.1</formula>
      <formula>80</formula>
    </cfRule>
    <cfRule type="cellIs" dxfId="6575" priority="97" stopIfTrue="1" operator="between">
      <formula>14.1</formula>
      <formula>35</formula>
    </cfRule>
    <cfRule type="cellIs" dxfId="6574" priority="98" stopIfTrue="1" operator="between">
      <formula>5.1</formula>
      <formula>14</formula>
    </cfRule>
    <cfRule type="cellIs" dxfId="6573" priority="99" stopIfTrue="1" operator="between">
      <formula>0</formula>
      <formula>5</formula>
    </cfRule>
    <cfRule type="containsBlanks" dxfId="6572" priority="100" stopIfTrue="1">
      <formula>LEN(TRIM(Q44))=0</formula>
    </cfRule>
  </conditionalFormatting>
  <conditionalFormatting sqref="Q44">
    <cfRule type="containsBlanks" dxfId="6571" priority="87" stopIfTrue="1">
      <formula>LEN(TRIM(Q44))=0</formula>
    </cfRule>
    <cfRule type="cellIs" dxfId="6570" priority="88" stopIfTrue="1" operator="between">
      <formula>80.1</formula>
      <formula>100</formula>
    </cfRule>
    <cfRule type="cellIs" dxfId="6569" priority="89" stopIfTrue="1" operator="between">
      <formula>35.1</formula>
      <formula>80</formula>
    </cfRule>
    <cfRule type="cellIs" dxfId="6568" priority="90" stopIfTrue="1" operator="between">
      <formula>14.1</formula>
      <formula>35</formula>
    </cfRule>
    <cfRule type="cellIs" dxfId="6567" priority="91" stopIfTrue="1" operator="between">
      <formula>5.1</formula>
      <formula>14</formula>
    </cfRule>
    <cfRule type="cellIs" dxfId="6566" priority="92" stopIfTrue="1" operator="between">
      <formula>0</formula>
      <formula>5</formula>
    </cfRule>
    <cfRule type="containsBlanks" dxfId="6565" priority="93" stopIfTrue="1">
      <formula>LEN(TRIM(Q44))=0</formula>
    </cfRule>
  </conditionalFormatting>
  <conditionalFormatting sqref="E44:P44">
    <cfRule type="containsBlanks" dxfId="6564" priority="80" stopIfTrue="1">
      <formula>LEN(TRIM(E44))=0</formula>
    </cfRule>
    <cfRule type="cellIs" dxfId="6563" priority="81" stopIfTrue="1" operator="between">
      <formula>79.1</formula>
      <formula>100</formula>
    </cfRule>
    <cfRule type="cellIs" dxfId="6562" priority="82" stopIfTrue="1" operator="between">
      <formula>34.1</formula>
      <formula>79</formula>
    </cfRule>
    <cfRule type="cellIs" dxfId="6561" priority="83" stopIfTrue="1" operator="between">
      <formula>13.1</formula>
      <formula>34</formula>
    </cfRule>
    <cfRule type="cellIs" dxfId="6560" priority="84" stopIfTrue="1" operator="between">
      <formula>5.1</formula>
      <formula>13</formula>
    </cfRule>
    <cfRule type="cellIs" dxfId="6559" priority="85" stopIfTrue="1" operator="between">
      <formula>0</formula>
      <formula>5</formula>
    </cfRule>
    <cfRule type="containsBlanks" dxfId="6558" priority="86" stopIfTrue="1">
      <formula>LEN(TRIM(E44))=0</formula>
    </cfRule>
  </conditionalFormatting>
  <conditionalFormatting sqref="E44:P44">
    <cfRule type="containsBlanks" dxfId="6557" priority="73" stopIfTrue="1">
      <formula>LEN(TRIM(E44))=0</formula>
    </cfRule>
    <cfRule type="cellIs" dxfId="6556" priority="74" stopIfTrue="1" operator="between">
      <formula>79.1</formula>
      <formula>100</formula>
    </cfRule>
    <cfRule type="cellIs" dxfId="6555" priority="75" stopIfTrue="1" operator="between">
      <formula>34.1</formula>
      <formula>79</formula>
    </cfRule>
    <cfRule type="cellIs" dxfId="6554" priority="76" stopIfTrue="1" operator="between">
      <formula>13.1</formula>
      <formula>34</formula>
    </cfRule>
    <cfRule type="cellIs" dxfId="6553" priority="77" stopIfTrue="1" operator="between">
      <formula>5.1</formula>
      <formula>13</formula>
    </cfRule>
    <cfRule type="cellIs" dxfId="6552" priority="78" stopIfTrue="1" operator="between">
      <formula>0</formula>
      <formula>5</formula>
    </cfRule>
    <cfRule type="containsBlanks" dxfId="6551" priority="79" stopIfTrue="1">
      <formula>LEN(TRIM(E44))=0</formula>
    </cfRule>
  </conditionalFormatting>
  <conditionalFormatting sqref="Q44">
    <cfRule type="containsBlanks" dxfId="6550" priority="66" stopIfTrue="1">
      <formula>LEN(TRIM(Q44))=0</formula>
    </cfRule>
    <cfRule type="cellIs" dxfId="6549" priority="67" stopIfTrue="1" operator="between">
      <formula>80.1</formula>
      <formula>100</formula>
    </cfRule>
    <cfRule type="cellIs" dxfId="6548" priority="68" stopIfTrue="1" operator="between">
      <formula>35.1</formula>
      <formula>80</formula>
    </cfRule>
    <cfRule type="cellIs" dxfId="6547" priority="69" stopIfTrue="1" operator="between">
      <formula>14.1</formula>
      <formula>35</formula>
    </cfRule>
    <cfRule type="cellIs" dxfId="6546" priority="70" stopIfTrue="1" operator="between">
      <formula>5.1</formula>
      <formula>14</formula>
    </cfRule>
    <cfRule type="cellIs" dxfId="6545" priority="71" stopIfTrue="1" operator="between">
      <formula>0</formula>
      <formula>5</formula>
    </cfRule>
    <cfRule type="containsBlanks" dxfId="6544" priority="72" stopIfTrue="1">
      <formula>LEN(TRIM(Q44))=0</formula>
    </cfRule>
  </conditionalFormatting>
  <conditionalFormatting sqref="S44">
    <cfRule type="cellIs" dxfId="6543" priority="65" stopIfTrue="1" operator="equal">
      <formula>"INVIABLE SANITARIAMENTE"</formula>
    </cfRule>
  </conditionalFormatting>
  <conditionalFormatting sqref="S44">
    <cfRule type="containsText" dxfId="6542" priority="60" stopIfTrue="1" operator="containsText" text="INVIABLE SANITARIAMENTE">
      <formula>NOT(ISERROR(SEARCH("INVIABLE SANITARIAMENTE",S44)))</formula>
    </cfRule>
    <cfRule type="containsText" dxfId="6541" priority="61" stopIfTrue="1" operator="containsText" text="ALTO">
      <formula>NOT(ISERROR(SEARCH("ALTO",S44)))</formula>
    </cfRule>
    <cfRule type="containsText" dxfId="6540" priority="62" stopIfTrue="1" operator="containsText" text="MEDIO">
      <formula>NOT(ISERROR(SEARCH("MEDIO",S44)))</formula>
    </cfRule>
    <cfRule type="containsText" dxfId="6539" priority="63" stopIfTrue="1" operator="containsText" text="BAJO">
      <formula>NOT(ISERROR(SEARCH("BAJO",S44)))</formula>
    </cfRule>
    <cfRule type="containsText" dxfId="6538" priority="64" stopIfTrue="1" operator="containsText" text="SIN RIESGO">
      <formula>NOT(ISERROR(SEARCH("SIN RIESGO",S44)))</formula>
    </cfRule>
  </conditionalFormatting>
  <conditionalFormatting sqref="S44">
    <cfRule type="containsText" dxfId="6537" priority="59" stopIfTrue="1" operator="containsText" text="SIN RIESGO">
      <formula>NOT(ISERROR(SEARCH("SIN RIESGO",S44)))</formula>
    </cfRule>
  </conditionalFormatting>
  <conditionalFormatting sqref="R61">
    <cfRule type="cellIs" dxfId="6536" priority="58" stopIfTrue="1" operator="equal">
      <formula>"NO"</formula>
    </cfRule>
  </conditionalFormatting>
  <conditionalFormatting sqref="E61:Q61">
    <cfRule type="containsBlanks" dxfId="6535" priority="51" stopIfTrue="1">
      <formula>LEN(TRIM(E61))=0</formula>
    </cfRule>
    <cfRule type="cellIs" dxfId="6534" priority="52" stopIfTrue="1" operator="between">
      <formula>80.1</formula>
      <formula>100</formula>
    </cfRule>
    <cfRule type="cellIs" dxfId="6533" priority="53" stopIfTrue="1" operator="between">
      <formula>35.1</formula>
      <formula>80</formula>
    </cfRule>
    <cfRule type="cellIs" dxfId="6532" priority="54" stopIfTrue="1" operator="between">
      <formula>14.1</formula>
      <formula>35</formula>
    </cfRule>
    <cfRule type="cellIs" dxfId="6531" priority="55" stopIfTrue="1" operator="between">
      <formula>5.1</formula>
      <formula>14</formula>
    </cfRule>
    <cfRule type="cellIs" dxfId="6530" priority="56" stopIfTrue="1" operator="between">
      <formula>0</formula>
      <formula>5</formula>
    </cfRule>
    <cfRule type="containsBlanks" dxfId="6529" priority="57" stopIfTrue="1">
      <formula>LEN(TRIM(E61))=0</formula>
    </cfRule>
  </conditionalFormatting>
  <conditionalFormatting sqref="E61:P61">
    <cfRule type="containsBlanks" dxfId="6528" priority="44" stopIfTrue="1">
      <formula>LEN(TRIM(E61))=0</formula>
    </cfRule>
    <cfRule type="cellIs" dxfId="6527" priority="45" stopIfTrue="1" operator="between">
      <formula>79.1</formula>
      <formula>100</formula>
    </cfRule>
    <cfRule type="cellIs" dxfId="6526" priority="46" stopIfTrue="1" operator="between">
      <formula>34.1</formula>
      <formula>79</formula>
    </cfRule>
    <cfRule type="cellIs" dxfId="6525" priority="47" stopIfTrue="1" operator="between">
      <formula>13.1</formula>
      <formula>34</formula>
    </cfRule>
    <cfRule type="cellIs" dxfId="6524" priority="48" stopIfTrue="1" operator="between">
      <formula>5.1</formula>
      <formula>13</formula>
    </cfRule>
    <cfRule type="cellIs" dxfId="6523" priority="49" stopIfTrue="1" operator="between">
      <formula>0</formula>
      <formula>5</formula>
    </cfRule>
    <cfRule type="containsBlanks" dxfId="6522" priority="50" stopIfTrue="1">
      <formula>LEN(TRIM(E61))=0</formula>
    </cfRule>
  </conditionalFormatting>
  <conditionalFormatting sqref="Q61">
    <cfRule type="containsBlanks" dxfId="6521" priority="37" stopIfTrue="1">
      <formula>LEN(TRIM(Q61))=0</formula>
    </cfRule>
    <cfRule type="cellIs" dxfId="6520" priority="38" stopIfTrue="1" operator="between">
      <formula>80.1</formula>
      <formula>100</formula>
    </cfRule>
    <cfRule type="cellIs" dxfId="6519" priority="39" stopIfTrue="1" operator="between">
      <formula>35.1</formula>
      <formula>80</formula>
    </cfRule>
    <cfRule type="cellIs" dxfId="6518" priority="40" stopIfTrue="1" operator="between">
      <formula>14.1</formula>
      <formula>35</formula>
    </cfRule>
    <cfRule type="cellIs" dxfId="6517" priority="41" stopIfTrue="1" operator="between">
      <formula>5.1</formula>
      <formula>14</formula>
    </cfRule>
    <cfRule type="cellIs" dxfId="6516" priority="42" stopIfTrue="1" operator="between">
      <formula>0</formula>
      <formula>5</formula>
    </cfRule>
    <cfRule type="containsBlanks" dxfId="6515" priority="43" stopIfTrue="1">
      <formula>LEN(TRIM(Q61))=0</formula>
    </cfRule>
  </conditionalFormatting>
  <conditionalFormatting sqref="S61">
    <cfRule type="cellIs" dxfId="6514" priority="36" stopIfTrue="1" operator="equal">
      <formula>"INVIABLE SANITARIAMENTE"</formula>
    </cfRule>
  </conditionalFormatting>
  <conditionalFormatting sqref="S61">
    <cfRule type="containsText" dxfId="6513" priority="31" stopIfTrue="1" operator="containsText" text="INVIABLE SANITARIAMENTE">
      <formula>NOT(ISERROR(SEARCH("INVIABLE SANITARIAMENTE",S61)))</formula>
    </cfRule>
    <cfRule type="containsText" dxfId="6512" priority="32" stopIfTrue="1" operator="containsText" text="ALTO">
      <formula>NOT(ISERROR(SEARCH("ALTO",S61)))</formula>
    </cfRule>
    <cfRule type="containsText" dxfId="6511" priority="33" stopIfTrue="1" operator="containsText" text="MEDIO">
      <formula>NOT(ISERROR(SEARCH("MEDIO",S61)))</formula>
    </cfRule>
    <cfRule type="containsText" dxfId="6510" priority="34" stopIfTrue="1" operator="containsText" text="BAJO">
      <formula>NOT(ISERROR(SEARCH("BAJO",S61)))</formula>
    </cfRule>
    <cfRule type="containsText" dxfId="6509" priority="35" stopIfTrue="1" operator="containsText" text="SIN RIESGO">
      <formula>NOT(ISERROR(SEARCH("SIN RIESGO",S61)))</formula>
    </cfRule>
  </conditionalFormatting>
  <conditionalFormatting sqref="S61">
    <cfRule type="containsText" dxfId="6508" priority="30" stopIfTrue="1" operator="containsText" text="SIN RIESGO">
      <formula>NOT(ISERROR(SEARCH("SIN RIESGO",S61)))</formula>
    </cfRule>
  </conditionalFormatting>
  <conditionalFormatting sqref="R60">
    <cfRule type="cellIs" dxfId="6507" priority="29" stopIfTrue="1" operator="equal">
      <formula>"NO"</formula>
    </cfRule>
  </conditionalFormatting>
  <conditionalFormatting sqref="E60:Q60">
    <cfRule type="containsBlanks" dxfId="6506" priority="22" stopIfTrue="1">
      <formula>LEN(TRIM(E60))=0</formula>
    </cfRule>
    <cfRule type="cellIs" dxfId="6505" priority="23" stopIfTrue="1" operator="between">
      <formula>80.1</formula>
      <formula>100</formula>
    </cfRule>
    <cfRule type="cellIs" dxfId="6504" priority="24" stopIfTrue="1" operator="between">
      <formula>35.1</formula>
      <formula>80</formula>
    </cfRule>
    <cfRule type="cellIs" dxfId="6503" priority="25" stopIfTrue="1" operator="between">
      <formula>14.1</formula>
      <formula>35</formula>
    </cfRule>
    <cfRule type="cellIs" dxfId="6502" priority="26" stopIfTrue="1" operator="between">
      <formula>5.1</formula>
      <formula>14</formula>
    </cfRule>
    <cfRule type="cellIs" dxfId="6501" priority="27" stopIfTrue="1" operator="between">
      <formula>0</formula>
      <formula>5</formula>
    </cfRule>
    <cfRule type="containsBlanks" dxfId="6500" priority="28" stopIfTrue="1">
      <formula>LEN(TRIM(E60))=0</formula>
    </cfRule>
  </conditionalFormatting>
  <conditionalFormatting sqref="E60:P60">
    <cfRule type="containsBlanks" dxfId="6499" priority="15" stopIfTrue="1">
      <formula>LEN(TRIM(E60))=0</formula>
    </cfRule>
    <cfRule type="cellIs" dxfId="6498" priority="16" stopIfTrue="1" operator="between">
      <formula>79.1</formula>
      <formula>100</formula>
    </cfRule>
    <cfRule type="cellIs" dxfId="6497" priority="17" stopIfTrue="1" operator="between">
      <formula>34.1</formula>
      <formula>79</formula>
    </cfRule>
    <cfRule type="cellIs" dxfId="6496" priority="18" stopIfTrue="1" operator="between">
      <formula>13.1</formula>
      <formula>34</formula>
    </cfRule>
    <cfRule type="cellIs" dxfId="6495" priority="19" stopIfTrue="1" operator="between">
      <formula>5.1</formula>
      <formula>13</formula>
    </cfRule>
    <cfRule type="cellIs" dxfId="6494" priority="20" stopIfTrue="1" operator="between">
      <formula>0</formula>
      <formula>5</formula>
    </cfRule>
    <cfRule type="containsBlanks" dxfId="6493" priority="21" stopIfTrue="1">
      <formula>LEN(TRIM(E60))=0</formula>
    </cfRule>
  </conditionalFormatting>
  <conditionalFormatting sqref="Q60">
    <cfRule type="containsBlanks" dxfId="6492" priority="8" stopIfTrue="1">
      <formula>LEN(TRIM(Q60))=0</formula>
    </cfRule>
    <cfRule type="cellIs" dxfId="6491" priority="9" stopIfTrue="1" operator="between">
      <formula>80.1</formula>
      <formula>100</formula>
    </cfRule>
    <cfRule type="cellIs" dxfId="6490" priority="10" stopIfTrue="1" operator="between">
      <formula>35.1</formula>
      <formula>80</formula>
    </cfRule>
    <cfRule type="cellIs" dxfId="6489" priority="11" stopIfTrue="1" operator="between">
      <formula>14.1</formula>
      <formula>35</formula>
    </cfRule>
    <cfRule type="cellIs" dxfId="6488" priority="12" stopIfTrue="1" operator="between">
      <formula>5.1</formula>
      <formula>14</formula>
    </cfRule>
    <cfRule type="cellIs" dxfId="6487" priority="13" stopIfTrue="1" operator="between">
      <formula>0</formula>
      <formula>5</formula>
    </cfRule>
    <cfRule type="containsBlanks" dxfId="6486" priority="14" stopIfTrue="1">
      <formula>LEN(TRIM(Q60))=0</formula>
    </cfRule>
  </conditionalFormatting>
  <conditionalFormatting sqref="S60">
    <cfRule type="cellIs" dxfId="6485" priority="7" stopIfTrue="1" operator="equal">
      <formula>"INVIABLE SANITARIAMENTE"</formula>
    </cfRule>
  </conditionalFormatting>
  <conditionalFormatting sqref="S60">
    <cfRule type="containsText" dxfId="6484" priority="2" stopIfTrue="1" operator="containsText" text="INVIABLE SANITARIAMENTE">
      <formula>NOT(ISERROR(SEARCH("INVIABLE SANITARIAMENTE",S60)))</formula>
    </cfRule>
    <cfRule type="containsText" dxfId="6483" priority="3" stopIfTrue="1" operator="containsText" text="ALTO">
      <formula>NOT(ISERROR(SEARCH("ALTO",S60)))</formula>
    </cfRule>
    <cfRule type="containsText" dxfId="6482" priority="4" stopIfTrue="1" operator="containsText" text="MEDIO">
      <formula>NOT(ISERROR(SEARCH("MEDIO",S60)))</formula>
    </cfRule>
    <cfRule type="containsText" dxfId="6481" priority="5" stopIfTrue="1" operator="containsText" text="BAJO">
      <formula>NOT(ISERROR(SEARCH("BAJO",S60)))</formula>
    </cfRule>
    <cfRule type="containsText" dxfId="6480" priority="6" stopIfTrue="1" operator="containsText" text="SIN RIESGO">
      <formula>NOT(ISERROR(SEARCH("SIN RIESGO",S60)))</formula>
    </cfRule>
  </conditionalFormatting>
  <conditionalFormatting sqref="S60">
    <cfRule type="containsText" dxfId="6479" priority="1" stopIfTrue="1" operator="containsText" text="SIN RIESGO">
      <formula>NOT(ISERROR(SEARCH("SIN RIESGO",S60)))</formula>
    </cfRule>
  </conditionalFormatting>
  <printOptions horizontalCentered="1"/>
  <pageMargins left="0.28999999999999998" right="0.2" top="0.6692913385826772" bottom="0.9055118110236221" header="0.43" footer="0.59055118110236227"/>
  <pageSetup paperSize="14" scale="75" orientation="landscape" r:id="rId5"/>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drawing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W747"/>
  <sheetViews>
    <sheetView zoomScale="70" zoomScaleNormal="70" workbookViewId="0">
      <pane xSplit="3" ySplit="10" topLeftCell="D11" activePane="bottomRight" state="frozenSplit"/>
      <selection pane="topRight" activeCell="D1" sqref="D1"/>
      <selection pane="bottomLeft" activeCell="A10" sqref="A10"/>
      <selection pane="bottomRight" activeCell="A11" sqref="A11"/>
    </sheetView>
  </sheetViews>
  <sheetFormatPr baseColWidth="10" defaultColWidth="0" defaultRowHeight="12.75" customHeight="1" zeroHeight="1" x14ac:dyDescent="0.2"/>
  <cols>
    <col min="1" max="1" width="38.28515625" style="35" customWidth="1"/>
    <col min="2" max="2" width="48.140625" style="12" customWidth="1"/>
    <col min="3" max="3" width="68.42578125" style="12" customWidth="1"/>
    <col min="4" max="4" width="24.7109375" style="12" customWidth="1"/>
    <col min="5" max="18" width="10.7109375" style="178" customWidth="1"/>
    <col min="19" max="19" width="42.28515625" style="178" bestFit="1" customWidth="1"/>
    <col min="20" max="20" width="9.85546875" style="178" hidden="1" customWidth="1"/>
    <col min="21" max="16384" width="11.42578125" style="178" hidden="1"/>
  </cols>
  <sheetData>
    <row r="1" spans="1:23" s="7" customFormat="1" ht="18" customHeight="1" x14ac:dyDescent="0.2">
      <c r="A1" s="108"/>
      <c r="B1" s="326" t="s">
        <v>254</v>
      </c>
      <c r="C1" s="326"/>
      <c r="D1" s="326"/>
      <c r="E1" s="86"/>
      <c r="F1" s="86"/>
      <c r="G1" s="86"/>
      <c r="H1" s="86"/>
      <c r="I1" s="86"/>
      <c r="J1" s="86"/>
      <c r="K1" s="86"/>
      <c r="L1" s="86"/>
      <c r="M1" s="86"/>
      <c r="N1" s="86"/>
      <c r="O1" s="86"/>
      <c r="P1" s="86"/>
      <c r="Q1" s="86"/>
      <c r="R1" s="87"/>
      <c r="S1" s="39" t="s">
        <v>492</v>
      </c>
      <c r="T1" s="3"/>
      <c r="U1" s="5"/>
      <c r="V1" s="6"/>
      <c r="W1" s="6"/>
    </row>
    <row r="2" spans="1:23" s="9" customFormat="1" ht="18" customHeight="1" x14ac:dyDescent="0.2">
      <c r="A2" s="108"/>
      <c r="B2" s="326" t="s">
        <v>4587</v>
      </c>
      <c r="C2" s="326"/>
      <c r="D2" s="326"/>
      <c r="E2" s="310"/>
      <c r="F2" s="310"/>
      <c r="G2" s="310"/>
      <c r="H2" s="310"/>
      <c r="I2" s="310"/>
      <c r="J2" s="310"/>
      <c r="K2" s="310"/>
      <c r="L2" s="310"/>
      <c r="M2" s="310"/>
      <c r="N2" s="310"/>
      <c r="O2" s="310"/>
      <c r="P2" s="310"/>
      <c r="Q2" s="310"/>
      <c r="R2" s="88"/>
      <c r="S2" s="40" t="s">
        <v>255</v>
      </c>
      <c r="T2" s="3"/>
      <c r="U2" s="8"/>
      <c r="V2" s="6"/>
      <c r="W2" s="6"/>
    </row>
    <row r="3" spans="1:23" s="7" customFormat="1" ht="18" customHeight="1" x14ac:dyDescent="0.2">
      <c r="A3" s="108"/>
      <c r="B3" s="327" t="s">
        <v>4588</v>
      </c>
      <c r="C3" s="327"/>
      <c r="D3" s="327"/>
      <c r="E3" s="309"/>
      <c r="F3" s="309"/>
      <c r="G3" s="309"/>
      <c r="H3" s="309"/>
      <c r="I3" s="309"/>
      <c r="J3" s="309"/>
      <c r="K3" s="309"/>
      <c r="L3" s="309"/>
      <c r="M3" s="309"/>
      <c r="N3" s="309"/>
      <c r="O3" s="309"/>
      <c r="P3" s="309"/>
      <c r="Q3" s="309"/>
      <c r="R3" s="89"/>
      <c r="S3" s="40" t="s">
        <v>493</v>
      </c>
      <c r="T3" s="3"/>
      <c r="U3" s="5"/>
      <c r="V3" s="6"/>
      <c r="W3" s="6"/>
    </row>
    <row r="4" spans="1:23" s="7" customFormat="1" ht="18" customHeight="1" x14ac:dyDescent="0.25">
      <c r="A4" s="108"/>
      <c r="B4" s="60" t="s">
        <v>4119</v>
      </c>
      <c r="C4" s="309"/>
      <c r="D4" s="309"/>
      <c r="E4" s="37"/>
      <c r="F4" s="37"/>
      <c r="G4" s="37"/>
      <c r="H4" s="37"/>
      <c r="I4" s="37"/>
      <c r="J4" s="37"/>
      <c r="K4" s="37"/>
      <c r="L4" s="37"/>
      <c r="M4" s="37"/>
      <c r="N4" s="37"/>
      <c r="O4" s="37"/>
      <c r="P4" s="37"/>
      <c r="Q4" s="37"/>
      <c r="R4" s="38"/>
      <c r="S4" s="40" t="s">
        <v>256</v>
      </c>
      <c r="T4" s="3"/>
      <c r="U4" s="5"/>
      <c r="V4" s="6"/>
      <c r="W4" s="6"/>
    </row>
    <row r="5" spans="1:23" s="32" customFormat="1" ht="15" customHeight="1" x14ac:dyDescent="0.2">
      <c r="A5" s="109"/>
      <c r="B5" s="326" t="s">
        <v>4291</v>
      </c>
      <c r="C5" s="326"/>
      <c r="D5" s="326"/>
      <c r="E5" s="319" t="s">
        <v>251</v>
      </c>
      <c r="F5" s="319"/>
      <c r="G5" s="319"/>
      <c r="H5" s="314" t="s">
        <v>258</v>
      </c>
      <c r="I5" s="314"/>
      <c r="J5" s="314"/>
      <c r="K5" s="321" t="s">
        <v>491</v>
      </c>
      <c r="L5" s="321"/>
      <c r="M5" s="321"/>
      <c r="N5" s="318" t="s">
        <v>422</v>
      </c>
      <c r="O5" s="318"/>
      <c r="P5" s="318"/>
      <c r="Q5" s="334" t="s">
        <v>259</v>
      </c>
      <c r="R5" s="334"/>
      <c r="S5" s="313" t="s">
        <v>261</v>
      </c>
    </row>
    <row r="6" spans="1:23" s="32" customFormat="1" ht="16.5" customHeight="1" x14ac:dyDescent="0.2">
      <c r="A6" s="109"/>
      <c r="B6" s="174"/>
      <c r="C6" s="360"/>
      <c r="D6" s="359" t="s">
        <v>260</v>
      </c>
      <c r="E6" s="319"/>
      <c r="F6" s="319"/>
      <c r="G6" s="319"/>
      <c r="H6" s="314"/>
      <c r="I6" s="314"/>
      <c r="J6" s="314"/>
      <c r="K6" s="321"/>
      <c r="L6" s="321"/>
      <c r="M6" s="321"/>
      <c r="N6" s="318"/>
      <c r="O6" s="318"/>
      <c r="P6" s="318"/>
      <c r="Q6" s="334"/>
      <c r="R6" s="334"/>
      <c r="S6" s="313"/>
    </row>
    <row r="7" spans="1:23" s="32" customFormat="1" ht="12" customHeight="1" x14ac:dyDescent="0.2">
      <c r="A7" s="329"/>
      <c r="B7" s="329"/>
      <c r="C7" s="42"/>
      <c r="D7" s="92"/>
      <c r="E7" s="43"/>
      <c r="F7" s="43"/>
      <c r="G7" s="43"/>
      <c r="H7" s="43"/>
      <c r="I7" s="43"/>
      <c r="J7" s="43"/>
      <c r="K7" s="43"/>
      <c r="L7" s="43"/>
      <c r="M7" s="43"/>
      <c r="N7" s="43"/>
      <c r="O7" s="43"/>
      <c r="P7" s="43"/>
      <c r="Q7" s="43"/>
      <c r="R7" s="43"/>
      <c r="S7" s="41"/>
    </row>
    <row r="8" spans="1:23" s="32" customFormat="1" ht="27" customHeight="1" x14ac:dyDescent="0.2">
      <c r="A8" s="504" t="s">
        <v>4624</v>
      </c>
      <c r="B8" s="102"/>
      <c r="C8" s="98"/>
      <c r="D8" s="98"/>
      <c r="E8" s="98"/>
      <c r="F8" s="98"/>
      <c r="G8" s="98"/>
      <c r="H8" s="98"/>
      <c r="I8" s="98"/>
      <c r="J8" s="98"/>
      <c r="K8" s="98"/>
      <c r="L8" s="98"/>
      <c r="M8" s="98"/>
      <c r="N8" s="98"/>
      <c r="O8" s="98"/>
      <c r="P8" s="98"/>
      <c r="Q8" s="98"/>
      <c r="R8" s="98"/>
      <c r="S8" s="103"/>
    </row>
    <row r="9" spans="1:23" s="10" customFormat="1" ht="18" customHeight="1" x14ac:dyDescent="0.2">
      <c r="A9" s="330" t="s">
        <v>37</v>
      </c>
      <c r="B9" s="328" t="s">
        <v>38</v>
      </c>
      <c r="C9" s="328" t="s">
        <v>257</v>
      </c>
      <c r="D9" s="337" t="s">
        <v>419</v>
      </c>
      <c r="E9" s="315" t="s">
        <v>33</v>
      </c>
      <c r="F9" s="315"/>
      <c r="G9" s="315"/>
      <c r="H9" s="315"/>
      <c r="I9" s="315"/>
      <c r="J9" s="315"/>
      <c r="K9" s="315"/>
      <c r="L9" s="315"/>
      <c r="M9" s="315"/>
      <c r="N9" s="315"/>
      <c r="O9" s="315"/>
      <c r="P9" s="315"/>
      <c r="Q9" s="335" t="s">
        <v>34</v>
      </c>
      <c r="R9" s="335" t="s">
        <v>36</v>
      </c>
      <c r="S9" s="328" t="s">
        <v>35</v>
      </c>
      <c r="T9" s="11"/>
    </row>
    <row r="10" spans="1:23" s="10" customFormat="1" ht="24" customHeight="1" x14ac:dyDescent="0.2">
      <c r="A10" s="340"/>
      <c r="B10" s="337"/>
      <c r="C10" s="337"/>
      <c r="D10" s="338"/>
      <c r="E10" s="177" t="s">
        <v>21</v>
      </c>
      <c r="F10" s="177" t="s">
        <v>22</v>
      </c>
      <c r="G10" s="177" t="s">
        <v>23</v>
      </c>
      <c r="H10" s="177" t="s">
        <v>24</v>
      </c>
      <c r="I10" s="177" t="s">
        <v>25</v>
      </c>
      <c r="J10" s="177" t="s">
        <v>26</v>
      </c>
      <c r="K10" s="177" t="s">
        <v>27</v>
      </c>
      <c r="L10" s="177" t="s">
        <v>28</v>
      </c>
      <c r="M10" s="177" t="s">
        <v>29</v>
      </c>
      <c r="N10" s="177" t="s">
        <v>30</v>
      </c>
      <c r="O10" s="177" t="s">
        <v>31</v>
      </c>
      <c r="P10" s="177" t="s">
        <v>32</v>
      </c>
      <c r="Q10" s="341"/>
      <c r="R10" s="344"/>
      <c r="S10" s="339"/>
      <c r="T10" s="11"/>
    </row>
    <row r="11" spans="1:23" s="10" customFormat="1" ht="32.1" customHeight="1" x14ac:dyDescent="0.2">
      <c r="A11" s="361" t="s">
        <v>124</v>
      </c>
      <c r="B11" s="362" t="s">
        <v>1893</v>
      </c>
      <c r="C11" s="363" t="s">
        <v>1894</v>
      </c>
      <c r="D11" s="364"/>
      <c r="E11" s="365"/>
      <c r="F11" s="365"/>
      <c r="G11" s="365"/>
      <c r="H11" s="365"/>
      <c r="I11" s="365"/>
      <c r="J11" s="365"/>
      <c r="K11" s="365"/>
      <c r="L11" s="365"/>
      <c r="M11" s="365"/>
      <c r="N11" s="365"/>
      <c r="O11" s="365"/>
      <c r="P11" s="365"/>
      <c r="Q11" s="366" t="e">
        <f t="shared" ref="Q11:Q42" si="0">AVERAGE(E11:P11)</f>
        <v>#DIV/0!</v>
      </c>
      <c r="R11" s="367" t="e">
        <f t="shared" ref="R11:R75" si="1">IF(Q11&lt;5,"SI","NO")</f>
        <v>#DIV/0!</v>
      </c>
      <c r="S11" s="367" t="e">
        <f t="shared" ref="S11:S75" si="2">IF(Q11&lt;=5,"Sin Riesgo",IF(Q11 &lt;=14,"Bajo",IF(Q11&lt;=35,"Medio",IF(Q11&lt;=80,"Alto","Inviable Sanitariamente"))))</f>
        <v>#DIV/0!</v>
      </c>
      <c r="T11" s="11"/>
    </row>
    <row r="12" spans="1:23" s="56" customFormat="1" ht="32.1" customHeight="1" x14ac:dyDescent="0.2">
      <c r="A12" s="361" t="s">
        <v>124</v>
      </c>
      <c r="B12" s="362" t="s">
        <v>1895</v>
      </c>
      <c r="C12" s="363" t="s">
        <v>1896</v>
      </c>
      <c r="D12" s="364"/>
      <c r="E12" s="365"/>
      <c r="F12" s="365"/>
      <c r="G12" s="365"/>
      <c r="H12" s="365"/>
      <c r="I12" s="365"/>
      <c r="J12" s="365"/>
      <c r="K12" s="365"/>
      <c r="L12" s="365"/>
      <c r="M12" s="365"/>
      <c r="N12" s="365"/>
      <c r="O12" s="365"/>
      <c r="P12" s="365"/>
      <c r="Q12" s="366" t="e">
        <f t="shared" si="0"/>
        <v>#DIV/0!</v>
      </c>
      <c r="R12" s="367" t="e">
        <f t="shared" si="1"/>
        <v>#DIV/0!</v>
      </c>
      <c r="S12" s="367" t="e">
        <f t="shared" si="2"/>
        <v>#DIV/0!</v>
      </c>
    </row>
    <row r="13" spans="1:23" s="56" customFormat="1" ht="32.1" customHeight="1" x14ac:dyDescent="0.2">
      <c r="A13" s="361" t="s">
        <v>124</v>
      </c>
      <c r="B13" s="362" t="s">
        <v>1323</v>
      </c>
      <c r="C13" s="363" t="s">
        <v>1897</v>
      </c>
      <c r="D13" s="364"/>
      <c r="E13" s="365"/>
      <c r="F13" s="365"/>
      <c r="G13" s="365"/>
      <c r="H13" s="365"/>
      <c r="I13" s="365"/>
      <c r="J13" s="365"/>
      <c r="K13" s="365"/>
      <c r="L13" s="365"/>
      <c r="M13" s="365"/>
      <c r="N13" s="365"/>
      <c r="O13" s="365"/>
      <c r="P13" s="365"/>
      <c r="Q13" s="366" t="e">
        <f t="shared" si="0"/>
        <v>#DIV/0!</v>
      </c>
      <c r="R13" s="367" t="e">
        <f t="shared" si="1"/>
        <v>#DIV/0!</v>
      </c>
      <c r="S13" s="367" t="e">
        <f t="shared" si="2"/>
        <v>#DIV/0!</v>
      </c>
    </row>
    <row r="14" spans="1:23" s="56" customFormat="1" ht="32.1" customHeight="1" x14ac:dyDescent="0.2">
      <c r="A14" s="361" t="s">
        <v>124</v>
      </c>
      <c r="B14" s="362" t="s">
        <v>1898</v>
      </c>
      <c r="C14" s="363" t="s">
        <v>1899</v>
      </c>
      <c r="D14" s="364"/>
      <c r="E14" s="365"/>
      <c r="F14" s="365"/>
      <c r="G14" s="365"/>
      <c r="H14" s="365"/>
      <c r="I14" s="365"/>
      <c r="J14" s="365"/>
      <c r="K14" s="365"/>
      <c r="L14" s="365"/>
      <c r="M14" s="365"/>
      <c r="N14" s="365"/>
      <c r="O14" s="365"/>
      <c r="P14" s="365"/>
      <c r="Q14" s="366" t="e">
        <f t="shared" si="0"/>
        <v>#DIV/0!</v>
      </c>
      <c r="R14" s="367" t="e">
        <f t="shared" si="1"/>
        <v>#DIV/0!</v>
      </c>
      <c r="S14" s="367" t="e">
        <f t="shared" si="2"/>
        <v>#DIV/0!</v>
      </c>
    </row>
    <row r="15" spans="1:23" s="56" customFormat="1" ht="32.1" customHeight="1" x14ac:dyDescent="0.2">
      <c r="A15" s="361" t="s">
        <v>124</v>
      </c>
      <c r="B15" s="362" t="s">
        <v>1900</v>
      </c>
      <c r="C15" s="362" t="s">
        <v>1901</v>
      </c>
      <c r="D15" s="364"/>
      <c r="E15" s="365"/>
      <c r="F15" s="365"/>
      <c r="G15" s="365"/>
      <c r="H15" s="365"/>
      <c r="I15" s="365"/>
      <c r="J15" s="365"/>
      <c r="K15" s="365"/>
      <c r="L15" s="365"/>
      <c r="M15" s="365"/>
      <c r="N15" s="365"/>
      <c r="O15" s="365"/>
      <c r="P15" s="365"/>
      <c r="Q15" s="366" t="e">
        <f t="shared" si="0"/>
        <v>#DIV/0!</v>
      </c>
      <c r="R15" s="366" t="e">
        <f t="shared" si="1"/>
        <v>#DIV/0!</v>
      </c>
      <c r="S15" s="367" t="e">
        <f t="shared" si="2"/>
        <v>#DIV/0!</v>
      </c>
    </row>
    <row r="16" spans="1:23" s="56" customFormat="1" ht="32.1" customHeight="1" x14ac:dyDescent="0.2">
      <c r="A16" s="361" t="s">
        <v>124</v>
      </c>
      <c r="B16" s="362" t="s">
        <v>427</v>
      </c>
      <c r="C16" s="363" t="s">
        <v>1902</v>
      </c>
      <c r="D16" s="364"/>
      <c r="E16" s="365"/>
      <c r="F16" s="365"/>
      <c r="G16" s="365"/>
      <c r="H16" s="365"/>
      <c r="I16" s="365"/>
      <c r="J16" s="365"/>
      <c r="K16" s="365"/>
      <c r="L16" s="365"/>
      <c r="M16" s="365"/>
      <c r="N16" s="365"/>
      <c r="O16" s="365"/>
      <c r="P16" s="365"/>
      <c r="Q16" s="366" t="e">
        <f t="shared" si="0"/>
        <v>#DIV/0!</v>
      </c>
      <c r="R16" s="367" t="e">
        <f t="shared" si="1"/>
        <v>#DIV/0!</v>
      </c>
      <c r="S16" s="367" t="e">
        <f t="shared" si="2"/>
        <v>#DIV/0!</v>
      </c>
    </row>
    <row r="17" spans="1:19" s="56" customFormat="1" ht="32.1" customHeight="1" x14ac:dyDescent="0.2">
      <c r="A17" s="361" t="s">
        <v>124</v>
      </c>
      <c r="B17" s="362" t="s">
        <v>1155</v>
      </c>
      <c r="C17" s="363" t="s">
        <v>1903</v>
      </c>
      <c r="D17" s="364"/>
      <c r="E17" s="365"/>
      <c r="F17" s="365"/>
      <c r="G17" s="365"/>
      <c r="H17" s="365"/>
      <c r="I17" s="365"/>
      <c r="J17" s="365"/>
      <c r="K17" s="365"/>
      <c r="L17" s="365"/>
      <c r="M17" s="365"/>
      <c r="N17" s="365"/>
      <c r="O17" s="365"/>
      <c r="P17" s="365"/>
      <c r="Q17" s="366" t="e">
        <f t="shared" si="0"/>
        <v>#DIV/0!</v>
      </c>
      <c r="R17" s="366" t="e">
        <f t="shared" si="1"/>
        <v>#DIV/0!</v>
      </c>
      <c r="S17" s="367" t="e">
        <f t="shared" si="2"/>
        <v>#DIV/0!</v>
      </c>
    </row>
    <row r="18" spans="1:19" s="56" customFormat="1" ht="32.1" customHeight="1" x14ac:dyDescent="0.2">
      <c r="A18" s="361" t="s">
        <v>124</v>
      </c>
      <c r="B18" s="362" t="s">
        <v>1904</v>
      </c>
      <c r="C18" s="363" t="s">
        <v>1905</v>
      </c>
      <c r="D18" s="364"/>
      <c r="E18" s="365"/>
      <c r="F18" s="365"/>
      <c r="G18" s="365"/>
      <c r="H18" s="365"/>
      <c r="I18" s="365"/>
      <c r="J18" s="365"/>
      <c r="K18" s="365"/>
      <c r="L18" s="365"/>
      <c r="M18" s="365"/>
      <c r="N18" s="365"/>
      <c r="O18" s="365"/>
      <c r="P18" s="365"/>
      <c r="Q18" s="366" t="e">
        <f t="shared" si="0"/>
        <v>#DIV/0!</v>
      </c>
      <c r="R18" s="367" t="e">
        <f t="shared" si="1"/>
        <v>#DIV/0!</v>
      </c>
      <c r="S18" s="367" t="e">
        <f t="shared" si="2"/>
        <v>#DIV/0!</v>
      </c>
    </row>
    <row r="19" spans="1:19" s="56" customFormat="1" ht="32.1" customHeight="1" x14ac:dyDescent="0.2">
      <c r="A19" s="361" t="s">
        <v>124</v>
      </c>
      <c r="B19" s="362" t="s">
        <v>1906</v>
      </c>
      <c r="C19" s="362" t="s">
        <v>1907</v>
      </c>
      <c r="D19" s="364">
        <v>24</v>
      </c>
      <c r="E19" s="365"/>
      <c r="F19" s="365"/>
      <c r="G19" s="365"/>
      <c r="H19" s="365"/>
      <c r="I19" s="365"/>
      <c r="J19" s="365">
        <v>84.2</v>
      </c>
      <c r="K19" s="365"/>
      <c r="L19" s="365"/>
      <c r="M19" s="365"/>
      <c r="N19" s="365"/>
      <c r="O19" s="365"/>
      <c r="P19" s="365"/>
      <c r="Q19" s="366">
        <f t="shared" si="0"/>
        <v>84.2</v>
      </c>
      <c r="R19" s="367" t="str">
        <f t="shared" si="1"/>
        <v>NO</v>
      </c>
      <c r="S19" s="367" t="str">
        <f t="shared" si="2"/>
        <v>Inviable Sanitariamente</v>
      </c>
    </row>
    <row r="20" spans="1:19" s="181" customFormat="1" ht="32.1" customHeight="1" x14ac:dyDescent="0.2">
      <c r="A20" s="361" t="s">
        <v>124</v>
      </c>
      <c r="B20" s="362" t="s">
        <v>1908</v>
      </c>
      <c r="C20" s="363" t="s">
        <v>1909</v>
      </c>
      <c r="D20" s="364"/>
      <c r="E20" s="365"/>
      <c r="F20" s="365"/>
      <c r="G20" s="365"/>
      <c r="H20" s="365"/>
      <c r="I20" s="365"/>
      <c r="J20" s="365"/>
      <c r="K20" s="365"/>
      <c r="L20" s="365"/>
      <c r="M20" s="365"/>
      <c r="N20" s="365"/>
      <c r="O20" s="365"/>
      <c r="P20" s="365"/>
      <c r="Q20" s="366" t="e">
        <f t="shared" si="0"/>
        <v>#DIV/0!</v>
      </c>
      <c r="R20" s="367" t="e">
        <f t="shared" si="1"/>
        <v>#DIV/0!</v>
      </c>
      <c r="S20" s="367" t="e">
        <f t="shared" si="2"/>
        <v>#DIV/0!</v>
      </c>
    </row>
    <row r="21" spans="1:19" s="181" customFormat="1" ht="32.1" customHeight="1" x14ac:dyDescent="0.2">
      <c r="A21" s="361" t="s">
        <v>124</v>
      </c>
      <c r="B21" s="362" t="s">
        <v>1910</v>
      </c>
      <c r="C21" s="363" t="s">
        <v>1911</v>
      </c>
      <c r="D21" s="364">
        <v>413</v>
      </c>
      <c r="E21" s="365"/>
      <c r="F21" s="365"/>
      <c r="G21" s="365"/>
      <c r="H21" s="365"/>
      <c r="I21" s="365"/>
      <c r="J21" s="365"/>
      <c r="K21" s="365"/>
      <c r="L21" s="365"/>
      <c r="M21" s="365"/>
      <c r="N21" s="365">
        <v>97.35</v>
      </c>
      <c r="O21" s="365"/>
      <c r="P21" s="365"/>
      <c r="Q21" s="366">
        <f t="shared" si="0"/>
        <v>97.35</v>
      </c>
      <c r="R21" s="367" t="str">
        <f t="shared" si="1"/>
        <v>NO</v>
      </c>
      <c r="S21" s="367" t="str">
        <f t="shared" si="2"/>
        <v>Inviable Sanitariamente</v>
      </c>
    </row>
    <row r="22" spans="1:19" s="181" customFormat="1" ht="32.1" customHeight="1" x14ac:dyDescent="0.2">
      <c r="A22" s="361" t="s">
        <v>124</v>
      </c>
      <c r="B22" s="362" t="s">
        <v>1912</v>
      </c>
      <c r="C22" s="363" t="s">
        <v>1913</v>
      </c>
      <c r="D22" s="364"/>
      <c r="E22" s="365"/>
      <c r="F22" s="365"/>
      <c r="G22" s="365"/>
      <c r="H22" s="365"/>
      <c r="I22" s="365"/>
      <c r="J22" s="365"/>
      <c r="K22" s="365"/>
      <c r="L22" s="365"/>
      <c r="M22" s="365"/>
      <c r="N22" s="365"/>
      <c r="O22" s="365"/>
      <c r="P22" s="365"/>
      <c r="Q22" s="366" t="e">
        <f t="shared" si="0"/>
        <v>#DIV/0!</v>
      </c>
      <c r="R22" s="366" t="e">
        <f t="shared" si="1"/>
        <v>#DIV/0!</v>
      </c>
      <c r="S22" s="367" t="e">
        <f t="shared" si="2"/>
        <v>#DIV/0!</v>
      </c>
    </row>
    <row r="23" spans="1:19" s="181" customFormat="1" ht="32.1" customHeight="1" x14ac:dyDescent="0.2">
      <c r="A23" s="361" t="s">
        <v>124</v>
      </c>
      <c r="B23" s="362" t="s">
        <v>1914</v>
      </c>
      <c r="C23" s="362" t="s">
        <v>1915</v>
      </c>
      <c r="D23" s="364">
        <v>280</v>
      </c>
      <c r="E23" s="365"/>
      <c r="F23" s="365"/>
      <c r="G23" s="365"/>
      <c r="H23" s="365"/>
      <c r="I23" s="365"/>
      <c r="J23" s="365">
        <v>84.7</v>
      </c>
      <c r="K23" s="365"/>
      <c r="L23" s="365"/>
      <c r="M23" s="365"/>
      <c r="N23" s="365"/>
      <c r="O23" s="365"/>
      <c r="P23" s="365"/>
      <c r="Q23" s="366">
        <f t="shared" si="0"/>
        <v>84.7</v>
      </c>
      <c r="R23" s="367" t="str">
        <f t="shared" si="1"/>
        <v>NO</v>
      </c>
      <c r="S23" s="367" t="str">
        <f t="shared" si="2"/>
        <v>Inviable Sanitariamente</v>
      </c>
    </row>
    <row r="24" spans="1:19" s="181" customFormat="1" ht="32.1" customHeight="1" x14ac:dyDescent="0.2">
      <c r="A24" s="361" t="s">
        <v>124</v>
      </c>
      <c r="B24" s="362" t="s">
        <v>1916</v>
      </c>
      <c r="C24" s="363" t="s">
        <v>1917</v>
      </c>
      <c r="D24" s="364"/>
      <c r="E24" s="365"/>
      <c r="F24" s="365"/>
      <c r="G24" s="365"/>
      <c r="H24" s="365"/>
      <c r="I24" s="365"/>
      <c r="J24" s="365"/>
      <c r="K24" s="365"/>
      <c r="L24" s="365"/>
      <c r="M24" s="365"/>
      <c r="N24" s="365"/>
      <c r="O24" s="365"/>
      <c r="P24" s="365"/>
      <c r="Q24" s="366" t="e">
        <f t="shared" si="0"/>
        <v>#DIV/0!</v>
      </c>
      <c r="R24" s="367" t="e">
        <f t="shared" si="1"/>
        <v>#DIV/0!</v>
      </c>
      <c r="S24" s="367" t="e">
        <f t="shared" si="2"/>
        <v>#DIV/0!</v>
      </c>
    </row>
    <row r="25" spans="1:19" s="181" customFormat="1" ht="32.1" customHeight="1" x14ac:dyDescent="0.2">
      <c r="A25" s="361" t="s">
        <v>124</v>
      </c>
      <c r="B25" s="362" t="s">
        <v>1918</v>
      </c>
      <c r="C25" s="363" t="s">
        <v>1919</v>
      </c>
      <c r="D25" s="364">
        <v>120</v>
      </c>
      <c r="E25" s="365"/>
      <c r="F25" s="365"/>
      <c r="G25" s="365"/>
      <c r="H25" s="365"/>
      <c r="I25" s="365"/>
      <c r="J25" s="365"/>
      <c r="K25" s="365"/>
      <c r="L25" s="365"/>
      <c r="M25" s="365"/>
      <c r="N25" s="365"/>
      <c r="O25" s="365"/>
      <c r="P25" s="365">
        <v>97.35</v>
      </c>
      <c r="Q25" s="366">
        <f t="shared" si="0"/>
        <v>97.35</v>
      </c>
      <c r="R25" s="367" t="str">
        <f t="shared" si="1"/>
        <v>NO</v>
      </c>
      <c r="S25" s="367" t="str">
        <f t="shared" si="2"/>
        <v>Inviable Sanitariamente</v>
      </c>
    </row>
    <row r="26" spans="1:19" s="181" customFormat="1" ht="32.1" customHeight="1" x14ac:dyDescent="0.2">
      <c r="A26" s="361" t="s">
        <v>124</v>
      </c>
      <c r="B26" s="362" t="s">
        <v>1920</v>
      </c>
      <c r="C26" s="363" t="s">
        <v>1921</v>
      </c>
      <c r="D26" s="364">
        <v>330</v>
      </c>
      <c r="E26" s="365"/>
      <c r="F26" s="365"/>
      <c r="G26" s="365"/>
      <c r="H26" s="365"/>
      <c r="I26" s="365"/>
      <c r="J26" s="365">
        <v>85.7</v>
      </c>
      <c r="K26" s="365"/>
      <c r="L26" s="365"/>
      <c r="M26" s="365"/>
      <c r="N26" s="365"/>
      <c r="O26" s="365"/>
      <c r="P26" s="365"/>
      <c r="Q26" s="366">
        <f t="shared" si="0"/>
        <v>85.7</v>
      </c>
      <c r="R26" s="367" t="str">
        <f t="shared" si="1"/>
        <v>NO</v>
      </c>
      <c r="S26" s="367" t="str">
        <f t="shared" si="2"/>
        <v>Inviable Sanitariamente</v>
      </c>
    </row>
    <row r="27" spans="1:19" s="181" customFormat="1" ht="32.1" customHeight="1" x14ac:dyDescent="0.2">
      <c r="A27" s="361" t="s">
        <v>124</v>
      </c>
      <c r="B27" s="362" t="s">
        <v>974</v>
      </c>
      <c r="C27" s="363" t="s">
        <v>1922</v>
      </c>
      <c r="D27" s="364"/>
      <c r="E27" s="365"/>
      <c r="F27" s="365"/>
      <c r="G27" s="365"/>
      <c r="H27" s="365"/>
      <c r="I27" s="365"/>
      <c r="J27" s="365"/>
      <c r="K27" s="365"/>
      <c r="L27" s="365"/>
      <c r="M27" s="365"/>
      <c r="N27" s="365"/>
      <c r="O27" s="365"/>
      <c r="P27" s="365"/>
      <c r="Q27" s="366" t="e">
        <f t="shared" si="0"/>
        <v>#DIV/0!</v>
      </c>
      <c r="R27" s="366" t="e">
        <f t="shared" si="1"/>
        <v>#DIV/0!</v>
      </c>
      <c r="S27" s="367" t="e">
        <f t="shared" si="2"/>
        <v>#DIV/0!</v>
      </c>
    </row>
    <row r="28" spans="1:19" s="181" customFormat="1" ht="32.1" customHeight="1" x14ac:dyDescent="0.2">
      <c r="A28" s="361" t="s">
        <v>124</v>
      </c>
      <c r="B28" s="362" t="s">
        <v>1923</v>
      </c>
      <c r="C28" s="363" t="s">
        <v>1924</v>
      </c>
      <c r="D28" s="364"/>
      <c r="E28" s="365"/>
      <c r="F28" s="365"/>
      <c r="G28" s="365"/>
      <c r="H28" s="365"/>
      <c r="I28" s="365"/>
      <c r="J28" s="365"/>
      <c r="K28" s="365"/>
      <c r="L28" s="365"/>
      <c r="M28" s="365"/>
      <c r="N28" s="365"/>
      <c r="O28" s="365"/>
      <c r="P28" s="365"/>
      <c r="Q28" s="366" t="e">
        <f t="shared" si="0"/>
        <v>#DIV/0!</v>
      </c>
      <c r="R28" s="367" t="e">
        <f t="shared" si="1"/>
        <v>#DIV/0!</v>
      </c>
      <c r="S28" s="367" t="e">
        <f t="shared" si="2"/>
        <v>#DIV/0!</v>
      </c>
    </row>
    <row r="29" spans="1:19" s="181" customFormat="1" ht="32.1" customHeight="1" x14ac:dyDescent="0.2">
      <c r="A29" s="361" t="s">
        <v>124</v>
      </c>
      <c r="B29" s="362" t="s">
        <v>1925</v>
      </c>
      <c r="C29" s="363" t="s">
        <v>1926</v>
      </c>
      <c r="D29" s="364">
        <v>493</v>
      </c>
      <c r="E29" s="365">
        <v>0</v>
      </c>
      <c r="F29" s="365">
        <v>0</v>
      </c>
      <c r="G29" s="365">
        <v>0</v>
      </c>
      <c r="H29" s="365">
        <v>0</v>
      </c>
      <c r="I29" s="365">
        <v>0</v>
      </c>
      <c r="J29" s="365">
        <v>0</v>
      </c>
      <c r="K29" s="365"/>
      <c r="L29" s="365"/>
      <c r="M29" s="365"/>
      <c r="N29" s="365"/>
      <c r="O29" s="365"/>
      <c r="P29" s="365"/>
      <c r="Q29" s="366">
        <f t="shared" si="0"/>
        <v>0</v>
      </c>
      <c r="R29" s="366" t="str">
        <f t="shared" si="1"/>
        <v>SI</v>
      </c>
      <c r="S29" s="367" t="str">
        <f t="shared" si="2"/>
        <v>Sin Riesgo</v>
      </c>
    </row>
    <row r="30" spans="1:19" s="181" customFormat="1" ht="32.1" customHeight="1" x14ac:dyDescent="0.2">
      <c r="A30" s="361" t="s">
        <v>124</v>
      </c>
      <c r="B30" s="362" t="s">
        <v>1927</v>
      </c>
      <c r="C30" s="363" t="s">
        <v>1928</v>
      </c>
      <c r="D30" s="364">
        <v>44</v>
      </c>
      <c r="E30" s="365"/>
      <c r="F30" s="365"/>
      <c r="G30" s="365"/>
      <c r="H30" s="365"/>
      <c r="I30" s="365"/>
      <c r="J30" s="365"/>
      <c r="K30" s="365"/>
      <c r="L30" s="365"/>
      <c r="M30" s="365"/>
      <c r="N30" s="365">
        <v>97.4</v>
      </c>
      <c r="O30" s="365"/>
      <c r="P30" s="365"/>
      <c r="Q30" s="366">
        <f t="shared" si="0"/>
        <v>97.4</v>
      </c>
      <c r="R30" s="367" t="str">
        <f t="shared" si="1"/>
        <v>NO</v>
      </c>
      <c r="S30" s="367" t="str">
        <f t="shared" si="2"/>
        <v>Inviable Sanitariamente</v>
      </c>
    </row>
    <row r="31" spans="1:19" s="181" customFormat="1" ht="32.1" customHeight="1" x14ac:dyDescent="0.2">
      <c r="A31" s="361" t="s">
        <v>124</v>
      </c>
      <c r="B31" s="362" t="s">
        <v>1929</v>
      </c>
      <c r="C31" s="363" t="s">
        <v>1930</v>
      </c>
      <c r="D31" s="364"/>
      <c r="E31" s="365"/>
      <c r="F31" s="365"/>
      <c r="G31" s="365"/>
      <c r="H31" s="365"/>
      <c r="I31" s="365"/>
      <c r="J31" s="365"/>
      <c r="K31" s="365"/>
      <c r="L31" s="365"/>
      <c r="M31" s="365"/>
      <c r="N31" s="365"/>
      <c r="O31" s="365"/>
      <c r="P31" s="365"/>
      <c r="Q31" s="366" t="e">
        <f t="shared" si="0"/>
        <v>#DIV/0!</v>
      </c>
      <c r="R31" s="367" t="e">
        <f t="shared" si="1"/>
        <v>#DIV/0!</v>
      </c>
      <c r="S31" s="367" t="e">
        <f t="shared" si="2"/>
        <v>#DIV/0!</v>
      </c>
    </row>
    <row r="32" spans="1:19" s="181" customFormat="1" ht="32.1" customHeight="1" x14ac:dyDescent="0.2">
      <c r="A32" s="361" t="s">
        <v>124</v>
      </c>
      <c r="B32" s="362" t="s">
        <v>604</v>
      </c>
      <c r="C32" s="363" t="s">
        <v>1931</v>
      </c>
      <c r="D32" s="364"/>
      <c r="E32" s="365"/>
      <c r="F32" s="365"/>
      <c r="G32" s="365"/>
      <c r="H32" s="365"/>
      <c r="I32" s="365"/>
      <c r="J32" s="365"/>
      <c r="K32" s="365"/>
      <c r="L32" s="365"/>
      <c r="M32" s="365"/>
      <c r="N32" s="365"/>
      <c r="O32" s="365"/>
      <c r="P32" s="365"/>
      <c r="Q32" s="366" t="e">
        <f t="shared" si="0"/>
        <v>#DIV/0!</v>
      </c>
      <c r="R32" s="366" t="e">
        <f t="shared" si="1"/>
        <v>#DIV/0!</v>
      </c>
      <c r="S32" s="367" t="e">
        <f t="shared" si="2"/>
        <v>#DIV/0!</v>
      </c>
    </row>
    <row r="33" spans="1:19" s="181" customFormat="1" ht="32.1" customHeight="1" x14ac:dyDescent="0.2">
      <c r="A33" s="361" t="s">
        <v>124</v>
      </c>
      <c r="B33" s="362" t="s">
        <v>1932</v>
      </c>
      <c r="C33" s="363" t="s">
        <v>1933</v>
      </c>
      <c r="D33" s="364"/>
      <c r="E33" s="365"/>
      <c r="F33" s="365"/>
      <c r="G33" s="365"/>
      <c r="H33" s="365"/>
      <c r="I33" s="365"/>
      <c r="J33" s="365"/>
      <c r="K33" s="365"/>
      <c r="L33" s="365"/>
      <c r="M33" s="365"/>
      <c r="N33" s="365"/>
      <c r="O33" s="365"/>
      <c r="P33" s="365"/>
      <c r="Q33" s="366" t="e">
        <f t="shared" si="0"/>
        <v>#DIV/0!</v>
      </c>
      <c r="R33" s="367" t="e">
        <f t="shared" si="1"/>
        <v>#DIV/0!</v>
      </c>
      <c r="S33" s="367" t="e">
        <f t="shared" si="2"/>
        <v>#DIV/0!</v>
      </c>
    </row>
    <row r="34" spans="1:19" s="181" customFormat="1" ht="32.1" customHeight="1" x14ac:dyDescent="0.2">
      <c r="A34" s="361" t="s">
        <v>124</v>
      </c>
      <c r="B34" s="362" t="s">
        <v>1934</v>
      </c>
      <c r="C34" s="363" t="s">
        <v>1935</v>
      </c>
      <c r="D34" s="364">
        <v>155</v>
      </c>
      <c r="E34" s="365"/>
      <c r="F34" s="365"/>
      <c r="G34" s="365"/>
      <c r="H34" s="365"/>
      <c r="I34" s="365"/>
      <c r="J34" s="365"/>
      <c r="K34" s="365"/>
      <c r="L34" s="365"/>
      <c r="M34" s="365"/>
      <c r="N34" s="365">
        <v>97.35</v>
      </c>
      <c r="O34" s="365"/>
      <c r="P34" s="365"/>
      <c r="Q34" s="366">
        <f t="shared" si="0"/>
        <v>97.35</v>
      </c>
      <c r="R34" s="367" t="str">
        <f t="shared" si="1"/>
        <v>NO</v>
      </c>
      <c r="S34" s="367" t="str">
        <f t="shared" si="2"/>
        <v>Inviable Sanitariamente</v>
      </c>
    </row>
    <row r="35" spans="1:19" s="56" customFormat="1" ht="32.1" customHeight="1" x14ac:dyDescent="0.2">
      <c r="A35" s="361" t="s">
        <v>125</v>
      </c>
      <c r="B35" s="362" t="s">
        <v>3561</v>
      </c>
      <c r="C35" s="362" t="s">
        <v>3562</v>
      </c>
      <c r="D35" s="364">
        <v>95</v>
      </c>
      <c r="E35" s="368"/>
      <c r="F35" s="365"/>
      <c r="G35" s="365"/>
      <c r="H35" s="365"/>
      <c r="I35" s="365"/>
      <c r="J35" s="365"/>
      <c r="K35" s="365"/>
      <c r="L35" s="365"/>
      <c r="M35" s="365"/>
      <c r="N35" s="365">
        <v>97.35</v>
      </c>
      <c r="O35" s="365"/>
      <c r="P35" s="365"/>
      <c r="Q35" s="369">
        <f t="shared" si="0"/>
        <v>97.35</v>
      </c>
      <c r="R35" s="370" t="str">
        <f t="shared" si="1"/>
        <v>NO</v>
      </c>
      <c r="S35" s="367" t="str">
        <f t="shared" si="2"/>
        <v>Inviable Sanitariamente</v>
      </c>
    </row>
    <row r="36" spans="1:19" s="56" customFormat="1" ht="32.1" customHeight="1" x14ac:dyDescent="0.2">
      <c r="A36" s="361" t="s">
        <v>125</v>
      </c>
      <c r="B36" s="362" t="s">
        <v>1202</v>
      </c>
      <c r="C36" s="362" t="s">
        <v>3563</v>
      </c>
      <c r="D36" s="364">
        <v>52</v>
      </c>
      <c r="E36" s="368"/>
      <c r="F36" s="365"/>
      <c r="G36" s="365"/>
      <c r="H36" s="365"/>
      <c r="I36" s="365"/>
      <c r="J36" s="365">
        <v>2.65</v>
      </c>
      <c r="K36" s="365"/>
      <c r="L36" s="365"/>
      <c r="M36" s="365"/>
      <c r="N36" s="365"/>
      <c r="O36" s="365"/>
      <c r="P36" s="365"/>
      <c r="Q36" s="366">
        <f t="shared" si="0"/>
        <v>2.65</v>
      </c>
      <c r="R36" s="367" t="str">
        <f t="shared" si="1"/>
        <v>SI</v>
      </c>
      <c r="S36" s="367" t="str">
        <f t="shared" si="2"/>
        <v>Sin Riesgo</v>
      </c>
    </row>
    <row r="37" spans="1:19" s="56" customFormat="1" ht="32.1" customHeight="1" x14ac:dyDescent="0.2">
      <c r="A37" s="361" t="s">
        <v>125</v>
      </c>
      <c r="B37" s="362" t="s">
        <v>3564</v>
      </c>
      <c r="C37" s="362" t="s">
        <v>3565</v>
      </c>
      <c r="D37" s="364">
        <v>58</v>
      </c>
      <c r="E37" s="368"/>
      <c r="F37" s="365"/>
      <c r="G37" s="365"/>
      <c r="H37" s="365"/>
      <c r="I37" s="365"/>
      <c r="J37" s="365">
        <v>97.4</v>
      </c>
      <c r="K37" s="365"/>
      <c r="L37" s="365"/>
      <c r="M37" s="365"/>
      <c r="N37" s="365"/>
      <c r="O37" s="365"/>
      <c r="P37" s="365"/>
      <c r="Q37" s="366">
        <f t="shared" si="0"/>
        <v>97.4</v>
      </c>
      <c r="R37" s="367" t="str">
        <f t="shared" si="1"/>
        <v>NO</v>
      </c>
      <c r="S37" s="367" t="str">
        <f t="shared" si="2"/>
        <v>Inviable Sanitariamente</v>
      </c>
    </row>
    <row r="38" spans="1:19" s="56" customFormat="1" ht="32.1" customHeight="1" x14ac:dyDescent="0.2">
      <c r="A38" s="361" t="s">
        <v>125</v>
      </c>
      <c r="B38" s="362" t="s">
        <v>3566</v>
      </c>
      <c r="C38" s="362" t="s">
        <v>3567</v>
      </c>
      <c r="D38" s="364">
        <v>48</v>
      </c>
      <c r="E38" s="368"/>
      <c r="F38" s="365"/>
      <c r="G38" s="365"/>
      <c r="H38" s="365"/>
      <c r="I38" s="365"/>
      <c r="J38" s="365">
        <v>97.4</v>
      </c>
      <c r="K38" s="365"/>
      <c r="L38" s="365"/>
      <c r="M38" s="365"/>
      <c r="N38" s="365"/>
      <c r="O38" s="365"/>
      <c r="P38" s="365"/>
      <c r="Q38" s="366">
        <f t="shared" si="0"/>
        <v>97.4</v>
      </c>
      <c r="R38" s="367" t="str">
        <f t="shared" si="1"/>
        <v>NO</v>
      </c>
      <c r="S38" s="367" t="str">
        <f t="shared" si="2"/>
        <v>Inviable Sanitariamente</v>
      </c>
    </row>
    <row r="39" spans="1:19" s="56" customFormat="1" ht="32.1" customHeight="1" x14ac:dyDescent="0.2">
      <c r="A39" s="361" t="s">
        <v>125</v>
      </c>
      <c r="B39" s="362" t="s">
        <v>801</v>
      </c>
      <c r="C39" s="362" t="s">
        <v>3568</v>
      </c>
      <c r="D39" s="364">
        <v>153</v>
      </c>
      <c r="E39" s="368"/>
      <c r="F39" s="365"/>
      <c r="G39" s="365"/>
      <c r="H39" s="365"/>
      <c r="I39" s="365"/>
      <c r="J39" s="365">
        <v>2.65</v>
      </c>
      <c r="K39" s="365">
        <v>97.4</v>
      </c>
      <c r="L39" s="365"/>
      <c r="M39" s="365"/>
      <c r="N39" s="365"/>
      <c r="O39" s="365"/>
      <c r="P39" s="365"/>
      <c r="Q39" s="366">
        <f t="shared" si="0"/>
        <v>50.025000000000006</v>
      </c>
      <c r="R39" s="367" t="str">
        <f t="shared" si="1"/>
        <v>NO</v>
      </c>
      <c r="S39" s="367" t="str">
        <f t="shared" si="2"/>
        <v>Alto</v>
      </c>
    </row>
    <row r="40" spans="1:19" s="56" customFormat="1" ht="32.1" customHeight="1" x14ac:dyDescent="0.2">
      <c r="A40" s="361" t="s">
        <v>125</v>
      </c>
      <c r="B40" s="362" t="s">
        <v>3569</v>
      </c>
      <c r="C40" s="362" t="s">
        <v>3570</v>
      </c>
      <c r="D40" s="364">
        <v>74</v>
      </c>
      <c r="E40" s="368"/>
      <c r="F40" s="365"/>
      <c r="G40" s="365"/>
      <c r="H40" s="365"/>
      <c r="I40" s="365"/>
      <c r="J40" s="365"/>
      <c r="K40" s="365"/>
      <c r="L40" s="365"/>
      <c r="M40" s="365">
        <v>97.4</v>
      </c>
      <c r="N40" s="365"/>
      <c r="O40" s="365"/>
      <c r="P40" s="365"/>
      <c r="Q40" s="369">
        <f t="shared" si="0"/>
        <v>97.4</v>
      </c>
      <c r="R40" s="370" t="str">
        <f t="shared" si="1"/>
        <v>NO</v>
      </c>
      <c r="S40" s="367" t="str">
        <f t="shared" si="2"/>
        <v>Inviable Sanitariamente</v>
      </c>
    </row>
    <row r="41" spans="1:19" s="56" customFormat="1" ht="32.1" customHeight="1" x14ac:dyDescent="0.2">
      <c r="A41" s="361" t="s">
        <v>125</v>
      </c>
      <c r="B41" s="362" t="s">
        <v>3571</v>
      </c>
      <c r="C41" s="362" t="s">
        <v>3572</v>
      </c>
      <c r="D41" s="364">
        <v>62</v>
      </c>
      <c r="E41" s="368"/>
      <c r="F41" s="365"/>
      <c r="G41" s="365"/>
      <c r="H41" s="365"/>
      <c r="I41" s="365"/>
      <c r="J41" s="365"/>
      <c r="K41" s="365"/>
      <c r="L41" s="365"/>
      <c r="M41" s="365">
        <v>97.4</v>
      </c>
      <c r="N41" s="365"/>
      <c r="O41" s="365"/>
      <c r="P41" s="365"/>
      <c r="Q41" s="369">
        <f t="shared" si="0"/>
        <v>97.4</v>
      </c>
      <c r="R41" s="370" t="str">
        <f t="shared" si="1"/>
        <v>NO</v>
      </c>
      <c r="S41" s="367" t="str">
        <f t="shared" si="2"/>
        <v>Inviable Sanitariamente</v>
      </c>
    </row>
    <row r="42" spans="1:19" s="56" customFormat="1" ht="32.1" customHeight="1" x14ac:dyDescent="0.2">
      <c r="A42" s="361" t="s">
        <v>125</v>
      </c>
      <c r="B42" s="362" t="s">
        <v>3573</v>
      </c>
      <c r="C42" s="362" t="s">
        <v>3574</v>
      </c>
      <c r="D42" s="364">
        <v>140</v>
      </c>
      <c r="E42" s="368"/>
      <c r="F42" s="365"/>
      <c r="G42" s="365"/>
      <c r="H42" s="365"/>
      <c r="I42" s="365"/>
      <c r="J42" s="365">
        <v>97.4</v>
      </c>
      <c r="K42" s="365"/>
      <c r="L42" s="365"/>
      <c r="M42" s="365"/>
      <c r="N42" s="365"/>
      <c r="O42" s="365"/>
      <c r="P42" s="365"/>
      <c r="Q42" s="369">
        <f t="shared" si="0"/>
        <v>97.4</v>
      </c>
      <c r="R42" s="370" t="str">
        <f t="shared" si="1"/>
        <v>NO</v>
      </c>
      <c r="S42" s="367" t="str">
        <f t="shared" si="2"/>
        <v>Inviable Sanitariamente</v>
      </c>
    </row>
    <row r="43" spans="1:19" s="56" customFormat="1" ht="32.1" customHeight="1" x14ac:dyDescent="0.2">
      <c r="A43" s="361" t="s">
        <v>125</v>
      </c>
      <c r="B43" s="362" t="s">
        <v>1240</v>
      </c>
      <c r="C43" s="362" t="s">
        <v>3575</v>
      </c>
      <c r="D43" s="364">
        <v>51</v>
      </c>
      <c r="E43" s="368"/>
      <c r="F43" s="365"/>
      <c r="G43" s="365"/>
      <c r="H43" s="365"/>
      <c r="I43" s="365"/>
      <c r="J43" s="365">
        <v>97.36</v>
      </c>
      <c r="K43" s="365"/>
      <c r="L43" s="365"/>
      <c r="M43" s="365"/>
      <c r="N43" s="365"/>
      <c r="O43" s="365"/>
      <c r="P43" s="365"/>
      <c r="Q43" s="369">
        <f t="shared" ref="Q43:Q75" si="3">AVERAGE(E43:P43)</f>
        <v>97.36</v>
      </c>
      <c r="R43" s="370" t="str">
        <f t="shared" si="1"/>
        <v>NO</v>
      </c>
      <c r="S43" s="367" t="str">
        <f t="shared" si="2"/>
        <v>Inviable Sanitariamente</v>
      </c>
    </row>
    <row r="44" spans="1:19" s="56" customFormat="1" ht="32.1" customHeight="1" x14ac:dyDescent="0.2">
      <c r="A44" s="361" t="s">
        <v>126</v>
      </c>
      <c r="B44" s="362" t="s">
        <v>1427</v>
      </c>
      <c r="C44" s="363" t="s">
        <v>3576</v>
      </c>
      <c r="D44" s="364">
        <v>39</v>
      </c>
      <c r="E44" s="365"/>
      <c r="F44" s="365"/>
      <c r="G44" s="365"/>
      <c r="H44" s="365"/>
      <c r="I44" s="365">
        <v>97.3</v>
      </c>
      <c r="J44" s="365"/>
      <c r="K44" s="365"/>
      <c r="L44" s="365"/>
      <c r="M44" s="365"/>
      <c r="N44" s="365"/>
      <c r="O44" s="365">
        <v>97.31</v>
      </c>
      <c r="P44" s="365"/>
      <c r="Q44" s="366">
        <f t="shared" si="3"/>
        <v>97.305000000000007</v>
      </c>
      <c r="R44" s="367" t="str">
        <f t="shared" si="1"/>
        <v>NO</v>
      </c>
      <c r="S44" s="367" t="str">
        <f t="shared" si="2"/>
        <v>Inviable Sanitariamente</v>
      </c>
    </row>
    <row r="45" spans="1:19" s="56" customFormat="1" ht="32.1" customHeight="1" x14ac:dyDescent="0.2">
      <c r="A45" s="361" t="s">
        <v>126</v>
      </c>
      <c r="B45" s="362" t="s">
        <v>3577</v>
      </c>
      <c r="C45" s="363" t="s">
        <v>3578</v>
      </c>
      <c r="D45" s="364">
        <v>40</v>
      </c>
      <c r="E45" s="365"/>
      <c r="F45" s="365"/>
      <c r="G45" s="365">
        <v>97.3</v>
      </c>
      <c r="H45" s="365"/>
      <c r="I45" s="365">
        <v>97.3</v>
      </c>
      <c r="J45" s="365"/>
      <c r="K45" s="365"/>
      <c r="L45" s="365"/>
      <c r="M45" s="365"/>
      <c r="N45" s="365"/>
      <c r="O45" s="365"/>
      <c r="P45" s="365">
        <v>97.3</v>
      </c>
      <c r="Q45" s="366">
        <f t="shared" si="3"/>
        <v>97.3</v>
      </c>
      <c r="R45" s="367" t="str">
        <f t="shared" si="1"/>
        <v>NO</v>
      </c>
      <c r="S45" s="367" t="str">
        <f t="shared" si="2"/>
        <v>Inviable Sanitariamente</v>
      </c>
    </row>
    <row r="46" spans="1:19" s="56" customFormat="1" ht="32.1" customHeight="1" x14ac:dyDescent="0.2">
      <c r="A46" s="361" t="s">
        <v>126</v>
      </c>
      <c r="B46" s="362" t="s">
        <v>3579</v>
      </c>
      <c r="C46" s="363" t="s">
        <v>3580</v>
      </c>
      <c r="D46" s="364">
        <v>15</v>
      </c>
      <c r="E46" s="365"/>
      <c r="F46" s="365"/>
      <c r="G46" s="365"/>
      <c r="H46" s="365"/>
      <c r="I46" s="365"/>
      <c r="J46" s="365">
        <v>97.3</v>
      </c>
      <c r="K46" s="365"/>
      <c r="L46" s="365"/>
      <c r="M46" s="365"/>
      <c r="N46" s="365"/>
      <c r="O46" s="365"/>
      <c r="P46" s="365">
        <v>53.1</v>
      </c>
      <c r="Q46" s="366">
        <f t="shared" si="3"/>
        <v>75.2</v>
      </c>
      <c r="R46" s="367" t="str">
        <f t="shared" si="1"/>
        <v>NO</v>
      </c>
      <c r="S46" s="367" t="str">
        <f t="shared" si="2"/>
        <v>Alto</v>
      </c>
    </row>
    <row r="47" spans="1:19" s="56" customFormat="1" ht="32.1" customHeight="1" x14ac:dyDescent="0.2">
      <c r="A47" s="361" t="s">
        <v>126</v>
      </c>
      <c r="B47" s="362" t="s">
        <v>3581</v>
      </c>
      <c r="C47" s="363" t="s">
        <v>3582</v>
      </c>
      <c r="D47" s="364">
        <v>20</v>
      </c>
      <c r="E47" s="365"/>
      <c r="F47" s="365"/>
      <c r="G47" s="365">
        <v>97.3</v>
      </c>
      <c r="H47" s="365"/>
      <c r="I47" s="365">
        <v>97.3</v>
      </c>
      <c r="J47" s="365"/>
      <c r="K47" s="365"/>
      <c r="L47" s="365"/>
      <c r="M47" s="365"/>
      <c r="N47" s="365"/>
      <c r="O47" s="365"/>
      <c r="P47" s="365">
        <v>97.3</v>
      </c>
      <c r="Q47" s="366">
        <f t="shared" si="3"/>
        <v>97.3</v>
      </c>
      <c r="R47" s="367" t="str">
        <f t="shared" si="1"/>
        <v>NO</v>
      </c>
      <c r="S47" s="367" t="str">
        <f t="shared" si="2"/>
        <v>Inviable Sanitariamente</v>
      </c>
    </row>
    <row r="48" spans="1:19" s="56" customFormat="1" ht="32.1" customHeight="1" x14ac:dyDescent="0.2">
      <c r="A48" s="361" t="s">
        <v>126</v>
      </c>
      <c r="B48" s="362" t="s">
        <v>3583</v>
      </c>
      <c r="C48" s="363" t="s">
        <v>3584</v>
      </c>
      <c r="D48" s="364">
        <v>82</v>
      </c>
      <c r="E48" s="365"/>
      <c r="F48" s="365"/>
      <c r="G48" s="365"/>
      <c r="H48" s="365"/>
      <c r="I48" s="365"/>
      <c r="J48" s="365">
        <v>53.1</v>
      </c>
      <c r="K48" s="365"/>
      <c r="L48" s="365"/>
      <c r="M48" s="365"/>
      <c r="N48" s="365"/>
      <c r="O48" s="365">
        <v>97.3</v>
      </c>
      <c r="P48" s="365"/>
      <c r="Q48" s="366">
        <f t="shared" si="3"/>
        <v>75.2</v>
      </c>
      <c r="R48" s="367" t="str">
        <f t="shared" si="1"/>
        <v>NO</v>
      </c>
      <c r="S48" s="367" t="str">
        <f t="shared" si="2"/>
        <v>Alto</v>
      </c>
    </row>
    <row r="49" spans="1:19" s="56" customFormat="1" ht="32.1" customHeight="1" x14ac:dyDescent="0.2">
      <c r="A49" s="361" t="s">
        <v>126</v>
      </c>
      <c r="B49" s="362" t="s">
        <v>428</v>
      </c>
      <c r="C49" s="363" t="s">
        <v>3585</v>
      </c>
      <c r="D49" s="364">
        <v>50</v>
      </c>
      <c r="E49" s="365"/>
      <c r="F49" s="365"/>
      <c r="G49" s="365"/>
      <c r="H49" s="365"/>
      <c r="I49" s="365"/>
      <c r="J49" s="365">
        <v>97.3</v>
      </c>
      <c r="K49" s="365"/>
      <c r="L49" s="365"/>
      <c r="M49" s="365"/>
      <c r="N49" s="365">
        <v>97.3</v>
      </c>
      <c r="O49" s="365"/>
      <c r="P49" s="365"/>
      <c r="Q49" s="366">
        <f t="shared" si="3"/>
        <v>97.3</v>
      </c>
      <c r="R49" s="367" t="str">
        <f t="shared" si="1"/>
        <v>NO</v>
      </c>
      <c r="S49" s="367" t="str">
        <f t="shared" si="2"/>
        <v>Inviable Sanitariamente</v>
      </c>
    </row>
    <row r="50" spans="1:19" s="56" customFormat="1" ht="32.1" customHeight="1" x14ac:dyDescent="0.2">
      <c r="A50" s="361" t="s">
        <v>126</v>
      </c>
      <c r="B50" s="362" t="s">
        <v>3586</v>
      </c>
      <c r="C50" s="363" t="s">
        <v>3587</v>
      </c>
      <c r="D50" s="364">
        <v>60</v>
      </c>
      <c r="E50" s="365"/>
      <c r="F50" s="365"/>
      <c r="G50" s="365"/>
      <c r="H50" s="365"/>
      <c r="I50" s="365"/>
      <c r="J50" s="365">
        <v>97.3</v>
      </c>
      <c r="K50" s="365"/>
      <c r="L50" s="365"/>
      <c r="M50" s="365"/>
      <c r="N50" s="365"/>
      <c r="O50" s="365"/>
      <c r="P50" s="365">
        <v>97.3</v>
      </c>
      <c r="Q50" s="366">
        <f t="shared" si="3"/>
        <v>97.3</v>
      </c>
      <c r="R50" s="367" t="str">
        <f t="shared" si="1"/>
        <v>NO</v>
      </c>
      <c r="S50" s="367" t="str">
        <f t="shared" si="2"/>
        <v>Inviable Sanitariamente</v>
      </c>
    </row>
    <row r="51" spans="1:19" s="56" customFormat="1" ht="32.1" customHeight="1" x14ac:dyDescent="0.2">
      <c r="A51" s="361" t="s">
        <v>126</v>
      </c>
      <c r="B51" s="362" t="s">
        <v>303</v>
      </c>
      <c r="C51" s="363" t="s">
        <v>3588</v>
      </c>
      <c r="D51" s="364">
        <v>25</v>
      </c>
      <c r="E51" s="365"/>
      <c r="F51" s="365"/>
      <c r="G51" s="365"/>
      <c r="H51" s="365"/>
      <c r="I51" s="365"/>
      <c r="J51" s="365">
        <v>97.3</v>
      </c>
      <c r="K51" s="365"/>
      <c r="L51" s="365"/>
      <c r="M51" s="365"/>
      <c r="N51" s="365">
        <v>97.3</v>
      </c>
      <c r="O51" s="365"/>
      <c r="P51" s="365"/>
      <c r="Q51" s="366">
        <f t="shared" si="3"/>
        <v>97.3</v>
      </c>
      <c r="R51" s="367" t="str">
        <f t="shared" si="1"/>
        <v>NO</v>
      </c>
      <c r="S51" s="367" t="str">
        <f t="shared" si="2"/>
        <v>Inviable Sanitariamente</v>
      </c>
    </row>
    <row r="52" spans="1:19" s="56" customFormat="1" ht="32.1" customHeight="1" x14ac:dyDescent="0.2">
      <c r="A52" s="361" t="s">
        <v>126</v>
      </c>
      <c r="B52" s="362" t="s">
        <v>3589</v>
      </c>
      <c r="C52" s="363" t="s">
        <v>3590</v>
      </c>
      <c r="D52" s="364">
        <v>72</v>
      </c>
      <c r="E52" s="365"/>
      <c r="F52" s="365"/>
      <c r="G52" s="365"/>
      <c r="H52" s="365"/>
      <c r="I52" s="365"/>
      <c r="J52" s="365">
        <v>53.1</v>
      </c>
      <c r="K52" s="365"/>
      <c r="L52" s="365">
        <v>97.3</v>
      </c>
      <c r="M52" s="365"/>
      <c r="N52" s="365"/>
      <c r="O52" s="365"/>
      <c r="P52" s="365"/>
      <c r="Q52" s="366">
        <f t="shared" si="3"/>
        <v>75.2</v>
      </c>
      <c r="R52" s="367" t="str">
        <f t="shared" si="1"/>
        <v>NO</v>
      </c>
      <c r="S52" s="367" t="str">
        <f t="shared" si="2"/>
        <v>Alto</v>
      </c>
    </row>
    <row r="53" spans="1:19" s="56" customFormat="1" ht="32.1" customHeight="1" x14ac:dyDescent="0.2">
      <c r="A53" s="361" t="s">
        <v>126</v>
      </c>
      <c r="B53" s="362" t="s">
        <v>3591</v>
      </c>
      <c r="C53" s="363" t="s">
        <v>3592</v>
      </c>
      <c r="D53" s="364">
        <v>85</v>
      </c>
      <c r="E53" s="365"/>
      <c r="F53" s="365"/>
      <c r="G53" s="365"/>
      <c r="H53" s="365"/>
      <c r="I53" s="365">
        <v>97.3</v>
      </c>
      <c r="J53" s="365"/>
      <c r="K53" s="365"/>
      <c r="L53" s="365"/>
      <c r="M53" s="365"/>
      <c r="N53" s="365"/>
      <c r="O53" s="365">
        <v>97.3</v>
      </c>
      <c r="P53" s="365"/>
      <c r="Q53" s="366">
        <f t="shared" si="3"/>
        <v>97.3</v>
      </c>
      <c r="R53" s="367" t="str">
        <f t="shared" si="1"/>
        <v>NO</v>
      </c>
      <c r="S53" s="367" t="str">
        <f t="shared" si="2"/>
        <v>Inviable Sanitariamente</v>
      </c>
    </row>
    <row r="54" spans="1:19" s="56" customFormat="1" ht="32.1" customHeight="1" x14ac:dyDescent="0.2">
      <c r="A54" s="361" t="s">
        <v>126</v>
      </c>
      <c r="B54" s="362" t="s">
        <v>3593</v>
      </c>
      <c r="C54" s="363" t="s">
        <v>4428</v>
      </c>
      <c r="D54" s="364">
        <v>140</v>
      </c>
      <c r="E54" s="365"/>
      <c r="F54" s="365"/>
      <c r="G54" s="365"/>
      <c r="H54" s="365"/>
      <c r="I54" s="365"/>
      <c r="J54" s="365">
        <v>97.3</v>
      </c>
      <c r="K54" s="365"/>
      <c r="L54" s="365"/>
      <c r="M54" s="365"/>
      <c r="N54" s="365"/>
      <c r="O54" s="365">
        <v>53.1</v>
      </c>
      <c r="P54" s="365"/>
      <c r="Q54" s="366">
        <f t="shared" si="3"/>
        <v>75.2</v>
      </c>
      <c r="R54" s="367" t="str">
        <f t="shared" si="1"/>
        <v>NO</v>
      </c>
      <c r="S54" s="367" t="str">
        <f t="shared" si="2"/>
        <v>Alto</v>
      </c>
    </row>
    <row r="55" spans="1:19" s="56" customFormat="1" ht="32.1" customHeight="1" x14ac:dyDescent="0.2">
      <c r="A55" s="361" t="s">
        <v>126</v>
      </c>
      <c r="B55" s="362" t="s">
        <v>4190</v>
      </c>
      <c r="C55" s="363" t="s">
        <v>4191</v>
      </c>
      <c r="D55" s="364">
        <v>30</v>
      </c>
      <c r="E55" s="365"/>
      <c r="F55" s="365"/>
      <c r="G55" s="365"/>
      <c r="H55" s="365"/>
      <c r="I55" s="365"/>
      <c r="J55" s="365">
        <v>53.1</v>
      </c>
      <c r="K55" s="365"/>
      <c r="L55" s="365"/>
      <c r="M55" s="365"/>
      <c r="N55" s="365"/>
      <c r="O55" s="365"/>
      <c r="P55" s="365">
        <v>53.1</v>
      </c>
      <c r="Q55" s="366">
        <f t="shared" si="3"/>
        <v>53.1</v>
      </c>
      <c r="R55" s="367" t="str">
        <f>IF(Q55&lt;5,"SI","NO")</f>
        <v>NO</v>
      </c>
      <c r="S55" s="367" t="str">
        <f t="shared" si="2"/>
        <v>Alto</v>
      </c>
    </row>
    <row r="56" spans="1:19" s="56" customFormat="1" ht="32.1" customHeight="1" x14ac:dyDescent="0.2">
      <c r="A56" s="361" t="s">
        <v>126</v>
      </c>
      <c r="B56" s="362" t="s">
        <v>3594</v>
      </c>
      <c r="C56" s="363" t="s">
        <v>3595</v>
      </c>
      <c r="D56" s="364">
        <v>4</v>
      </c>
      <c r="E56" s="365"/>
      <c r="F56" s="365"/>
      <c r="G56" s="365"/>
      <c r="H56" s="365"/>
      <c r="I56" s="365"/>
      <c r="J56" s="365"/>
      <c r="K56" s="365"/>
      <c r="L56" s="365"/>
      <c r="M56" s="365"/>
      <c r="N56" s="365"/>
      <c r="O56" s="365"/>
      <c r="P56" s="365"/>
      <c r="Q56" s="366" t="e">
        <f t="shared" si="3"/>
        <v>#DIV/0!</v>
      </c>
      <c r="R56" s="367" t="e">
        <f t="shared" si="1"/>
        <v>#DIV/0!</v>
      </c>
      <c r="S56" s="367" t="e">
        <f t="shared" si="2"/>
        <v>#DIV/0!</v>
      </c>
    </row>
    <row r="57" spans="1:19" s="56" customFormat="1" ht="50.1" customHeight="1" x14ac:dyDescent="0.2">
      <c r="A57" s="361" t="s">
        <v>127</v>
      </c>
      <c r="B57" s="361" t="s">
        <v>18</v>
      </c>
      <c r="C57" s="361" t="s">
        <v>4124</v>
      </c>
      <c r="D57" s="371"/>
      <c r="E57" s="365"/>
      <c r="F57" s="365"/>
      <c r="G57" s="365"/>
      <c r="H57" s="365"/>
      <c r="I57" s="365"/>
      <c r="J57" s="365"/>
      <c r="K57" s="365"/>
      <c r="L57" s="365"/>
      <c r="M57" s="365"/>
      <c r="N57" s="365"/>
      <c r="O57" s="365"/>
      <c r="P57" s="365"/>
      <c r="Q57" s="366" t="e">
        <f t="shared" si="3"/>
        <v>#DIV/0!</v>
      </c>
      <c r="R57" s="367" t="e">
        <f t="shared" si="1"/>
        <v>#DIV/0!</v>
      </c>
      <c r="S57" s="367" t="e">
        <f t="shared" si="2"/>
        <v>#DIV/0!</v>
      </c>
    </row>
    <row r="58" spans="1:19" s="56" customFormat="1" ht="50.1" customHeight="1" x14ac:dyDescent="0.2">
      <c r="A58" s="361" t="s">
        <v>127</v>
      </c>
      <c r="B58" s="361" t="s">
        <v>77</v>
      </c>
      <c r="C58" s="361" t="s">
        <v>4125</v>
      </c>
      <c r="D58" s="371"/>
      <c r="E58" s="365"/>
      <c r="F58" s="365"/>
      <c r="G58" s="365"/>
      <c r="H58" s="365"/>
      <c r="I58" s="365"/>
      <c r="J58" s="365"/>
      <c r="K58" s="365"/>
      <c r="L58" s="365"/>
      <c r="M58" s="365"/>
      <c r="N58" s="365"/>
      <c r="O58" s="365"/>
      <c r="P58" s="365"/>
      <c r="Q58" s="366" t="e">
        <f t="shared" si="3"/>
        <v>#DIV/0!</v>
      </c>
      <c r="R58" s="367" t="e">
        <f t="shared" si="1"/>
        <v>#DIV/0!</v>
      </c>
      <c r="S58" s="367" t="e">
        <f t="shared" si="2"/>
        <v>#DIV/0!</v>
      </c>
    </row>
    <row r="59" spans="1:19" s="56" customFormat="1" ht="50.1" customHeight="1" x14ac:dyDescent="0.2">
      <c r="A59" s="361" t="s">
        <v>127</v>
      </c>
      <c r="B59" s="361" t="s">
        <v>3596</v>
      </c>
      <c r="C59" s="361" t="s">
        <v>4126</v>
      </c>
      <c r="D59" s="371">
        <v>56</v>
      </c>
      <c r="E59" s="365"/>
      <c r="F59" s="365"/>
      <c r="G59" s="365"/>
      <c r="H59" s="365"/>
      <c r="I59" s="365"/>
      <c r="J59" s="365"/>
      <c r="K59" s="365"/>
      <c r="L59" s="365">
        <v>97.35</v>
      </c>
      <c r="M59" s="365"/>
      <c r="N59" s="365"/>
      <c r="O59" s="365"/>
      <c r="P59" s="365"/>
      <c r="Q59" s="366">
        <f t="shared" si="3"/>
        <v>97.35</v>
      </c>
      <c r="R59" s="367" t="str">
        <f t="shared" si="1"/>
        <v>NO</v>
      </c>
      <c r="S59" s="367" t="str">
        <f t="shared" si="2"/>
        <v>Inviable Sanitariamente</v>
      </c>
    </row>
    <row r="60" spans="1:19" s="56" customFormat="1" ht="50.1" customHeight="1" x14ac:dyDescent="0.2">
      <c r="A60" s="361" t="s">
        <v>127</v>
      </c>
      <c r="B60" s="361" t="s">
        <v>2298</v>
      </c>
      <c r="C60" s="361" t="s">
        <v>4127</v>
      </c>
      <c r="D60" s="371">
        <v>80</v>
      </c>
      <c r="E60" s="365"/>
      <c r="F60" s="365"/>
      <c r="G60" s="365"/>
      <c r="H60" s="365"/>
      <c r="I60" s="365"/>
      <c r="J60" s="365"/>
      <c r="K60" s="365"/>
      <c r="L60" s="365"/>
      <c r="M60" s="365"/>
      <c r="N60" s="365"/>
      <c r="O60" s="365"/>
      <c r="P60" s="365"/>
      <c r="Q60" s="366" t="e">
        <f t="shared" si="3"/>
        <v>#DIV/0!</v>
      </c>
      <c r="R60" s="367" t="e">
        <f t="shared" si="1"/>
        <v>#DIV/0!</v>
      </c>
      <c r="S60" s="367" t="e">
        <f t="shared" si="2"/>
        <v>#DIV/0!</v>
      </c>
    </row>
    <row r="61" spans="1:19" s="56" customFormat="1" ht="50.1" customHeight="1" x14ac:dyDescent="0.2">
      <c r="A61" s="361" t="s">
        <v>127</v>
      </c>
      <c r="B61" s="361" t="s">
        <v>3597</v>
      </c>
      <c r="C61" s="361" t="s">
        <v>4128</v>
      </c>
      <c r="D61" s="371"/>
      <c r="E61" s="365"/>
      <c r="F61" s="365"/>
      <c r="G61" s="365"/>
      <c r="H61" s="365"/>
      <c r="I61" s="365"/>
      <c r="J61" s="365"/>
      <c r="K61" s="365"/>
      <c r="L61" s="365"/>
      <c r="M61" s="365"/>
      <c r="N61" s="365"/>
      <c r="O61" s="365"/>
      <c r="P61" s="365"/>
      <c r="Q61" s="366" t="e">
        <f t="shared" si="3"/>
        <v>#DIV/0!</v>
      </c>
      <c r="R61" s="367" t="e">
        <f t="shared" si="1"/>
        <v>#DIV/0!</v>
      </c>
      <c r="S61" s="367" t="e">
        <f t="shared" si="2"/>
        <v>#DIV/0!</v>
      </c>
    </row>
    <row r="62" spans="1:19" s="56" customFormat="1" ht="50.1" customHeight="1" x14ac:dyDescent="0.2">
      <c r="A62" s="361" t="s">
        <v>127</v>
      </c>
      <c r="B62" s="361" t="s">
        <v>3598</v>
      </c>
      <c r="C62" s="361" t="s">
        <v>4130</v>
      </c>
      <c r="D62" s="371"/>
      <c r="E62" s="365"/>
      <c r="F62" s="365"/>
      <c r="G62" s="365"/>
      <c r="H62" s="365"/>
      <c r="I62" s="365"/>
      <c r="J62" s="365"/>
      <c r="K62" s="365"/>
      <c r="L62" s="365"/>
      <c r="M62" s="365"/>
      <c r="N62" s="365"/>
      <c r="O62" s="365"/>
      <c r="P62" s="365"/>
      <c r="Q62" s="366" t="e">
        <f t="shared" si="3"/>
        <v>#DIV/0!</v>
      </c>
      <c r="R62" s="367" t="e">
        <f t="shared" si="1"/>
        <v>#DIV/0!</v>
      </c>
      <c r="S62" s="367" t="e">
        <f t="shared" si="2"/>
        <v>#DIV/0!</v>
      </c>
    </row>
    <row r="63" spans="1:19" s="56" customFormat="1" ht="50.1" customHeight="1" x14ac:dyDescent="0.2">
      <c r="A63" s="361" t="s">
        <v>127</v>
      </c>
      <c r="B63" s="361" t="s">
        <v>3599</v>
      </c>
      <c r="C63" s="361" t="s">
        <v>4129</v>
      </c>
      <c r="D63" s="371"/>
      <c r="E63" s="365"/>
      <c r="F63" s="365"/>
      <c r="G63" s="365"/>
      <c r="H63" s="365"/>
      <c r="I63" s="365"/>
      <c r="J63" s="365"/>
      <c r="K63" s="365"/>
      <c r="L63" s="365"/>
      <c r="M63" s="365"/>
      <c r="N63" s="365"/>
      <c r="O63" s="365"/>
      <c r="P63" s="365"/>
      <c r="Q63" s="366" t="e">
        <f t="shared" si="3"/>
        <v>#DIV/0!</v>
      </c>
      <c r="R63" s="367" t="e">
        <f t="shared" si="1"/>
        <v>#DIV/0!</v>
      </c>
      <c r="S63" s="367" t="e">
        <f t="shared" si="2"/>
        <v>#DIV/0!</v>
      </c>
    </row>
    <row r="64" spans="1:19" s="56" customFormat="1" ht="50.1" customHeight="1" x14ac:dyDescent="0.2">
      <c r="A64" s="361" t="s">
        <v>127</v>
      </c>
      <c r="B64" s="361" t="s">
        <v>1681</v>
      </c>
      <c r="C64" s="361" t="s">
        <v>1682</v>
      </c>
      <c r="D64" s="371"/>
      <c r="E64" s="365"/>
      <c r="F64" s="365"/>
      <c r="G64" s="365"/>
      <c r="H64" s="365"/>
      <c r="I64" s="365"/>
      <c r="J64" s="365"/>
      <c r="K64" s="365"/>
      <c r="L64" s="365"/>
      <c r="M64" s="365"/>
      <c r="N64" s="365"/>
      <c r="O64" s="365"/>
      <c r="P64" s="365"/>
      <c r="Q64" s="366" t="e">
        <f t="shared" si="3"/>
        <v>#DIV/0!</v>
      </c>
      <c r="R64" s="367" t="e">
        <f t="shared" si="1"/>
        <v>#DIV/0!</v>
      </c>
      <c r="S64" s="367" t="e">
        <f t="shared" si="2"/>
        <v>#DIV/0!</v>
      </c>
    </row>
    <row r="65" spans="1:19" s="56" customFormat="1" ht="50.1" customHeight="1" x14ac:dyDescent="0.2">
      <c r="A65" s="361" t="s">
        <v>127</v>
      </c>
      <c r="B65" s="361" t="s">
        <v>2572</v>
      </c>
      <c r="C65" s="361" t="s">
        <v>4099</v>
      </c>
      <c r="D65" s="371"/>
      <c r="E65" s="365"/>
      <c r="F65" s="365"/>
      <c r="G65" s="365"/>
      <c r="H65" s="365"/>
      <c r="I65" s="365"/>
      <c r="J65" s="365"/>
      <c r="K65" s="365"/>
      <c r="L65" s="365"/>
      <c r="M65" s="365"/>
      <c r="N65" s="365"/>
      <c r="O65" s="365"/>
      <c r="P65" s="365"/>
      <c r="Q65" s="366" t="e">
        <f t="shared" si="3"/>
        <v>#DIV/0!</v>
      </c>
      <c r="R65" s="367" t="e">
        <f t="shared" si="1"/>
        <v>#DIV/0!</v>
      </c>
      <c r="S65" s="367" t="e">
        <f t="shared" si="2"/>
        <v>#DIV/0!</v>
      </c>
    </row>
    <row r="66" spans="1:19" s="56" customFormat="1" ht="50.1" customHeight="1" x14ac:dyDescent="0.2">
      <c r="A66" s="361" t="s">
        <v>127</v>
      </c>
      <c r="B66" s="361" t="s">
        <v>764</v>
      </c>
      <c r="C66" s="361" t="s">
        <v>4131</v>
      </c>
      <c r="D66" s="372">
        <v>34</v>
      </c>
      <c r="E66" s="365"/>
      <c r="F66" s="365"/>
      <c r="G66" s="365"/>
      <c r="H66" s="365"/>
      <c r="I66" s="365"/>
      <c r="J66" s="365"/>
      <c r="K66" s="365"/>
      <c r="L66" s="365"/>
      <c r="M66" s="365"/>
      <c r="N66" s="365"/>
      <c r="O66" s="365"/>
      <c r="P66" s="365"/>
      <c r="Q66" s="366" t="e">
        <f t="shared" si="3"/>
        <v>#DIV/0!</v>
      </c>
      <c r="R66" s="367" t="e">
        <f t="shared" si="1"/>
        <v>#DIV/0!</v>
      </c>
      <c r="S66" s="367" t="e">
        <f t="shared" si="2"/>
        <v>#DIV/0!</v>
      </c>
    </row>
    <row r="67" spans="1:19" s="56" customFormat="1" ht="50.1" customHeight="1" x14ac:dyDescent="0.2">
      <c r="A67" s="361" t="s">
        <v>127</v>
      </c>
      <c r="B67" s="361" t="s">
        <v>3600</v>
      </c>
      <c r="C67" s="361" t="s">
        <v>4132</v>
      </c>
      <c r="D67" s="371"/>
      <c r="E67" s="365"/>
      <c r="F67" s="365"/>
      <c r="G67" s="365"/>
      <c r="H67" s="365"/>
      <c r="I67" s="365"/>
      <c r="J67" s="365"/>
      <c r="K67" s="365"/>
      <c r="L67" s="365"/>
      <c r="M67" s="365"/>
      <c r="N67" s="365"/>
      <c r="O67" s="365"/>
      <c r="P67" s="365"/>
      <c r="Q67" s="366" t="e">
        <f t="shared" si="3"/>
        <v>#DIV/0!</v>
      </c>
      <c r="R67" s="367" t="e">
        <f t="shared" si="1"/>
        <v>#DIV/0!</v>
      </c>
      <c r="S67" s="367" t="e">
        <f t="shared" si="2"/>
        <v>#DIV/0!</v>
      </c>
    </row>
    <row r="68" spans="1:19" s="56" customFormat="1" ht="50.1" customHeight="1" x14ac:dyDescent="0.2">
      <c r="A68" s="361" t="s">
        <v>127</v>
      </c>
      <c r="B68" s="361" t="s">
        <v>3601</v>
      </c>
      <c r="C68" s="361" t="s">
        <v>4133</v>
      </c>
      <c r="D68" s="371"/>
      <c r="E68" s="365"/>
      <c r="F68" s="365"/>
      <c r="G68" s="365"/>
      <c r="H68" s="365"/>
      <c r="I68" s="365"/>
      <c r="J68" s="365"/>
      <c r="K68" s="365"/>
      <c r="L68" s="365"/>
      <c r="M68" s="365"/>
      <c r="N68" s="365"/>
      <c r="O68" s="365"/>
      <c r="P68" s="365"/>
      <c r="Q68" s="366" t="e">
        <f t="shared" si="3"/>
        <v>#DIV/0!</v>
      </c>
      <c r="R68" s="367" t="e">
        <f t="shared" si="1"/>
        <v>#DIV/0!</v>
      </c>
      <c r="S68" s="367" t="e">
        <f t="shared" si="2"/>
        <v>#DIV/0!</v>
      </c>
    </row>
    <row r="69" spans="1:19" s="56" customFormat="1" ht="50.1" customHeight="1" x14ac:dyDescent="0.2">
      <c r="A69" s="361" t="s">
        <v>127</v>
      </c>
      <c r="B69" s="361" t="s">
        <v>3602</v>
      </c>
      <c r="C69" s="361" t="s">
        <v>4134</v>
      </c>
      <c r="D69" s="371"/>
      <c r="E69" s="365"/>
      <c r="F69" s="365"/>
      <c r="G69" s="365"/>
      <c r="H69" s="365"/>
      <c r="I69" s="365"/>
      <c r="J69" s="365"/>
      <c r="K69" s="365"/>
      <c r="L69" s="365"/>
      <c r="M69" s="365"/>
      <c r="N69" s="365"/>
      <c r="O69" s="365"/>
      <c r="P69" s="365"/>
      <c r="Q69" s="366" t="e">
        <f t="shared" si="3"/>
        <v>#DIV/0!</v>
      </c>
      <c r="R69" s="367" t="e">
        <f t="shared" si="1"/>
        <v>#DIV/0!</v>
      </c>
      <c r="S69" s="367" t="e">
        <f t="shared" si="2"/>
        <v>#DIV/0!</v>
      </c>
    </row>
    <row r="70" spans="1:19" s="56" customFormat="1" ht="50.1" customHeight="1" x14ac:dyDescent="0.2">
      <c r="A70" s="361" t="s">
        <v>127</v>
      </c>
      <c r="B70" s="361" t="s">
        <v>3603</v>
      </c>
      <c r="C70" s="361" t="s">
        <v>4135</v>
      </c>
      <c r="D70" s="371"/>
      <c r="E70" s="365"/>
      <c r="F70" s="365"/>
      <c r="G70" s="365"/>
      <c r="H70" s="365"/>
      <c r="I70" s="365"/>
      <c r="J70" s="365"/>
      <c r="K70" s="365"/>
      <c r="L70" s="365"/>
      <c r="M70" s="365"/>
      <c r="N70" s="365"/>
      <c r="O70" s="365"/>
      <c r="P70" s="365"/>
      <c r="Q70" s="366" t="e">
        <f t="shared" si="3"/>
        <v>#DIV/0!</v>
      </c>
      <c r="R70" s="367" t="e">
        <f t="shared" si="1"/>
        <v>#DIV/0!</v>
      </c>
      <c r="S70" s="367" t="e">
        <f t="shared" si="2"/>
        <v>#DIV/0!</v>
      </c>
    </row>
    <row r="71" spans="1:19" s="56" customFormat="1" ht="50.1" customHeight="1" x14ac:dyDescent="0.2">
      <c r="A71" s="361" t="s">
        <v>127</v>
      </c>
      <c r="B71" s="361" t="s">
        <v>3604</v>
      </c>
      <c r="C71" s="361" t="s">
        <v>4136</v>
      </c>
      <c r="D71" s="371"/>
      <c r="E71" s="365"/>
      <c r="F71" s="365"/>
      <c r="G71" s="365"/>
      <c r="H71" s="365"/>
      <c r="I71" s="365"/>
      <c r="J71" s="365"/>
      <c r="K71" s="365"/>
      <c r="L71" s="365"/>
      <c r="M71" s="365"/>
      <c r="N71" s="365"/>
      <c r="O71" s="365"/>
      <c r="P71" s="365"/>
      <c r="Q71" s="366" t="e">
        <f t="shared" si="3"/>
        <v>#DIV/0!</v>
      </c>
      <c r="R71" s="367" t="e">
        <f t="shared" si="1"/>
        <v>#DIV/0!</v>
      </c>
      <c r="S71" s="367" t="e">
        <f t="shared" si="2"/>
        <v>#DIV/0!</v>
      </c>
    </row>
    <row r="72" spans="1:19" s="56" customFormat="1" ht="50.1" customHeight="1" x14ac:dyDescent="0.2">
      <c r="A72" s="361" t="s">
        <v>127</v>
      </c>
      <c r="B72" s="361" t="s">
        <v>1940</v>
      </c>
      <c r="C72" s="361" t="s">
        <v>3605</v>
      </c>
      <c r="D72" s="371"/>
      <c r="E72" s="365"/>
      <c r="F72" s="365"/>
      <c r="G72" s="365"/>
      <c r="H72" s="365"/>
      <c r="I72" s="365"/>
      <c r="J72" s="365"/>
      <c r="K72" s="365"/>
      <c r="L72" s="365"/>
      <c r="M72" s="365"/>
      <c r="N72" s="365"/>
      <c r="O72" s="365"/>
      <c r="P72" s="365"/>
      <c r="Q72" s="366" t="e">
        <f t="shared" si="3"/>
        <v>#DIV/0!</v>
      </c>
      <c r="R72" s="367" t="e">
        <f t="shared" si="1"/>
        <v>#DIV/0!</v>
      </c>
      <c r="S72" s="367" t="e">
        <f t="shared" si="2"/>
        <v>#DIV/0!</v>
      </c>
    </row>
    <row r="73" spans="1:19" s="56" customFormat="1" ht="50.1" customHeight="1" x14ac:dyDescent="0.2">
      <c r="A73" s="361" t="s">
        <v>127</v>
      </c>
      <c r="B73" s="361" t="s">
        <v>2111</v>
      </c>
      <c r="C73" s="361" t="s">
        <v>2693</v>
      </c>
      <c r="D73" s="371"/>
      <c r="E73" s="365"/>
      <c r="F73" s="365"/>
      <c r="G73" s="365"/>
      <c r="H73" s="365"/>
      <c r="I73" s="365"/>
      <c r="J73" s="365"/>
      <c r="K73" s="365"/>
      <c r="L73" s="365"/>
      <c r="M73" s="365"/>
      <c r="N73" s="365"/>
      <c r="O73" s="365"/>
      <c r="P73" s="365"/>
      <c r="Q73" s="366" t="e">
        <f t="shared" si="3"/>
        <v>#DIV/0!</v>
      </c>
      <c r="R73" s="367" t="e">
        <f t="shared" si="1"/>
        <v>#DIV/0!</v>
      </c>
      <c r="S73" s="367" t="e">
        <f t="shared" si="2"/>
        <v>#DIV/0!</v>
      </c>
    </row>
    <row r="74" spans="1:19" s="56" customFormat="1" ht="32.1" customHeight="1" x14ac:dyDescent="0.2">
      <c r="A74" s="361" t="s">
        <v>128</v>
      </c>
      <c r="B74" s="362" t="s">
        <v>3606</v>
      </c>
      <c r="C74" s="363" t="s">
        <v>3607</v>
      </c>
      <c r="D74" s="364">
        <v>30</v>
      </c>
      <c r="E74" s="365"/>
      <c r="F74" s="365"/>
      <c r="G74" s="365"/>
      <c r="H74" s="365"/>
      <c r="I74" s="365"/>
      <c r="J74" s="365">
        <v>76.92</v>
      </c>
      <c r="K74" s="365"/>
      <c r="L74" s="365"/>
      <c r="M74" s="365"/>
      <c r="N74" s="365"/>
      <c r="O74" s="365"/>
      <c r="P74" s="365"/>
      <c r="Q74" s="366">
        <f t="shared" si="3"/>
        <v>76.92</v>
      </c>
      <c r="R74" s="367" t="str">
        <f t="shared" si="1"/>
        <v>NO</v>
      </c>
      <c r="S74" s="367" t="str">
        <f t="shared" si="2"/>
        <v>Alto</v>
      </c>
    </row>
    <row r="75" spans="1:19" s="56" customFormat="1" ht="32.1" customHeight="1" x14ac:dyDescent="0.2">
      <c r="A75" s="361" t="s">
        <v>128</v>
      </c>
      <c r="B75" s="362" t="s">
        <v>3608</v>
      </c>
      <c r="C75" s="363" t="s">
        <v>3609</v>
      </c>
      <c r="D75" s="364">
        <v>35</v>
      </c>
      <c r="E75" s="365"/>
      <c r="F75" s="365"/>
      <c r="G75" s="365"/>
      <c r="H75" s="365"/>
      <c r="I75" s="365"/>
      <c r="J75" s="365"/>
      <c r="K75" s="365"/>
      <c r="L75" s="365"/>
      <c r="M75" s="365"/>
      <c r="N75" s="365"/>
      <c r="O75" s="365">
        <v>71.67</v>
      </c>
      <c r="P75" s="365" t="s">
        <v>1600</v>
      </c>
      <c r="Q75" s="366">
        <f t="shared" si="3"/>
        <v>71.67</v>
      </c>
      <c r="R75" s="367" t="str">
        <f t="shared" si="1"/>
        <v>NO</v>
      </c>
      <c r="S75" s="367" t="str">
        <f t="shared" si="2"/>
        <v>Alto</v>
      </c>
    </row>
    <row r="76" spans="1:19" s="56" customFormat="1" ht="32.1" customHeight="1" x14ac:dyDescent="0.2">
      <c r="A76" s="361" t="s">
        <v>128</v>
      </c>
      <c r="B76" s="362" t="s">
        <v>3610</v>
      </c>
      <c r="C76" s="363" t="s">
        <v>3611</v>
      </c>
      <c r="D76" s="364">
        <v>15</v>
      </c>
      <c r="E76" s="365"/>
      <c r="F76" s="365"/>
      <c r="G76" s="365"/>
      <c r="H76" s="365"/>
      <c r="I76" s="365"/>
      <c r="J76" s="365"/>
      <c r="K76" s="365"/>
      <c r="L76" s="365"/>
      <c r="M76" s="365"/>
      <c r="N76" s="365"/>
      <c r="O76" s="365">
        <v>72.400000000000006</v>
      </c>
      <c r="P76" s="365"/>
      <c r="Q76" s="366">
        <f t="shared" ref="Q76:Q107" si="4">AVERAGE(E76:P76)</f>
        <v>72.400000000000006</v>
      </c>
      <c r="R76" s="367" t="str">
        <f t="shared" ref="R76:R139" si="5">IF(Q76&lt;5,"SI","NO")</f>
        <v>NO</v>
      </c>
      <c r="S76" s="367" t="str">
        <f t="shared" ref="S76:S139" si="6">IF(Q76&lt;=5,"Sin Riesgo",IF(Q76 &lt;=14,"Bajo",IF(Q76&lt;=35,"Medio",IF(Q76&lt;=80,"Alto","Inviable Sanitariamente"))))</f>
        <v>Alto</v>
      </c>
    </row>
    <row r="77" spans="1:19" s="56" customFormat="1" ht="32.1" customHeight="1" x14ac:dyDescent="0.2">
      <c r="A77" s="361" t="s">
        <v>128</v>
      </c>
      <c r="B77" s="362" t="s">
        <v>2649</v>
      </c>
      <c r="C77" s="363" t="s">
        <v>3612</v>
      </c>
      <c r="D77" s="364">
        <v>28</v>
      </c>
      <c r="E77" s="365"/>
      <c r="F77" s="365"/>
      <c r="G77" s="365"/>
      <c r="H77" s="365"/>
      <c r="I77" s="365"/>
      <c r="J77" s="365"/>
      <c r="K77" s="365"/>
      <c r="L77" s="365"/>
      <c r="M77" s="365"/>
      <c r="N77" s="365"/>
      <c r="O77" s="365">
        <v>71.67</v>
      </c>
      <c r="P77" s="365"/>
      <c r="Q77" s="366">
        <f t="shared" si="4"/>
        <v>71.67</v>
      </c>
      <c r="R77" s="367" t="str">
        <f t="shared" si="5"/>
        <v>NO</v>
      </c>
      <c r="S77" s="367" t="str">
        <f t="shared" si="6"/>
        <v>Alto</v>
      </c>
    </row>
    <row r="78" spans="1:19" s="56" customFormat="1" ht="32.1" customHeight="1" x14ac:dyDescent="0.2">
      <c r="A78" s="361" t="s">
        <v>128</v>
      </c>
      <c r="B78" s="362" t="s">
        <v>3613</v>
      </c>
      <c r="C78" s="363" t="s">
        <v>3614</v>
      </c>
      <c r="D78" s="364"/>
      <c r="E78" s="365"/>
      <c r="F78" s="365"/>
      <c r="G78" s="365"/>
      <c r="H78" s="365"/>
      <c r="I78" s="365"/>
      <c r="J78" s="365"/>
      <c r="K78" s="365"/>
      <c r="L78" s="365"/>
      <c r="M78" s="365"/>
      <c r="N78" s="365"/>
      <c r="O78" s="365"/>
      <c r="P78" s="365"/>
      <c r="Q78" s="366" t="e">
        <f t="shared" si="4"/>
        <v>#DIV/0!</v>
      </c>
      <c r="R78" s="367" t="e">
        <f t="shared" si="5"/>
        <v>#DIV/0!</v>
      </c>
      <c r="S78" s="367" t="e">
        <f t="shared" si="6"/>
        <v>#DIV/0!</v>
      </c>
    </row>
    <row r="79" spans="1:19" s="56" customFormat="1" ht="32.1" customHeight="1" x14ac:dyDescent="0.2">
      <c r="A79" s="361" t="s">
        <v>128</v>
      </c>
      <c r="B79" s="362" t="s">
        <v>3615</v>
      </c>
      <c r="C79" s="363" t="s">
        <v>3616</v>
      </c>
      <c r="D79" s="364"/>
      <c r="E79" s="365"/>
      <c r="F79" s="365"/>
      <c r="G79" s="365"/>
      <c r="H79" s="365"/>
      <c r="I79" s="365"/>
      <c r="J79" s="365"/>
      <c r="K79" s="365"/>
      <c r="L79" s="365"/>
      <c r="M79" s="365"/>
      <c r="N79" s="365"/>
      <c r="O79" s="365"/>
      <c r="P79" s="365"/>
      <c r="Q79" s="366" t="e">
        <f t="shared" si="4"/>
        <v>#DIV/0!</v>
      </c>
      <c r="R79" s="367" t="e">
        <f t="shared" si="5"/>
        <v>#DIV/0!</v>
      </c>
      <c r="S79" s="367" t="e">
        <f t="shared" si="6"/>
        <v>#DIV/0!</v>
      </c>
    </row>
    <row r="80" spans="1:19" s="56" customFormat="1" ht="32.1" customHeight="1" x14ac:dyDescent="0.2">
      <c r="A80" s="361" t="s">
        <v>128</v>
      </c>
      <c r="B80" s="362" t="s">
        <v>1237</v>
      </c>
      <c r="C80" s="363" t="s">
        <v>3617</v>
      </c>
      <c r="D80" s="364"/>
      <c r="E80" s="365"/>
      <c r="F80" s="365"/>
      <c r="G80" s="365"/>
      <c r="H80" s="365"/>
      <c r="I80" s="365"/>
      <c r="J80" s="365"/>
      <c r="K80" s="365"/>
      <c r="L80" s="365"/>
      <c r="M80" s="365"/>
      <c r="N80" s="365"/>
      <c r="O80" s="365"/>
      <c r="P80" s="365"/>
      <c r="Q80" s="366" t="e">
        <f t="shared" si="4"/>
        <v>#DIV/0!</v>
      </c>
      <c r="R80" s="367" t="e">
        <f t="shared" si="5"/>
        <v>#DIV/0!</v>
      </c>
      <c r="S80" s="367" t="e">
        <f t="shared" si="6"/>
        <v>#DIV/0!</v>
      </c>
    </row>
    <row r="81" spans="1:19" s="56" customFormat="1" ht="32.1" customHeight="1" x14ac:dyDescent="0.2">
      <c r="A81" s="361" t="s">
        <v>129</v>
      </c>
      <c r="B81" s="362" t="s">
        <v>95</v>
      </c>
      <c r="C81" s="363" t="s">
        <v>3618</v>
      </c>
      <c r="D81" s="364">
        <v>65</v>
      </c>
      <c r="E81" s="365"/>
      <c r="F81" s="365"/>
      <c r="G81" s="365"/>
      <c r="H81" s="365"/>
      <c r="I81" s="365"/>
      <c r="J81" s="365">
        <v>97.35</v>
      </c>
      <c r="K81" s="365"/>
      <c r="L81" s="365"/>
      <c r="M81" s="365"/>
      <c r="N81" s="365"/>
      <c r="O81" s="365"/>
      <c r="P81" s="365"/>
      <c r="Q81" s="366">
        <f t="shared" si="4"/>
        <v>97.35</v>
      </c>
      <c r="R81" s="367" t="str">
        <f t="shared" si="5"/>
        <v>NO</v>
      </c>
      <c r="S81" s="367" t="str">
        <f t="shared" si="6"/>
        <v>Inviable Sanitariamente</v>
      </c>
    </row>
    <row r="82" spans="1:19" s="56" customFormat="1" ht="32.1" customHeight="1" x14ac:dyDescent="0.2">
      <c r="A82" s="361" t="s">
        <v>129</v>
      </c>
      <c r="B82" s="362" t="s">
        <v>3619</v>
      </c>
      <c r="C82" s="363" t="s">
        <v>3620</v>
      </c>
      <c r="D82" s="364">
        <v>311</v>
      </c>
      <c r="E82" s="365"/>
      <c r="F82" s="365"/>
      <c r="G82" s="365"/>
      <c r="H82" s="365"/>
      <c r="I82" s="365"/>
      <c r="J82" s="365">
        <v>26.55</v>
      </c>
      <c r="K82" s="365"/>
      <c r="L82" s="365"/>
      <c r="M82" s="365"/>
      <c r="N82" s="365"/>
      <c r="O82" s="365"/>
      <c r="P82" s="365"/>
      <c r="Q82" s="366">
        <f t="shared" si="4"/>
        <v>26.55</v>
      </c>
      <c r="R82" s="367" t="str">
        <f t="shared" si="5"/>
        <v>NO</v>
      </c>
      <c r="S82" s="367" t="str">
        <f t="shared" si="6"/>
        <v>Medio</v>
      </c>
    </row>
    <row r="83" spans="1:19" s="56" customFormat="1" ht="32.1" customHeight="1" x14ac:dyDescent="0.2">
      <c r="A83" s="361" t="s">
        <v>129</v>
      </c>
      <c r="B83" s="362" t="s">
        <v>3621</v>
      </c>
      <c r="C83" s="363" t="s">
        <v>3622</v>
      </c>
      <c r="D83" s="364">
        <v>120</v>
      </c>
      <c r="E83" s="365"/>
      <c r="F83" s="365"/>
      <c r="G83" s="365"/>
      <c r="H83" s="365"/>
      <c r="I83" s="365"/>
      <c r="J83" s="365"/>
      <c r="K83" s="365"/>
      <c r="L83" s="365"/>
      <c r="M83" s="365"/>
      <c r="N83" s="365">
        <v>96.4</v>
      </c>
      <c r="O83" s="365"/>
      <c r="P83" s="365"/>
      <c r="Q83" s="366">
        <f t="shared" si="4"/>
        <v>96.4</v>
      </c>
      <c r="R83" s="367" t="str">
        <f t="shared" si="5"/>
        <v>NO</v>
      </c>
      <c r="S83" s="367" t="str">
        <f t="shared" si="6"/>
        <v>Inviable Sanitariamente</v>
      </c>
    </row>
    <row r="84" spans="1:19" s="56" customFormat="1" ht="32.1" customHeight="1" x14ac:dyDescent="0.2">
      <c r="A84" s="361" t="s">
        <v>129</v>
      </c>
      <c r="B84" s="362" t="s">
        <v>3623</v>
      </c>
      <c r="C84" s="363" t="s">
        <v>3605</v>
      </c>
      <c r="D84" s="364">
        <v>112</v>
      </c>
      <c r="E84" s="365"/>
      <c r="F84" s="365"/>
      <c r="G84" s="365"/>
      <c r="H84" s="365"/>
      <c r="I84" s="365"/>
      <c r="J84" s="365">
        <v>0</v>
      </c>
      <c r="K84" s="365"/>
      <c r="L84" s="365"/>
      <c r="M84" s="365"/>
      <c r="N84" s="365"/>
      <c r="O84" s="365"/>
      <c r="P84" s="365"/>
      <c r="Q84" s="366">
        <f t="shared" si="4"/>
        <v>0</v>
      </c>
      <c r="R84" s="367" t="str">
        <f t="shared" si="5"/>
        <v>SI</v>
      </c>
      <c r="S84" s="367" t="str">
        <f t="shared" si="6"/>
        <v>Sin Riesgo</v>
      </c>
    </row>
    <row r="85" spans="1:19" s="56" customFormat="1" ht="32.1" customHeight="1" x14ac:dyDescent="0.2">
      <c r="A85" s="361" t="s">
        <v>129</v>
      </c>
      <c r="B85" s="362" t="s">
        <v>3624</v>
      </c>
      <c r="C85" s="363" t="s">
        <v>3625</v>
      </c>
      <c r="D85" s="364">
        <v>98</v>
      </c>
      <c r="E85" s="365"/>
      <c r="F85" s="365"/>
      <c r="G85" s="365"/>
      <c r="H85" s="365"/>
      <c r="I85" s="365"/>
      <c r="J85" s="365">
        <v>53.1</v>
      </c>
      <c r="K85" s="365"/>
      <c r="L85" s="365"/>
      <c r="M85" s="365"/>
      <c r="N85" s="365"/>
      <c r="O85" s="365"/>
      <c r="P85" s="365"/>
      <c r="Q85" s="366">
        <f t="shared" si="4"/>
        <v>53.1</v>
      </c>
      <c r="R85" s="367" t="str">
        <f t="shared" si="5"/>
        <v>NO</v>
      </c>
      <c r="S85" s="367" t="str">
        <f t="shared" si="6"/>
        <v>Alto</v>
      </c>
    </row>
    <row r="86" spans="1:19" s="56" customFormat="1" ht="32.1" customHeight="1" x14ac:dyDescent="0.2">
      <c r="A86" s="361" t="s">
        <v>3939</v>
      </c>
      <c r="B86" s="362" t="s">
        <v>3626</v>
      </c>
      <c r="C86" s="363" t="s">
        <v>3627</v>
      </c>
      <c r="D86" s="364">
        <v>107</v>
      </c>
      <c r="E86" s="365"/>
      <c r="F86" s="365"/>
      <c r="G86" s="365"/>
      <c r="H86" s="365"/>
      <c r="I86" s="365">
        <v>2.65</v>
      </c>
      <c r="J86" s="365"/>
      <c r="K86" s="365"/>
      <c r="L86" s="365"/>
      <c r="M86" s="365"/>
      <c r="N86" s="365"/>
      <c r="O86" s="365"/>
      <c r="P86" s="365">
        <v>29.2</v>
      </c>
      <c r="Q86" s="366">
        <f t="shared" si="4"/>
        <v>15.924999999999999</v>
      </c>
      <c r="R86" s="367" t="str">
        <f t="shared" si="5"/>
        <v>NO</v>
      </c>
      <c r="S86" s="367" t="str">
        <f t="shared" si="6"/>
        <v>Medio</v>
      </c>
    </row>
    <row r="87" spans="1:19" s="56" customFormat="1" ht="32.1" customHeight="1" x14ac:dyDescent="0.2">
      <c r="A87" s="361" t="s">
        <v>3939</v>
      </c>
      <c r="B87" s="362" t="s">
        <v>3628</v>
      </c>
      <c r="C87" s="363" t="s">
        <v>3629</v>
      </c>
      <c r="D87" s="364">
        <v>73</v>
      </c>
      <c r="E87" s="365"/>
      <c r="F87" s="365"/>
      <c r="G87" s="365"/>
      <c r="H87" s="365"/>
      <c r="I87" s="365">
        <v>2.65</v>
      </c>
      <c r="J87" s="365"/>
      <c r="K87" s="365"/>
      <c r="L87" s="365"/>
      <c r="M87" s="365"/>
      <c r="N87" s="365"/>
      <c r="O87" s="365"/>
      <c r="P87" s="365">
        <v>2.65</v>
      </c>
      <c r="Q87" s="366">
        <f t="shared" si="4"/>
        <v>2.65</v>
      </c>
      <c r="R87" s="367" t="str">
        <f t="shared" si="5"/>
        <v>SI</v>
      </c>
      <c r="S87" s="367" t="str">
        <f t="shared" si="6"/>
        <v>Sin Riesgo</v>
      </c>
    </row>
    <row r="88" spans="1:19" s="56" customFormat="1" ht="32.1" customHeight="1" x14ac:dyDescent="0.2">
      <c r="A88" s="361" t="s">
        <v>3939</v>
      </c>
      <c r="B88" s="362" t="s">
        <v>1237</v>
      </c>
      <c r="C88" s="363" t="s">
        <v>3630</v>
      </c>
      <c r="D88" s="364">
        <v>156</v>
      </c>
      <c r="E88" s="365"/>
      <c r="F88" s="365"/>
      <c r="G88" s="365"/>
      <c r="H88" s="365"/>
      <c r="I88" s="365">
        <v>2.65</v>
      </c>
      <c r="J88" s="365"/>
      <c r="K88" s="365"/>
      <c r="L88" s="365"/>
      <c r="M88" s="365"/>
      <c r="N88" s="365"/>
      <c r="O88" s="365"/>
      <c r="P88" s="365">
        <v>2.65</v>
      </c>
      <c r="Q88" s="366">
        <f t="shared" si="4"/>
        <v>2.65</v>
      </c>
      <c r="R88" s="367" t="str">
        <f t="shared" si="5"/>
        <v>SI</v>
      </c>
      <c r="S88" s="367" t="str">
        <f t="shared" si="6"/>
        <v>Sin Riesgo</v>
      </c>
    </row>
    <row r="89" spans="1:19" s="56" customFormat="1" ht="32.1" customHeight="1" x14ac:dyDescent="0.2">
      <c r="A89" s="361" t="s">
        <v>3939</v>
      </c>
      <c r="B89" s="362" t="s">
        <v>3631</v>
      </c>
      <c r="C89" s="363" t="s">
        <v>3632</v>
      </c>
      <c r="D89" s="364">
        <v>104</v>
      </c>
      <c r="E89" s="365"/>
      <c r="F89" s="365"/>
      <c r="G89" s="365"/>
      <c r="H89" s="365"/>
      <c r="I89" s="365">
        <v>2.65</v>
      </c>
      <c r="J89" s="365"/>
      <c r="K89" s="365"/>
      <c r="L89" s="365"/>
      <c r="M89" s="365"/>
      <c r="N89" s="365"/>
      <c r="O89" s="365"/>
      <c r="P89" s="365">
        <v>0</v>
      </c>
      <c r="Q89" s="366">
        <f t="shared" si="4"/>
        <v>1.325</v>
      </c>
      <c r="R89" s="367" t="str">
        <f t="shared" si="5"/>
        <v>SI</v>
      </c>
      <c r="S89" s="367" t="str">
        <f t="shared" si="6"/>
        <v>Sin Riesgo</v>
      </c>
    </row>
    <row r="90" spans="1:19" s="56" customFormat="1" ht="32.1" customHeight="1" x14ac:dyDescent="0.2">
      <c r="A90" s="361" t="s">
        <v>3939</v>
      </c>
      <c r="B90" s="362" t="s">
        <v>3127</v>
      </c>
      <c r="C90" s="363" t="s">
        <v>3633</v>
      </c>
      <c r="D90" s="364">
        <v>82</v>
      </c>
      <c r="E90" s="365"/>
      <c r="F90" s="365">
        <v>2.65</v>
      </c>
      <c r="G90" s="365"/>
      <c r="H90" s="365"/>
      <c r="I90" s="365">
        <v>2.65</v>
      </c>
      <c r="J90" s="365"/>
      <c r="K90" s="365"/>
      <c r="L90" s="365"/>
      <c r="M90" s="365"/>
      <c r="N90" s="365"/>
      <c r="O90" s="365"/>
      <c r="P90" s="365">
        <v>0</v>
      </c>
      <c r="Q90" s="366">
        <f t="shared" si="4"/>
        <v>1.7666666666666666</v>
      </c>
      <c r="R90" s="367" t="str">
        <f t="shared" si="5"/>
        <v>SI</v>
      </c>
      <c r="S90" s="367" t="str">
        <f t="shared" si="6"/>
        <v>Sin Riesgo</v>
      </c>
    </row>
    <row r="91" spans="1:19" s="56" customFormat="1" ht="32.1" customHeight="1" x14ac:dyDescent="0.2">
      <c r="A91" s="361" t="s">
        <v>3939</v>
      </c>
      <c r="B91" s="362" t="s">
        <v>3195</v>
      </c>
      <c r="C91" s="363" t="s">
        <v>3634</v>
      </c>
      <c r="D91" s="364">
        <v>156</v>
      </c>
      <c r="E91" s="365"/>
      <c r="F91" s="365">
        <v>55.5</v>
      </c>
      <c r="G91" s="365"/>
      <c r="H91" s="365"/>
      <c r="I91" s="365">
        <v>2.65</v>
      </c>
      <c r="J91" s="365"/>
      <c r="K91" s="365"/>
      <c r="L91" s="365"/>
      <c r="M91" s="365"/>
      <c r="N91" s="365"/>
      <c r="O91" s="365">
        <v>26.55</v>
      </c>
      <c r="P91" s="365"/>
      <c r="Q91" s="366">
        <f t="shared" si="4"/>
        <v>28.233333333333334</v>
      </c>
      <c r="R91" s="367" t="str">
        <f t="shared" si="5"/>
        <v>NO</v>
      </c>
      <c r="S91" s="367" t="str">
        <f t="shared" si="6"/>
        <v>Medio</v>
      </c>
    </row>
    <row r="92" spans="1:19" s="56" customFormat="1" ht="32.1" customHeight="1" x14ac:dyDescent="0.2">
      <c r="A92" s="361" t="s">
        <v>3939</v>
      </c>
      <c r="B92" s="362" t="s">
        <v>3635</v>
      </c>
      <c r="C92" s="363" t="s">
        <v>3636</v>
      </c>
      <c r="D92" s="364">
        <v>121</v>
      </c>
      <c r="E92" s="365"/>
      <c r="F92" s="365"/>
      <c r="G92" s="365"/>
      <c r="H92" s="365"/>
      <c r="I92" s="365"/>
      <c r="J92" s="365">
        <v>0</v>
      </c>
      <c r="K92" s="365"/>
      <c r="L92" s="365"/>
      <c r="M92" s="365"/>
      <c r="N92" s="365"/>
      <c r="O92" s="365">
        <v>26.55</v>
      </c>
      <c r="P92" s="365"/>
      <c r="Q92" s="366">
        <f t="shared" si="4"/>
        <v>13.275</v>
      </c>
      <c r="R92" s="367" t="str">
        <f t="shared" si="5"/>
        <v>NO</v>
      </c>
      <c r="S92" s="367" t="str">
        <f t="shared" si="6"/>
        <v>Bajo</v>
      </c>
    </row>
    <row r="93" spans="1:19" s="56" customFormat="1" ht="32.1" customHeight="1" x14ac:dyDescent="0.2">
      <c r="A93" s="361" t="s">
        <v>3939</v>
      </c>
      <c r="B93" s="362" t="s">
        <v>3637</v>
      </c>
      <c r="C93" s="363" t="s">
        <v>3638</v>
      </c>
      <c r="D93" s="364">
        <v>50</v>
      </c>
      <c r="E93" s="365"/>
      <c r="F93" s="365">
        <v>70.8</v>
      </c>
      <c r="G93" s="365"/>
      <c r="H93" s="365"/>
      <c r="I93" s="365"/>
      <c r="J93" s="365">
        <v>0</v>
      </c>
      <c r="K93" s="365"/>
      <c r="L93" s="365"/>
      <c r="M93" s="365"/>
      <c r="N93" s="365"/>
      <c r="O93" s="365"/>
      <c r="P93" s="365"/>
      <c r="Q93" s="366">
        <f t="shared" si="4"/>
        <v>35.4</v>
      </c>
      <c r="R93" s="367" t="str">
        <f t="shared" si="5"/>
        <v>NO</v>
      </c>
      <c r="S93" s="367" t="str">
        <f t="shared" si="6"/>
        <v>Alto</v>
      </c>
    </row>
    <row r="94" spans="1:19" s="56" customFormat="1" ht="32.1" customHeight="1" x14ac:dyDescent="0.2">
      <c r="A94" s="361" t="s">
        <v>3939</v>
      </c>
      <c r="B94" s="362" t="s">
        <v>3639</v>
      </c>
      <c r="C94" s="363" t="s">
        <v>3640</v>
      </c>
      <c r="D94" s="364">
        <v>55</v>
      </c>
      <c r="E94" s="365"/>
      <c r="F94" s="365">
        <v>70.8</v>
      </c>
      <c r="G94" s="365"/>
      <c r="H94" s="365"/>
      <c r="I94" s="365"/>
      <c r="J94" s="365">
        <v>0</v>
      </c>
      <c r="K94" s="365"/>
      <c r="L94" s="365"/>
      <c r="M94" s="365"/>
      <c r="N94" s="365"/>
      <c r="O94" s="365"/>
      <c r="P94" s="365"/>
      <c r="Q94" s="366">
        <f t="shared" si="4"/>
        <v>35.4</v>
      </c>
      <c r="R94" s="367" t="str">
        <f t="shared" si="5"/>
        <v>NO</v>
      </c>
      <c r="S94" s="367" t="str">
        <f t="shared" si="6"/>
        <v>Alto</v>
      </c>
    </row>
    <row r="95" spans="1:19" s="56" customFormat="1" ht="32.1" customHeight="1" x14ac:dyDescent="0.2">
      <c r="A95" s="361" t="s">
        <v>3939</v>
      </c>
      <c r="B95" s="362" t="s">
        <v>3641</v>
      </c>
      <c r="C95" s="363" t="s">
        <v>3642</v>
      </c>
      <c r="D95" s="364">
        <v>22</v>
      </c>
      <c r="E95" s="365"/>
      <c r="F95" s="365"/>
      <c r="G95" s="365"/>
      <c r="H95" s="365"/>
      <c r="I95" s="365"/>
      <c r="J95" s="365">
        <v>0</v>
      </c>
      <c r="K95" s="365"/>
      <c r="L95" s="365"/>
      <c r="M95" s="365"/>
      <c r="N95" s="365"/>
      <c r="O95" s="365"/>
      <c r="P95" s="365"/>
      <c r="Q95" s="366">
        <f t="shared" si="4"/>
        <v>0</v>
      </c>
      <c r="R95" s="367" t="str">
        <f t="shared" si="5"/>
        <v>SI</v>
      </c>
      <c r="S95" s="367" t="str">
        <f t="shared" si="6"/>
        <v>Sin Riesgo</v>
      </c>
    </row>
    <row r="96" spans="1:19" s="56" customFormat="1" ht="32.1" customHeight="1" x14ac:dyDescent="0.2">
      <c r="A96" s="361" t="s">
        <v>3939</v>
      </c>
      <c r="B96" s="362" t="s">
        <v>64</v>
      </c>
      <c r="C96" s="362" t="s">
        <v>3643</v>
      </c>
      <c r="D96" s="364">
        <v>176</v>
      </c>
      <c r="E96" s="365"/>
      <c r="F96" s="365"/>
      <c r="G96" s="365"/>
      <c r="H96" s="365"/>
      <c r="I96" s="365"/>
      <c r="J96" s="365">
        <v>0</v>
      </c>
      <c r="K96" s="365">
        <v>0</v>
      </c>
      <c r="L96" s="365"/>
      <c r="M96" s="365"/>
      <c r="N96" s="365"/>
      <c r="O96" s="365">
        <v>0</v>
      </c>
      <c r="P96" s="365">
        <v>0</v>
      </c>
      <c r="Q96" s="366">
        <f t="shared" si="4"/>
        <v>0</v>
      </c>
      <c r="R96" s="367" t="str">
        <f t="shared" si="5"/>
        <v>SI</v>
      </c>
      <c r="S96" s="367" t="str">
        <f t="shared" si="6"/>
        <v>Sin Riesgo</v>
      </c>
    </row>
    <row r="97" spans="1:19" s="56" customFormat="1" ht="32.1" customHeight="1" x14ac:dyDescent="0.2">
      <c r="A97" s="361" t="s">
        <v>130</v>
      </c>
      <c r="B97" s="363" t="s">
        <v>999</v>
      </c>
      <c r="C97" s="362" t="s">
        <v>3645</v>
      </c>
      <c r="D97" s="364">
        <v>164</v>
      </c>
      <c r="E97" s="365"/>
      <c r="F97" s="365"/>
      <c r="G97" s="365"/>
      <c r="H97" s="365"/>
      <c r="I97" s="365"/>
      <c r="J97" s="365">
        <v>97.3</v>
      </c>
      <c r="K97" s="365"/>
      <c r="L97" s="365"/>
      <c r="M97" s="365"/>
      <c r="N97" s="365"/>
      <c r="O97" s="365">
        <v>97.3</v>
      </c>
      <c r="P97" s="365"/>
      <c r="Q97" s="366">
        <f t="shared" si="4"/>
        <v>97.3</v>
      </c>
      <c r="R97" s="367" t="str">
        <f t="shared" si="5"/>
        <v>NO</v>
      </c>
      <c r="S97" s="367" t="str">
        <f t="shared" si="6"/>
        <v>Inviable Sanitariamente</v>
      </c>
    </row>
    <row r="98" spans="1:19" s="56" customFormat="1" ht="32.1" customHeight="1" x14ac:dyDescent="0.2">
      <c r="A98" s="361" t="s">
        <v>130</v>
      </c>
      <c r="B98" s="363" t="s">
        <v>3646</v>
      </c>
      <c r="C98" s="362" t="s">
        <v>3647</v>
      </c>
      <c r="D98" s="364">
        <v>62</v>
      </c>
      <c r="E98" s="365"/>
      <c r="F98" s="365"/>
      <c r="G98" s="365"/>
      <c r="H98" s="365"/>
      <c r="I98" s="365"/>
      <c r="J98" s="365"/>
      <c r="K98" s="365"/>
      <c r="L98" s="365"/>
      <c r="M98" s="365"/>
      <c r="N98" s="365"/>
      <c r="O98" s="365">
        <v>97.3</v>
      </c>
      <c r="P98" s="365"/>
      <c r="Q98" s="366">
        <f t="shared" si="4"/>
        <v>97.3</v>
      </c>
      <c r="R98" s="367" t="str">
        <f t="shared" si="5"/>
        <v>NO</v>
      </c>
      <c r="S98" s="367" t="str">
        <f t="shared" si="6"/>
        <v>Inviable Sanitariamente</v>
      </c>
    </row>
    <row r="99" spans="1:19" s="56" customFormat="1" ht="32.1" customHeight="1" x14ac:dyDescent="0.2">
      <c r="A99" s="361" t="s">
        <v>130</v>
      </c>
      <c r="B99" s="363" t="s">
        <v>3648</v>
      </c>
      <c r="C99" s="363" t="s">
        <v>3649</v>
      </c>
      <c r="D99" s="364">
        <v>44</v>
      </c>
      <c r="E99" s="365"/>
      <c r="F99" s="365"/>
      <c r="G99" s="365"/>
      <c r="H99" s="365"/>
      <c r="I99" s="365">
        <v>97.3</v>
      </c>
      <c r="J99" s="365"/>
      <c r="K99" s="365"/>
      <c r="L99" s="365"/>
      <c r="M99" s="365"/>
      <c r="N99" s="365"/>
      <c r="O99" s="365"/>
      <c r="P99" s="365"/>
      <c r="Q99" s="366">
        <f t="shared" si="4"/>
        <v>97.3</v>
      </c>
      <c r="R99" s="367" t="str">
        <f t="shared" si="5"/>
        <v>NO</v>
      </c>
      <c r="S99" s="367" t="str">
        <f t="shared" si="6"/>
        <v>Inviable Sanitariamente</v>
      </c>
    </row>
    <row r="100" spans="1:19" s="56" customFormat="1" ht="32.1" customHeight="1" x14ac:dyDescent="0.2">
      <c r="A100" s="361" t="s">
        <v>130</v>
      </c>
      <c r="B100" s="363" t="s">
        <v>3650</v>
      </c>
      <c r="C100" s="363" t="s">
        <v>3651</v>
      </c>
      <c r="D100" s="364"/>
      <c r="E100" s="365"/>
      <c r="F100" s="365"/>
      <c r="G100" s="365"/>
      <c r="H100" s="365"/>
      <c r="I100" s="365"/>
      <c r="J100" s="365"/>
      <c r="K100" s="365"/>
      <c r="L100" s="365"/>
      <c r="M100" s="365"/>
      <c r="N100" s="365"/>
      <c r="O100" s="365"/>
      <c r="P100" s="365"/>
      <c r="Q100" s="366" t="e">
        <f t="shared" si="4"/>
        <v>#DIV/0!</v>
      </c>
      <c r="R100" s="367" t="e">
        <f t="shared" si="5"/>
        <v>#DIV/0!</v>
      </c>
      <c r="S100" s="367" t="e">
        <f t="shared" si="6"/>
        <v>#DIV/0!</v>
      </c>
    </row>
    <row r="101" spans="1:19" s="56" customFormat="1" ht="32.1" customHeight="1" x14ac:dyDescent="0.2">
      <c r="A101" s="361" t="s">
        <v>130</v>
      </c>
      <c r="B101" s="363" t="s">
        <v>3652</v>
      </c>
      <c r="C101" s="362" t="s">
        <v>3653</v>
      </c>
      <c r="D101" s="364">
        <v>98</v>
      </c>
      <c r="E101" s="365"/>
      <c r="F101" s="365"/>
      <c r="G101" s="365"/>
      <c r="H101" s="365">
        <v>26.5</v>
      </c>
      <c r="I101" s="365"/>
      <c r="J101" s="365"/>
      <c r="K101" s="365"/>
      <c r="L101" s="365"/>
      <c r="M101" s="365"/>
      <c r="N101" s="365"/>
      <c r="O101" s="365"/>
      <c r="P101" s="365"/>
      <c r="Q101" s="366">
        <f t="shared" si="4"/>
        <v>26.5</v>
      </c>
      <c r="R101" s="367" t="str">
        <f t="shared" si="5"/>
        <v>NO</v>
      </c>
      <c r="S101" s="367" t="str">
        <f t="shared" si="6"/>
        <v>Medio</v>
      </c>
    </row>
    <row r="102" spans="1:19" s="56" customFormat="1" ht="32.1" customHeight="1" x14ac:dyDescent="0.2">
      <c r="A102" s="361" t="s">
        <v>130</v>
      </c>
      <c r="B102" s="363" t="s">
        <v>3654</v>
      </c>
      <c r="C102" s="362" t="s">
        <v>3655</v>
      </c>
      <c r="D102" s="364"/>
      <c r="E102" s="365"/>
      <c r="F102" s="365"/>
      <c r="G102" s="365"/>
      <c r="H102" s="365"/>
      <c r="I102" s="365"/>
      <c r="J102" s="365"/>
      <c r="K102" s="365"/>
      <c r="L102" s="365"/>
      <c r="M102" s="365"/>
      <c r="N102" s="365"/>
      <c r="O102" s="365"/>
      <c r="P102" s="365"/>
      <c r="Q102" s="366" t="e">
        <f t="shared" si="4"/>
        <v>#DIV/0!</v>
      </c>
      <c r="R102" s="367" t="e">
        <f t="shared" si="5"/>
        <v>#DIV/0!</v>
      </c>
      <c r="S102" s="367" t="e">
        <f t="shared" si="6"/>
        <v>#DIV/0!</v>
      </c>
    </row>
    <row r="103" spans="1:19" s="56" customFormat="1" ht="32.1" customHeight="1" x14ac:dyDescent="0.2">
      <c r="A103" s="361" t="s">
        <v>130</v>
      </c>
      <c r="B103" s="363" t="s">
        <v>783</v>
      </c>
      <c r="C103" s="363" t="s">
        <v>3656</v>
      </c>
      <c r="D103" s="364">
        <v>38</v>
      </c>
      <c r="E103" s="365"/>
      <c r="F103" s="365"/>
      <c r="G103" s="365"/>
      <c r="H103" s="365"/>
      <c r="I103" s="365">
        <v>97.3</v>
      </c>
      <c r="J103" s="365"/>
      <c r="K103" s="365"/>
      <c r="L103" s="365"/>
      <c r="M103" s="365"/>
      <c r="N103" s="365"/>
      <c r="O103" s="365"/>
      <c r="P103" s="365"/>
      <c r="Q103" s="366">
        <f t="shared" si="4"/>
        <v>97.3</v>
      </c>
      <c r="R103" s="367" t="str">
        <f t="shared" si="5"/>
        <v>NO</v>
      </c>
      <c r="S103" s="367" t="str">
        <f t="shared" si="6"/>
        <v>Inviable Sanitariamente</v>
      </c>
    </row>
    <row r="104" spans="1:19" s="56" customFormat="1" ht="32.1" customHeight="1" x14ac:dyDescent="0.2">
      <c r="A104" s="361" t="s">
        <v>130</v>
      </c>
      <c r="B104" s="363" t="s">
        <v>3657</v>
      </c>
      <c r="C104" s="363" t="s">
        <v>3658</v>
      </c>
      <c r="D104" s="364">
        <v>20</v>
      </c>
      <c r="E104" s="365"/>
      <c r="F104" s="365"/>
      <c r="G104" s="365"/>
      <c r="H104" s="365"/>
      <c r="I104" s="365"/>
      <c r="J104" s="365"/>
      <c r="K104" s="365"/>
      <c r="L104" s="365"/>
      <c r="M104" s="365"/>
      <c r="N104" s="365"/>
      <c r="O104" s="365">
        <v>53.1</v>
      </c>
      <c r="P104" s="365"/>
      <c r="Q104" s="366">
        <f t="shared" si="4"/>
        <v>53.1</v>
      </c>
      <c r="R104" s="367" t="str">
        <f t="shared" si="5"/>
        <v>NO</v>
      </c>
      <c r="S104" s="367" t="str">
        <f t="shared" si="6"/>
        <v>Alto</v>
      </c>
    </row>
    <row r="105" spans="1:19" s="56" customFormat="1" ht="32.1" customHeight="1" x14ac:dyDescent="0.2">
      <c r="A105" s="361" t="s">
        <v>130</v>
      </c>
      <c r="B105" s="363" t="s">
        <v>3659</v>
      </c>
      <c r="C105" s="363" t="s">
        <v>3660</v>
      </c>
      <c r="D105" s="364"/>
      <c r="E105" s="365"/>
      <c r="F105" s="365"/>
      <c r="G105" s="365"/>
      <c r="H105" s="365"/>
      <c r="I105" s="365"/>
      <c r="J105" s="365"/>
      <c r="K105" s="365"/>
      <c r="L105" s="365"/>
      <c r="M105" s="365"/>
      <c r="N105" s="365"/>
      <c r="O105" s="365"/>
      <c r="P105" s="365"/>
      <c r="Q105" s="366" t="e">
        <f t="shared" si="4"/>
        <v>#DIV/0!</v>
      </c>
      <c r="R105" s="367" t="e">
        <f t="shared" si="5"/>
        <v>#DIV/0!</v>
      </c>
      <c r="S105" s="367" t="e">
        <f t="shared" si="6"/>
        <v>#DIV/0!</v>
      </c>
    </row>
    <row r="106" spans="1:19" s="56" customFormat="1" ht="32.1" customHeight="1" x14ac:dyDescent="0.2">
      <c r="A106" s="361" t="s">
        <v>130</v>
      </c>
      <c r="B106" s="363" t="s">
        <v>62</v>
      </c>
      <c r="C106" s="363" t="s">
        <v>3661</v>
      </c>
      <c r="D106" s="364">
        <v>20</v>
      </c>
      <c r="E106" s="365"/>
      <c r="F106" s="365"/>
      <c r="G106" s="365"/>
      <c r="H106" s="365"/>
      <c r="I106" s="365"/>
      <c r="J106" s="365"/>
      <c r="K106" s="365"/>
      <c r="L106" s="365">
        <v>97.3</v>
      </c>
      <c r="M106" s="365"/>
      <c r="N106" s="365"/>
      <c r="O106" s="365"/>
      <c r="P106" s="365"/>
      <c r="Q106" s="366">
        <f t="shared" si="4"/>
        <v>97.3</v>
      </c>
      <c r="R106" s="367" t="str">
        <f t="shared" si="5"/>
        <v>NO</v>
      </c>
      <c r="S106" s="367" t="str">
        <f t="shared" si="6"/>
        <v>Inviable Sanitariamente</v>
      </c>
    </row>
    <row r="107" spans="1:19" s="56" customFormat="1" ht="32.1" customHeight="1" x14ac:dyDescent="0.2">
      <c r="A107" s="361" t="s">
        <v>130</v>
      </c>
      <c r="B107" s="363" t="s">
        <v>1812</v>
      </c>
      <c r="C107" s="363" t="s">
        <v>3662</v>
      </c>
      <c r="D107" s="364">
        <v>18</v>
      </c>
      <c r="E107" s="365"/>
      <c r="F107" s="365"/>
      <c r="G107" s="365"/>
      <c r="H107" s="365"/>
      <c r="I107" s="365"/>
      <c r="J107" s="365"/>
      <c r="K107" s="365"/>
      <c r="L107" s="365"/>
      <c r="M107" s="365"/>
      <c r="N107" s="365"/>
      <c r="O107" s="365">
        <v>53.1</v>
      </c>
      <c r="P107" s="365"/>
      <c r="Q107" s="366">
        <f t="shared" si="4"/>
        <v>53.1</v>
      </c>
      <c r="R107" s="367" t="str">
        <f t="shared" si="5"/>
        <v>NO</v>
      </c>
      <c r="S107" s="367" t="str">
        <f t="shared" si="6"/>
        <v>Alto</v>
      </c>
    </row>
    <row r="108" spans="1:19" s="56" customFormat="1" ht="32.1" customHeight="1" x14ac:dyDescent="0.2">
      <c r="A108" s="361" t="s">
        <v>130</v>
      </c>
      <c r="B108" s="363" t="s">
        <v>43</v>
      </c>
      <c r="C108" s="363" t="s">
        <v>3663</v>
      </c>
      <c r="D108" s="364">
        <v>22</v>
      </c>
      <c r="E108" s="365"/>
      <c r="F108" s="365"/>
      <c r="G108" s="365">
        <v>97.3</v>
      </c>
      <c r="H108" s="365"/>
      <c r="I108" s="365"/>
      <c r="J108" s="365"/>
      <c r="K108" s="365"/>
      <c r="L108" s="365"/>
      <c r="M108" s="365"/>
      <c r="N108" s="365"/>
      <c r="O108" s="365"/>
      <c r="P108" s="365"/>
      <c r="Q108" s="366">
        <f t="shared" ref="Q108:Q139" si="7">AVERAGE(E108:P108)</f>
        <v>97.3</v>
      </c>
      <c r="R108" s="367" t="str">
        <f t="shared" si="5"/>
        <v>NO</v>
      </c>
      <c r="S108" s="367" t="str">
        <f t="shared" si="6"/>
        <v>Inviable Sanitariamente</v>
      </c>
    </row>
    <row r="109" spans="1:19" s="56" customFormat="1" ht="32.1" customHeight="1" x14ac:dyDescent="0.2">
      <c r="A109" s="361" t="s">
        <v>130</v>
      </c>
      <c r="B109" s="363" t="s">
        <v>77</v>
      </c>
      <c r="C109" s="363" t="s">
        <v>3664</v>
      </c>
      <c r="D109" s="364">
        <v>38</v>
      </c>
      <c r="E109" s="365"/>
      <c r="F109" s="365"/>
      <c r="G109" s="365"/>
      <c r="H109" s="365">
        <v>97.3</v>
      </c>
      <c r="I109" s="365"/>
      <c r="J109" s="365"/>
      <c r="K109" s="365"/>
      <c r="L109" s="365"/>
      <c r="M109" s="365"/>
      <c r="N109" s="365"/>
      <c r="O109" s="365"/>
      <c r="P109" s="365"/>
      <c r="Q109" s="366">
        <f t="shared" si="7"/>
        <v>97.3</v>
      </c>
      <c r="R109" s="367" t="str">
        <f t="shared" si="5"/>
        <v>NO</v>
      </c>
      <c r="S109" s="367" t="str">
        <f t="shared" si="6"/>
        <v>Inviable Sanitariamente</v>
      </c>
    </row>
    <row r="110" spans="1:19" s="56" customFormat="1" ht="32.1" customHeight="1" x14ac:dyDescent="0.2">
      <c r="A110" s="361" t="s">
        <v>130</v>
      </c>
      <c r="B110" s="363" t="s">
        <v>3665</v>
      </c>
      <c r="C110" s="363" t="s">
        <v>3666</v>
      </c>
      <c r="D110" s="364"/>
      <c r="E110" s="365"/>
      <c r="F110" s="365"/>
      <c r="G110" s="365"/>
      <c r="H110" s="365"/>
      <c r="I110" s="365"/>
      <c r="J110" s="365"/>
      <c r="K110" s="365"/>
      <c r="L110" s="365"/>
      <c r="M110" s="365"/>
      <c r="N110" s="365"/>
      <c r="O110" s="365"/>
      <c r="P110" s="365"/>
      <c r="Q110" s="366" t="e">
        <f t="shared" si="7"/>
        <v>#DIV/0!</v>
      </c>
      <c r="R110" s="367" t="e">
        <f t="shared" si="5"/>
        <v>#DIV/0!</v>
      </c>
      <c r="S110" s="367" t="e">
        <f t="shared" si="6"/>
        <v>#DIV/0!</v>
      </c>
    </row>
    <row r="111" spans="1:19" s="56" customFormat="1" ht="32.1" customHeight="1" x14ac:dyDescent="0.2">
      <c r="A111" s="361" t="s">
        <v>130</v>
      </c>
      <c r="B111" s="363" t="s">
        <v>3667</v>
      </c>
      <c r="C111" s="363" t="s">
        <v>3668</v>
      </c>
      <c r="D111" s="364">
        <v>115</v>
      </c>
      <c r="E111" s="365"/>
      <c r="F111" s="365"/>
      <c r="G111" s="365"/>
      <c r="H111" s="365"/>
      <c r="I111" s="365"/>
      <c r="J111" s="365"/>
      <c r="K111" s="365"/>
      <c r="L111" s="365"/>
      <c r="M111" s="365"/>
      <c r="N111" s="365"/>
      <c r="O111" s="365">
        <v>97.3</v>
      </c>
      <c r="P111" s="365"/>
      <c r="Q111" s="366">
        <f t="shared" si="7"/>
        <v>97.3</v>
      </c>
      <c r="R111" s="367" t="str">
        <f t="shared" si="5"/>
        <v>NO</v>
      </c>
      <c r="S111" s="367" t="str">
        <f t="shared" si="6"/>
        <v>Inviable Sanitariamente</v>
      </c>
    </row>
    <row r="112" spans="1:19" s="56" customFormat="1" ht="32.1" customHeight="1" x14ac:dyDescent="0.2">
      <c r="A112" s="361" t="s">
        <v>130</v>
      </c>
      <c r="B112" s="363" t="s">
        <v>235</v>
      </c>
      <c r="C112" s="363" t="s">
        <v>3669</v>
      </c>
      <c r="D112" s="364"/>
      <c r="E112" s="365"/>
      <c r="F112" s="365"/>
      <c r="G112" s="365"/>
      <c r="H112" s="365"/>
      <c r="I112" s="365"/>
      <c r="J112" s="365"/>
      <c r="K112" s="365"/>
      <c r="L112" s="365"/>
      <c r="M112" s="365"/>
      <c r="N112" s="365"/>
      <c r="O112" s="365"/>
      <c r="P112" s="365"/>
      <c r="Q112" s="366" t="e">
        <f t="shared" si="7"/>
        <v>#DIV/0!</v>
      </c>
      <c r="R112" s="367" t="e">
        <f t="shared" si="5"/>
        <v>#DIV/0!</v>
      </c>
      <c r="S112" s="367" t="e">
        <f t="shared" si="6"/>
        <v>#DIV/0!</v>
      </c>
    </row>
    <row r="113" spans="1:19" s="56" customFormat="1" ht="32.1" customHeight="1" x14ac:dyDescent="0.2">
      <c r="A113" s="361" t="s">
        <v>130</v>
      </c>
      <c r="B113" s="363" t="s">
        <v>3670</v>
      </c>
      <c r="C113" s="363" t="s">
        <v>3671</v>
      </c>
      <c r="D113" s="364">
        <v>21</v>
      </c>
      <c r="E113" s="365"/>
      <c r="F113" s="365"/>
      <c r="G113" s="365"/>
      <c r="H113" s="365"/>
      <c r="I113" s="365"/>
      <c r="J113" s="365"/>
      <c r="K113" s="365"/>
      <c r="L113" s="365"/>
      <c r="M113" s="365"/>
      <c r="N113" s="365"/>
      <c r="O113" s="365"/>
      <c r="P113" s="365">
        <v>96.4</v>
      </c>
      <c r="Q113" s="366">
        <f t="shared" si="7"/>
        <v>96.4</v>
      </c>
      <c r="R113" s="367" t="str">
        <f t="shared" si="5"/>
        <v>NO</v>
      </c>
      <c r="S113" s="367" t="str">
        <f t="shared" si="6"/>
        <v>Inviable Sanitariamente</v>
      </c>
    </row>
    <row r="114" spans="1:19" s="56" customFormat="1" ht="32.1" customHeight="1" x14ac:dyDescent="0.2">
      <c r="A114" s="361" t="s">
        <v>130</v>
      </c>
      <c r="B114" s="363" t="s">
        <v>3672</v>
      </c>
      <c r="C114" s="363" t="s">
        <v>3673</v>
      </c>
      <c r="D114" s="364">
        <v>16</v>
      </c>
      <c r="E114" s="365"/>
      <c r="F114" s="365"/>
      <c r="G114" s="365"/>
      <c r="H114" s="365"/>
      <c r="I114" s="365"/>
      <c r="J114" s="365"/>
      <c r="K114" s="365"/>
      <c r="L114" s="365"/>
      <c r="M114" s="365">
        <v>53.1</v>
      </c>
      <c r="N114" s="365"/>
      <c r="O114" s="365"/>
      <c r="P114" s="365"/>
      <c r="Q114" s="366">
        <f t="shared" si="7"/>
        <v>53.1</v>
      </c>
      <c r="R114" s="367" t="str">
        <f t="shared" si="5"/>
        <v>NO</v>
      </c>
      <c r="S114" s="367" t="str">
        <f t="shared" si="6"/>
        <v>Alto</v>
      </c>
    </row>
    <row r="115" spans="1:19" s="56" customFormat="1" ht="32.1" customHeight="1" x14ac:dyDescent="0.2">
      <c r="A115" s="361" t="s">
        <v>130</v>
      </c>
      <c r="B115" s="363" t="s">
        <v>3674</v>
      </c>
      <c r="C115" s="362" t="s">
        <v>3675</v>
      </c>
      <c r="D115" s="364"/>
      <c r="E115" s="365"/>
      <c r="F115" s="365"/>
      <c r="G115" s="365"/>
      <c r="H115" s="365"/>
      <c r="I115" s="365"/>
      <c r="J115" s="365"/>
      <c r="K115" s="365"/>
      <c r="L115" s="365"/>
      <c r="M115" s="365"/>
      <c r="N115" s="365"/>
      <c r="O115" s="365"/>
      <c r="P115" s="365"/>
      <c r="Q115" s="366" t="e">
        <f t="shared" si="7"/>
        <v>#DIV/0!</v>
      </c>
      <c r="R115" s="367" t="e">
        <f t="shared" si="5"/>
        <v>#DIV/0!</v>
      </c>
      <c r="S115" s="367" t="e">
        <f t="shared" si="6"/>
        <v>#DIV/0!</v>
      </c>
    </row>
    <row r="116" spans="1:19" s="56" customFormat="1" ht="32.1" customHeight="1" x14ac:dyDescent="0.2">
      <c r="A116" s="361" t="s">
        <v>130</v>
      </c>
      <c r="B116" s="363" t="s">
        <v>3676</v>
      </c>
      <c r="C116" s="362" t="s">
        <v>3677</v>
      </c>
      <c r="D116" s="364"/>
      <c r="E116" s="365"/>
      <c r="F116" s="365"/>
      <c r="G116" s="365"/>
      <c r="H116" s="365"/>
      <c r="I116" s="365"/>
      <c r="J116" s="365"/>
      <c r="K116" s="365"/>
      <c r="L116" s="365"/>
      <c r="M116" s="365"/>
      <c r="N116" s="365"/>
      <c r="O116" s="365"/>
      <c r="P116" s="365"/>
      <c r="Q116" s="366" t="e">
        <f t="shared" si="7"/>
        <v>#DIV/0!</v>
      </c>
      <c r="R116" s="367" t="e">
        <f t="shared" si="5"/>
        <v>#DIV/0!</v>
      </c>
      <c r="S116" s="367" t="e">
        <f t="shared" si="6"/>
        <v>#DIV/0!</v>
      </c>
    </row>
    <row r="117" spans="1:19" s="56" customFormat="1" ht="32.1" customHeight="1" x14ac:dyDescent="0.2">
      <c r="A117" s="361" t="s">
        <v>130</v>
      </c>
      <c r="B117" s="363" t="s">
        <v>3678</v>
      </c>
      <c r="C117" s="363" t="s">
        <v>3679</v>
      </c>
      <c r="D117" s="364">
        <v>18</v>
      </c>
      <c r="E117" s="365"/>
      <c r="F117" s="365"/>
      <c r="G117" s="365"/>
      <c r="H117" s="365"/>
      <c r="I117" s="365"/>
      <c r="J117" s="365"/>
      <c r="K117" s="365"/>
      <c r="L117" s="365"/>
      <c r="M117" s="365"/>
      <c r="N117" s="365"/>
      <c r="O117" s="365">
        <v>53.1</v>
      </c>
      <c r="P117" s="365"/>
      <c r="Q117" s="366">
        <f t="shared" si="7"/>
        <v>53.1</v>
      </c>
      <c r="R117" s="367" t="str">
        <f t="shared" si="5"/>
        <v>NO</v>
      </c>
      <c r="S117" s="367" t="str">
        <f t="shared" si="6"/>
        <v>Alto</v>
      </c>
    </row>
    <row r="118" spans="1:19" s="190" customFormat="1" ht="32.1" customHeight="1" x14ac:dyDescent="0.2">
      <c r="A118" s="361" t="s">
        <v>131</v>
      </c>
      <c r="B118" s="362" t="s">
        <v>3680</v>
      </c>
      <c r="C118" s="362" t="s">
        <v>3681</v>
      </c>
      <c r="D118" s="364">
        <v>17</v>
      </c>
      <c r="E118" s="365"/>
      <c r="F118" s="365">
        <v>0</v>
      </c>
      <c r="G118" s="365"/>
      <c r="H118" s="365"/>
      <c r="I118" s="365"/>
      <c r="J118" s="365"/>
      <c r="K118" s="365"/>
      <c r="L118" s="365"/>
      <c r="M118" s="365"/>
      <c r="N118" s="365"/>
      <c r="O118" s="365"/>
      <c r="P118" s="365"/>
      <c r="Q118" s="366">
        <f t="shared" si="7"/>
        <v>0</v>
      </c>
      <c r="R118" s="367" t="str">
        <f t="shared" si="5"/>
        <v>SI</v>
      </c>
      <c r="S118" s="367" t="str">
        <f t="shared" si="6"/>
        <v>Sin Riesgo</v>
      </c>
    </row>
    <row r="119" spans="1:19" s="190" customFormat="1" ht="32.1" customHeight="1" x14ac:dyDescent="0.2">
      <c r="A119" s="361" t="s">
        <v>131</v>
      </c>
      <c r="B119" s="362" t="s">
        <v>3682</v>
      </c>
      <c r="C119" s="362" t="s">
        <v>3683</v>
      </c>
      <c r="D119" s="364">
        <v>23</v>
      </c>
      <c r="E119" s="365"/>
      <c r="F119" s="365"/>
      <c r="G119" s="365"/>
      <c r="H119" s="365"/>
      <c r="I119" s="365"/>
      <c r="J119" s="365"/>
      <c r="K119" s="365"/>
      <c r="L119" s="365"/>
      <c r="M119" s="365"/>
      <c r="N119" s="365"/>
      <c r="O119" s="365"/>
      <c r="P119" s="365"/>
      <c r="Q119" s="366" t="e">
        <f t="shared" si="7"/>
        <v>#DIV/0!</v>
      </c>
      <c r="R119" s="367" t="e">
        <f t="shared" si="5"/>
        <v>#DIV/0!</v>
      </c>
      <c r="S119" s="367" t="e">
        <f t="shared" si="6"/>
        <v>#DIV/0!</v>
      </c>
    </row>
    <row r="120" spans="1:19" s="190" customFormat="1" ht="32.1" customHeight="1" x14ac:dyDescent="0.2">
      <c r="A120" s="361" t="s">
        <v>131</v>
      </c>
      <c r="B120" s="362" t="s">
        <v>1279</v>
      </c>
      <c r="C120" s="362" t="s">
        <v>3684</v>
      </c>
      <c r="D120" s="364">
        <v>27</v>
      </c>
      <c r="E120" s="365">
        <v>0</v>
      </c>
      <c r="F120" s="365">
        <v>0</v>
      </c>
      <c r="G120" s="365">
        <v>0</v>
      </c>
      <c r="H120" s="365">
        <v>0</v>
      </c>
      <c r="I120" s="365"/>
      <c r="J120" s="365">
        <v>0</v>
      </c>
      <c r="K120" s="365"/>
      <c r="L120" s="365"/>
      <c r="M120" s="365"/>
      <c r="N120" s="365"/>
      <c r="O120" s="365"/>
      <c r="P120" s="365"/>
      <c r="Q120" s="366">
        <f t="shared" si="7"/>
        <v>0</v>
      </c>
      <c r="R120" s="367" t="str">
        <f t="shared" si="5"/>
        <v>SI</v>
      </c>
      <c r="S120" s="367" t="str">
        <f t="shared" si="6"/>
        <v>Sin Riesgo</v>
      </c>
    </row>
    <row r="121" spans="1:19" s="190" customFormat="1" ht="32.1" customHeight="1" x14ac:dyDescent="0.2">
      <c r="A121" s="361" t="s">
        <v>131</v>
      </c>
      <c r="B121" s="362" t="s">
        <v>3685</v>
      </c>
      <c r="C121" s="362" t="s">
        <v>3686</v>
      </c>
      <c r="D121" s="364">
        <v>25</v>
      </c>
      <c r="E121" s="365"/>
      <c r="F121" s="365"/>
      <c r="G121" s="365"/>
      <c r="H121" s="365"/>
      <c r="I121" s="365"/>
      <c r="J121" s="365"/>
      <c r="K121" s="365"/>
      <c r="L121" s="365"/>
      <c r="M121" s="365"/>
      <c r="N121" s="365"/>
      <c r="O121" s="365"/>
      <c r="P121" s="365"/>
      <c r="Q121" s="366" t="e">
        <f t="shared" si="7"/>
        <v>#DIV/0!</v>
      </c>
      <c r="R121" s="367" t="e">
        <f t="shared" si="5"/>
        <v>#DIV/0!</v>
      </c>
      <c r="S121" s="367" t="e">
        <f t="shared" si="6"/>
        <v>#DIV/0!</v>
      </c>
    </row>
    <row r="122" spans="1:19" s="190" customFormat="1" ht="32.1" customHeight="1" x14ac:dyDescent="0.2">
      <c r="A122" s="361" t="s">
        <v>131</v>
      </c>
      <c r="B122" s="362" t="s">
        <v>3687</v>
      </c>
      <c r="C122" s="362" t="s">
        <v>3688</v>
      </c>
      <c r="D122" s="364">
        <v>57</v>
      </c>
      <c r="E122" s="365"/>
      <c r="F122" s="365"/>
      <c r="G122" s="365"/>
      <c r="H122" s="365"/>
      <c r="I122" s="365"/>
      <c r="J122" s="365">
        <v>97.34</v>
      </c>
      <c r="K122" s="365"/>
      <c r="L122" s="365"/>
      <c r="M122" s="365"/>
      <c r="N122" s="365"/>
      <c r="O122" s="365"/>
      <c r="P122" s="365"/>
      <c r="Q122" s="366">
        <f t="shared" si="7"/>
        <v>97.34</v>
      </c>
      <c r="R122" s="367" t="str">
        <f t="shared" si="5"/>
        <v>NO</v>
      </c>
      <c r="S122" s="367" t="str">
        <f t="shared" si="6"/>
        <v>Inviable Sanitariamente</v>
      </c>
    </row>
    <row r="123" spans="1:19" s="190" customFormat="1" ht="32.1" customHeight="1" x14ac:dyDescent="0.2">
      <c r="A123" s="361" t="s">
        <v>131</v>
      </c>
      <c r="B123" s="362" t="s">
        <v>3689</v>
      </c>
      <c r="C123" s="362" t="s">
        <v>3690</v>
      </c>
      <c r="D123" s="364">
        <v>147</v>
      </c>
      <c r="E123" s="365"/>
      <c r="F123" s="365"/>
      <c r="G123" s="365">
        <v>97.34</v>
      </c>
      <c r="H123" s="365"/>
      <c r="I123" s="365"/>
      <c r="J123" s="365"/>
      <c r="K123" s="365"/>
      <c r="L123" s="365"/>
      <c r="M123" s="365"/>
      <c r="N123" s="365"/>
      <c r="O123" s="365"/>
      <c r="P123" s="365"/>
      <c r="Q123" s="366">
        <f t="shared" si="7"/>
        <v>97.34</v>
      </c>
      <c r="R123" s="367" t="str">
        <f t="shared" si="5"/>
        <v>NO</v>
      </c>
      <c r="S123" s="367" t="str">
        <f t="shared" si="6"/>
        <v>Inviable Sanitariamente</v>
      </c>
    </row>
    <row r="124" spans="1:19" s="190" customFormat="1" ht="32.1" customHeight="1" x14ac:dyDescent="0.2">
      <c r="A124" s="361" t="s">
        <v>131</v>
      </c>
      <c r="B124" s="362" t="s">
        <v>3691</v>
      </c>
      <c r="C124" s="362" t="s">
        <v>3692</v>
      </c>
      <c r="D124" s="364">
        <v>60</v>
      </c>
      <c r="E124" s="365"/>
      <c r="F124" s="365"/>
      <c r="G124" s="365"/>
      <c r="H124" s="365"/>
      <c r="I124" s="365"/>
      <c r="J124" s="365"/>
      <c r="K124" s="365"/>
      <c r="L124" s="365"/>
      <c r="M124" s="365"/>
      <c r="N124" s="365"/>
      <c r="O124" s="365"/>
      <c r="P124" s="365"/>
      <c r="Q124" s="366" t="e">
        <f t="shared" si="7"/>
        <v>#DIV/0!</v>
      </c>
      <c r="R124" s="367" t="e">
        <f t="shared" si="5"/>
        <v>#DIV/0!</v>
      </c>
      <c r="S124" s="367" t="e">
        <f t="shared" si="6"/>
        <v>#DIV/0!</v>
      </c>
    </row>
    <row r="125" spans="1:19" s="190" customFormat="1" ht="32.1" customHeight="1" x14ac:dyDescent="0.2">
      <c r="A125" s="361" t="s">
        <v>131</v>
      </c>
      <c r="B125" s="362" t="s">
        <v>3693</v>
      </c>
      <c r="C125" s="362" t="s">
        <v>3694</v>
      </c>
      <c r="D125" s="364">
        <v>51</v>
      </c>
      <c r="E125" s="365"/>
      <c r="F125" s="365">
        <v>0</v>
      </c>
      <c r="G125" s="365"/>
      <c r="H125" s="365"/>
      <c r="I125" s="365">
        <v>0</v>
      </c>
      <c r="J125" s="365"/>
      <c r="K125" s="365"/>
      <c r="L125" s="365"/>
      <c r="M125" s="365"/>
      <c r="N125" s="365"/>
      <c r="O125" s="365"/>
      <c r="P125" s="365"/>
      <c r="Q125" s="366">
        <f t="shared" si="7"/>
        <v>0</v>
      </c>
      <c r="R125" s="367" t="str">
        <f t="shared" si="5"/>
        <v>SI</v>
      </c>
      <c r="S125" s="367" t="str">
        <f t="shared" si="6"/>
        <v>Sin Riesgo</v>
      </c>
    </row>
    <row r="126" spans="1:19" s="190" customFormat="1" ht="32.1" customHeight="1" x14ac:dyDescent="0.2">
      <c r="A126" s="361" t="s">
        <v>131</v>
      </c>
      <c r="B126" s="362" t="s">
        <v>3695</v>
      </c>
      <c r="C126" s="362" t="s">
        <v>3696</v>
      </c>
      <c r="D126" s="364">
        <v>17</v>
      </c>
      <c r="E126" s="365"/>
      <c r="F126" s="365"/>
      <c r="G126" s="365"/>
      <c r="H126" s="365"/>
      <c r="I126" s="365"/>
      <c r="J126" s="365"/>
      <c r="K126" s="365"/>
      <c r="L126" s="365"/>
      <c r="M126" s="365"/>
      <c r="N126" s="365"/>
      <c r="O126" s="365"/>
      <c r="P126" s="365"/>
      <c r="Q126" s="366" t="e">
        <f t="shared" si="7"/>
        <v>#DIV/0!</v>
      </c>
      <c r="R126" s="367" t="e">
        <f t="shared" si="5"/>
        <v>#DIV/0!</v>
      </c>
      <c r="S126" s="367" t="e">
        <f t="shared" si="6"/>
        <v>#DIV/0!</v>
      </c>
    </row>
    <row r="127" spans="1:19" s="190" customFormat="1" ht="32.1" customHeight="1" x14ac:dyDescent="0.2">
      <c r="A127" s="361" t="s">
        <v>131</v>
      </c>
      <c r="B127" s="362" t="s">
        <v>3697</v>
      </c>
      <c r="C127" s="362" t="s">
        <v>3698</v>
      </c>
      <c r="D127" s="364">
        <v>15</v>
      </c>
      <c r="E127" s="365"/>
      <c r="F127" s="365"/>
      <c r="G127" s="365"/>
      <c r="H127" s="365"/>
      <c r="I127" s="365"/>
      <c r="J127" s="365"/>
      <c r="K127" s="365"/>
      <c r="L127" s="365"/>
      <c r="M127" s="365"/>
      <c r="N127" s="365"/>
      <c r="O127" s="365"/>
      <c r="P127" s="365"/>
      <c r="Q127" s="366" t="e">
        <f t="shared" si="7"/>
        <v>#DIV/0!</v>
      </c>
      <c r="R127" s="367" t="e">
        <f t="shared" si="5"/>
        <v>#DIV/0!</v>
      </c>
      <c r="S127" s="367" t="e">
        <f t="shared" si="6"/>
        <v>#DIV/0!</v>
      </c>
    </row>
    <row r="128" spans="1:19" s="190" customFormat="1" ht="32.1" customHeight="1" x14ac:dyDescent="0.2">
      <c r="A128" s="361" t="s">
        <v>131</v>
      </c>
      <c r="B128" s="362" t="s">
        <v>3699</v>
      </c>
      <c r="C128" s="362" t="s">
        <v>3700</v>
      </c>
      <c r="D128" s="364">
        <v>37</v>
      </c>
      <c r="E128" s="365"/>
      <c r="F128" s="365">
        <v>97.34</v>
      </c>
      <c r="G128" s="365">
        <v>97.34</v>
      </c>
      <c r="H128" s="365"/>
      <c r="I128" s="365"/>
      <c r="J128" s="365">
        <v>97.34</v>
      </c>
      <c r="K128" s="365"/>
      <c r="L128" s="365"/>
      <c r="M128" s="365"/>
      <c r="N128" s="365"/>
      <c r="O128" s="365"/>
      <c r="P128" s="365"/>
      <c r="Q128" s="366">
        <f t="shared" si="7"/>
        <v>97.339999999999989</v>
      </c>
      <c r="R128" s="367" t="str">
        <f t="shared" si="5"/>
        <v>NO</v>
      </c>
      <c r="S128" s="367" t="str">
        <f t="shared" si="6"/>
        <v>Inviable Sanitariamente</v>
      </c>
    </row>
    <row r="129" spans="1:19" s="190" customFormat="1" ht="32.1" customHeight="1" x14ac:dyDescent="0.2">
      <c r="A129" s="361" t="s">
        <v>131</v>
      </c>
      <c r="B129" s="362" t="s">
        <v>3701</v>
      </c>
      <c r="C129" s="362" t="s">
        <v>3702</v>
      </c>
      <c r="D129" s="364">
        <v>15</v>
      </c>
      <c r="E129" s="365"/>
      <c r="F129" s="365"/>
      <c r="G129" s="365"/>
      <c r="H129" s="365"/>
      <c r="I129" s="365">
        <v>97.34</v>
      </c>
      <c r="J129" s="365"/>
      <c r="K129" s="365"/>
      <c r="L129" s="365"/>
      <c r="M129" s="365"/>
      <c r="N129" s="365"/>
      <c r="O129" s="365"/>
      <c r="P129" s="365"/>
      <c r="Q129" s="366">
        <f t="shared" si="7"/>
        <v>97.34</v>
      </c>
      <c r="R129" s="367" t="str">
        <f t="shared" si="5"/>
        <v>NO</v>
      </c>
      <c r="S129" s="367" t="str">
        <f t="shared" si="6"/>
        <v>Inviable Sanitariamente</v>
      </c>
    </row>
    <row r="130" spans="1:19" s="190" customFormat="1" ht="32.1" customHeight="1" x14ac:dyDescent="0.2">
      <c r="A130" s="361" t="s">
        <v>131</v>
      </c>
      <c r="B130" s="362" t="s">
        <v>1622</v>
      </c>
      <c r="C130" s="362" t="s">
        <v>3703</v>
      </c>
      <c r="D130" s="364">
        <v>15</v>
      </c>
      <c r="E130" s="365"/>
      <c r="F130" s="365">
        <v>0</v>
      </c>
      <c r="G130" s="365"/>
      <c r="H130" s="365"/>
      <c r="I130" s="365"/>
      <c r="J130" s="365"/>
      <c r="K130" s="365"/>
      <c r="L130" s="365"/>
      <c r="M130" s="365"/>
      <c r="N130" s="365"/>
      <c r="O130" s="365"/>
      <c r="P130" s="365">
        <v>0</v>
      </c>
      <c r="Q130" s="366">
        <f t="shared" si="7"/>
        <v>0</v>
      </c>
      <c r="R130" s="367" t="str">
        <f t="shared" si="5"/>
        <v>SI</v>
      </c>
      <c r="S130" s="367" t="str">
        <f t="shared" si="6"/>
        <v>Sin Riesgo</v>
      </c>
    </row>
    <row r="131" spans="1:19" s="190" customFormat="1" ht="32.1" customHeight="1" x14ac:dyDescent="0.2">
      <c r="A131" s="361" t="s">
        <v>131</v>
      </c>
      <c r="B131" s="362" t="s">
        <v>16</v>
      </c>
      <c r="C131" s="362" t="s">
        <v>3704</v>
      </c>
      <c r="D131" s="364">
        <v>22</v>
      </c>
      <c r="E131" s="365"/>
      <c r="F131" s="365">
        <v>97.34</v>
      </c>
      <c r="G131" s="365"/>
      <c r="H131" s="365"/>
      <c r="I131" s="365"/>
      <c r="J131" s="365"/>
      <c r="K131" s="365"/>
      <c r="L131" s="365"/>
      <c r="M131" s="365"/>
      <c r="N131" s="365"/>
      <c r="O131" s="365"/>
      <c r="P131" s="365">
        <v>97.34</v>
      </c>
      <c r="Q131" s="366">
        <f t="shared" si="7"/>
        <v>97.34</v>
      </c>
      <c r="R131" s="367" t="str">
        <f t="shared" si="5"/>
        <v>NO</v>
      </c>
      <c r="S131" s="367" t="str">
        <f t="shared" si="6"/>
        <v>Inviable Sanitariamente</v>
      </c>
    </row>
    <row r="132" spans="1:19" s="56" customFormat="1" ht="32.1" customHeight="1" x14ac:dyDescent="0.2">
      <c r="A132" s="361" t="s">
        <v>132</v>
      </c>
      <c r="B132" s="362" t="s">
        <v>3705</v>
      </c>
      <c r="C132" s="362" t="s">
        <v>3706</v>
      </c>
      <c r="D132" s="364">
        <v>158</v>
      </c>
      <c r="E132" s="365"/>
      <c r="F132" s="365">
        <v>97.4</v>
      </c>
      <c r="G132" s="365"/>
      <c r="H132" s="365"/>
      <c r="I132" s="365"/>
      <c r="J132" s="365"/>
      <c r="K132" s="365"/>
      <c r="L132" s="365"/>
      <c r="M132" s="365"/>
      <c r="N132" s="365"/>
      <c r="O132" s="365"/>
      <c r="P132" s="365"/>
      <c r="Q132" s="366">
        <f t="shared" si="7"/>
        <v>97.4</v>
      </c>
      <c r="R132" s="367" t="str">
        <f t="shared" si="5"/>
        <v>NO</v>
      </c>
      <c r="S132" s="367" t="str">
        <f t="shared" si="6"/>
        <v>Inviable Sanitariamente</v>
      </c>
    </row>
    <row r="133" spans="1:19" s="56" customFormat="1" ht="32.1" customHeight="1" x14ac:dyDescent="0.2">
      <c r="A133" s="361" t="s">
        <v>132</v>
      </c>
      <c r="B133" s="362" t="s">
        <v>3</v>
      </c>
      <c r="C133" s="362" t="s">
        <v>3707</v>
      </c>
      <c r="D133" s="364">
        <v>49</v>
      </c>
      <c r="E133" s="365"/>
      <c r="F133" s="365"/>
      <c r="G133" s="365"/>
      <c r="H133" s="365"/>
      <c r="I133" s="365"/>
      <c r="J133" s="365"/>
      <c r="K133" s="365"/>
      <c r="L133" s="365"/>
      <c r="M133" s="365"/>
      <c r="N133" s="365"/>
      <c r="O133" s="365"/>
      <c r="P133" s="365"/>
      <c r="Q133" s="366" t="e">
        <f t="shared" si="7"/>
        <v>#DIV/0!</v>
      </c>
      <c r="R133" s="367" t="e">
        <f t="shared" si="5"/>
        <v>#DIV/0!</v>
      </c>
      <c r="S133" s="367" t="e">
        <f t="shared" si="6"/>
        <v>#DIV/0!</v>
      </c>
    </row>
    <row r="134" spans="1:19" s="56" customFormat="1" ht="32.1" customHeight="1" x14ac:dyDescent="0.2">
      <c r="A134" s="361" t="s">
        <v>132</v>
      </c>
      <c r="B134" s="362" t="s">
        <v>3708</v>
      </c>
      <c r="C134" s="362" t="s">
        <v>3709</v>
      </c>
      <c r="D134" s="364">
        <v>20</v>
      </c>
      <c r="E134" s="365"/>
      <c r="F134" s="365"/>
      <c r="G134" s="365"/>
      <c r="H134" s="365"/>
      <c r="I134" s="365"/>
      <c r="J134" s="365"/>
      <c r="K134" s="365"/>
      <c r="L134" s="365"/>
      <c r="M134" s="365"/>
      <c r="N134" s="365"/>
      <c r="O134" s="365"/>
      <c r="P134" s="365"/>
      <c r="Q134" s="366" t="e">
        <f t="shared" si="7"/>
        <v>#DIV/0!</v>
      </c>
      <c r="R134" s="367" t="e">
        <f t="shared" si="5"/>
        <v>#DIV/0!</v>
      </c>
      <c r="S134" s="367" t="e">
        <f t="shared" si="6"/>
        <v>#DIV/0!</v>
      </c>
    </row>
    <row r="135" spans="1:19" s="56" customFormat="1" ht="32.1" customHeight="1" x14ac:dyDescent="0.2">
      <c r="A135" s="361" t="s">
        <v>132</v>
      </c>
      <c r="B135" s="362" t="s">
        <v>3710</v>
      </c>
      <c r="C135" s="362" t="s">
        <v>3711</v>
      </c>
      <c r="D135" s="364">
        <v>45</v>
      </c>
      <c r="E135" s="365"/>
      <c r="F135" s="365"/>
      <c r="G135" s="365"/>
      <c r="H135" s="365"/>
      <c r="I135" s="365"/>
      <c r="J135" s="365"/>
      <c r="K135" s="365"/>
      <c r="L135" s="365"/>
      <c r="M135" s="365"/>
      <c r="N135" s="365">
        <v>97.4</v>
      </c>
      <c r="O135" s="365"/>
      <c r="P135" s="365"/>
      <c r="Q135" s="366">
        <f t="shared" si="7"/>
        <v>97.4</v>
      </c>
      <c r="R135" s="367" t="str">
        <f t="shared" si="5"/>
        <v>NO</v>
      </c>
      <c r="S135" s="367" t="str">
        <f t="shared" si="6"/>
        <v>Inviable Sanitariamente</v>
      </c>
    </row>
    <row r="136" spans="1:19" s="56" customFormat="1" ht="32.1" customHeight="1" x14ac:dyDescent="0.2">
      <c r="A136" s="361" t="s">
        <v>132</v>
      </c>
      <c r="B136" s="362" t="s">
        <v>2559</v>
      </c>
      <c r="C136" s="362" t="s">
        <v>3712</v>
      </c>
      <c r="D136" s="364">
        <v>35</v>
      </c>
      <c r="E136" s="365"/>
      <c r="F136" s="365"/>
      <c r="G136" s="365"/>
      <c r="H136" s="365"/>
      <c r="I136" s="365"/>
      <c r="J136" s="365"/>
      <c r="K136" s="365"/>
      <c r="L136" s="365"/>
      <c r="M136" s="365"/>
      <c r="N136" s="365">
        <v>97.35</v>
      </c>
      <c r="O136" s="365"/>
      <c r="P136" s="365"/>
      <c r="Q136" s="366">
        <f t="shared" si="7"/>
        <v>97.35</v>
      </c>
      <c r="R136" s="367" t="str">
        <f t="shared" si="5"/>
        <v>NO</v>
      </c>
      <c r="S136" s="367" t="str">
        <f t="shared" si="6"/>
        <v>Inviable Sanitariamente</v>
      </c>
    </row>
    <row r="137" spans="1:19" s="56" customFormat="1" ht="32.1" customHeight="1" x14ac:dyDescent="0.2">
      <c r="A137" s="361" t="s">
        <v>132</v>
      </c>
      <c r="B137" s="362" t="s">
        <v>1786</v>
      </c>
      <c r="C137" s="362" t="s">
        <v>3713</v>
      </c>
      <c r="D137" s="364">
        <v>425</v>
      </c>
      <c r="E137" s="365"/>
      <c r="F137" s="365"/>
      <c r="G137" s="365"/>
      <c r="H137" s="365"/>
      <c r="I137" s="365"/>
      <c r="J137" s="365">
        <v>100</v>
      </c>
      <c r="K137" s="365"/>
      <c r="L137" s="365"/>
      <c r="M137" s="365"/>
      <c r="N137" s="365"/>
      <c r="O137" s="365"/>
      <c r="P137" s="365"/>
      <c r="Q137" s="366">
        <f t="shared" si="7"/>
        <v>100</v>
      </c>
      <c r="R137" s="367" t="str">
        <f t="shared" si="5"/>
        <v>NO</v>
      </c>
      <c r="S137" s="367" t="str">
        <f t="shared" si="6"/>
        <v>Inviable Sanitariamente</v>
      </c>
    </row>
    <row r="138" spans="1:19" s="56" customFormat="1" ht="32.1" customHeight="1" x14ac:dyDescent="0.2">
      <c r="A138" s="361" t="s">
        <v>132</v>
      </c>
      <c r="B138" s="362" t="s">
        <v>2559</v>
      </c>
      <c r="C138" s="362" t="s">
        <v>3714</v>
      </c>
      <c r="D138" s="364">
        <v>103</v>
      </c>
      <c r="E138" s="365"/>
      <c r="F138" s="365"/>
      <c r="G138" s="365">
        <v>97.3</v>
      </c>
      <c r="H138" s="365"/>
      <c r="I138" s="365"/>
      <c r="J138" s="365"/>
      <c r="K138" s="365"/>
      <c r="L138" s="365"/>
      <c r="M138" s="365"/>
      <c r="N138" s="365"/>
      <c r="O138" s="365"/>
      <c r="P138" s="365"/>
      <c r="Q138" s="366">
        <f t="shared" si="7"/>
        <v>97.3</v>
      </c>
      <c r="R138" s="367" t="str">
        <f t="shared" si="5"/>
        <v>NO</v>
      </c>
      <c r="S138" s="367" t="str">
        <f t="shared" si="6"/>
        <v>Inviable Sanitariamente</v>
      </c>
    </row>
    <row r="139" spans="1:19" s="56" customFormat="1" ht="38.25" customHeight="1" x14ac:dyDescent="0.2">
      <c r="A139" s="361" t="s">
        <v>132</v>
      </c>
      <c r="B139" s="362" t="s">
        <v>3715</v>
      </c>
      <c r="C139" s="362" t="s">
        <v>3716</v>
      </c>
      <c r="D139" s="364">
        <v>40</v>
      </c>
      <c r="E139" s="365"/>
      <c r="F139" s="365"/>
      <c r="G139" s="365"/>
      <c r="H139" s="365"/>
      <c r="I139" s="365"/>
      <c r="J139" s="365"/>
      <c r="K139" s="365"/>
      <c r="L139" s="365">
        <v>97.35</v>
      </c>
      <c r="M139" s="365"/>
      <c r="N139" s="365"/>
      <c r="O139" s="365"/>
      <c r="P139" s="365"/>
      <c r="Q139" s="366">
        <f t="shared" si="7"/>
        <v>97.35</v>
      </c>
      <c r="R139" s="367" t="str">
        <f t="shared" si="5"/>
        <v>NO</v>
      </c>
      <c r="S139" s="367" t="str">
        <f t="shared" si="6"/>
        <v>Inviable Sanitariamente</v>
      </c>
    </row>
    <row r="140" spans="1:19" s="56" customFormat="1" ht="37.5" customHeight="1" x14ac:dyDescent="0.2">
      <c r="A140" s="361" t="s">
        <v>132</v>
      </c>
      <c r="B140" s="362" t="s">
        <v>1869</v>
      </c>
      <c r="C140" s="362" t="s">
        <v>3717</v>
      </c>
      <c r="D140" s="364">
        <v>40</v>
      </c>
      <c r="E140" s="365"/>
      <c r="F140" s="365"/>
      <c r="G140" s="365">
        <v>97.3</v>
      </c>
      <c r="H140" s="365"/>
      <c r="I140" s="365"/>
      <c r="J140" s="365"/>
      <c r="K140" s="365"/>
      <c r="L140" s="365"/>
      <c r="M140" s="365"/>
      <c r="N140" s="365"/>
      <c r="O140" s="365"/>
      <c r="P140" s="365"/>
      <c r="Q140" s="366">
        <f t="shared" ref="Q140:Q156" si="8">AVERAGE(E140:P140)</f>
        <v>97.3</v>
      </c>
      <c r="R140" s="367" t="str">
        <f t="shared" ref="R140:R206" si="9">IF(Q140&lt;5,"SI","NO")</f>
        <v>NO</v>
      </c>
      <c r="S140" s="367" t="str">
        <f t="shared" ref="S140:S205" si="10">IF(Q140&lt;=5,"Sin Riesgo",IF(Q140 &lt;=14,"Bajo",IF(Q140&lt;=35,"Medio",IF(Q140&lt;=80,"Alto","Inviable Sanitariamente"))))</f>
        <v>Inviable Sanitariamente</v>
      </c>
    </row>
    <row r="141" spans="1:19" s="56" customFormat="1" ht="32.1" customHeight="1" x14ac:dyDescent="0.2">
      <c r="A141" s="361" t="s">
        <v>132</v>
      </c>
      <c r="B141" s="362" t="s">
        <v>758</v>
      </c>
      <c r="C141" s="362" t="s">
        <v>3718</v>
      </c>
      <c r="D141" s="364">
        <v>45</v>
      </c>
      <c r="E141" s="365"/>
      <c r="F141" s="365"/>
      <c r="G141" s="365"/>
      <c r="H141" s="365"/>
      <c r="I141" s="365"/>
      <c r="J141" s="365"/>
      <c r="K141" s="365"/>
      <c r="L141" s="365"/>
      <c r="M141" s="365"/>
      <c r="N141" s="365"/>
      <c r="O141" s="365"/>
      <c r="P141" s="365"/>
      <c r="Q141" s="366" t="e">
        <f t="shared" si="8"/>
        <v>#DIV/0!</v>
      </c>
      <c r="R141" s="367" t="e">
        <f t="shared" si="9"/>
        <v>#DIV/0!</v>
      </c>
      <c r="S141" s="367" t="e">
        <f t="shared" si="10"/>
        <v>#DIV/0!</v>
      </c>
    </row>
    <row r="142" spans="1:19" s="56" customFormat="1" ht="32.1" customHeight="1" x14ac:dyDescent="0.2">
      <c r="A142" s="361" t="s">
        <v>132</v>
      </c>
      <c r="B142" s="362" t="s">
        <v>0</v>
      </c>
      <c r="C142" s="362" t="s">
        <v>3719</v>
      </c>
      <c r="D142" s="364">
        <v>12</v>
      </c>
      <c r="E142" s="365"/>
      <c r="F142" s="365"/>
      <c r="G142" s="365"/>
      <c r="H142" s="365"/>
      <c r="I142" s="365"/>
      <c r="J142" s="365"/>
      <c r="K142" s="365"/>
      <c r="L142" s="365"/>
      <c r="M142" s="365"/>
      <c r="N142" s="365"/>
      <c r="O142" s="365"/>
      <c r="P142" s="365"/>
      <c r="Q142" s="366" t="e">
        <f t="shared" si="8"/>
        <v>#DIV/0!</v>
      </c>
      <c r="R142" s="367" t="e">
        <f t="shared" si="9"/>
        <v>#DIV/0!</v>
      </c>
      <c r="S142" s="367" t="e">
        <f t="shared" si="10"/>
        <v>#DIV/0!</v>
      </c>
    </row>
    <row r="143" spans="1:19" s="56" customFormat="1" ht="32.1" customHeight="1" x14ac:dyDescent="0.2">
      <c r="A143" s="361" t="s">
        <v>132</v>
      </c>
      <c r="B143" s="362" t="s">
        <v>3720</v>
      </c>
      <c r="C143" s="362" t="s">
        <v>3721</v>
      </c>
      <c r="D143" s="364">
        <v>100</v>
      </c>
      <c r="E143" s="365"/>
      <c r="F143" s="365"/>
      <c r="G143" s="365"/>
      <c r="H143" s="365"/>
      <c r="I143" s="365"/>
      <c r="J143" s="365">
        <v>97.4</v>
      </c>
      <c r="K143" s="365"/>
      <c r="L143" s="365"/>
      <c r="M143" s="365"/>
      <c r="N143" s="365"/>
      <c r="O143" s="365"/>
      <c r="P143" s="365"/>
      <c r="Q143" s="366">
        <f t="shared" si="8"/>
        <v>97.4</v>
      </c>
      <c r="R143" s="367" t="str">
        <f t="shared" si="9"/>
        <v>NO</v>
      </c>
      <c r="S143" s="367" t="str">
        <f t="shared" si="10"/>
        <v>Inviable Sanitariamente</v>
      </c>
    </row>
    <row r="144" spans="1:19" s="56" customFormat="1" ht="32.1" customHeight="1" x14ac:dyDescent="0.2">
      <c r="A144" s="361" t="s">
        <v>132</v>
      </c>
      <c r="B144" s="362" t="s">
        <v>1319</v>
      </c>
      <c r="C144" s="362" t="s">
        <v>3722</v>
      </c>
      <c r="D144" s="364">
        <v>13</v>
      </c>
      <c r="E144" s="365"/>
      <c r="F144" s="365"/>
      <c r="G144" s="365"/>
      <c r="H144" s="365"/>
      <c r="I144" s="365"/>
      <c r="J144" s="365"/>
      <c r="K144" s="365"/>
      <c r="L144" s="365"/>
      <c r="M144" s="365"/>
      <c r="N144" s="365"/>
      <c r="O144" s="365"/>
      <c r="P144" s="365"/>
      <c r="Q144" s="366" t="e">
        <f t="shared" si="8"/>
        <v>#DIV/0!</v>
      </c>
      <c r="R144" s="367" t="e">
        <f t="shared" si="9"/>
        <v>#DIV/0!</v>
      </c>
      <c r="S144" s="367" t="e">
        <f t="shared" si="10"/>
        <v>#DIV/0!</v>
      </c>
    </row>
    <row r="145" spans="1:19" s="56" customFormat="1" ht="32.1" customHeight="1" x14ac:dyDescent="0.2">
      <c r="A145" s="361" t="s">
        <v>132</v>
      </c>
      <c r="B145" s="362" t="s">
        <v>3723</v>
      </c>
      <c r="C145" s="362" t="s">
        <v>3724</v>
      </c>
      <c r="D145" s="364">
        <v>16</v>
      </c>
      <c r="E145" s="365"/>
      <c r="F145" s="365"/>
      <c r="G145" s="365"/>
      <c r="H145" s="365"/>
      <c r="I145" s="365"/>
      <c r="J145" s="365"/>
      <c r="K145" s="365"/>
      <c r="L145" s="365"/>
      <c r="M145" s="365"/>
      <c r="N145" s="365"/>
      <c r="O145" s="365"/>
      <c r="P145" s="365"/>
      <c r="Q145" s="366" t="e">
        <f t="shared" si="8"/>
        <v>#DIV/0!</v>
      </c>
      <c r="R145" s="367" t="e">
        <f t="shared" si="9"/>
        <v>#DIV/0!</v>
      </c>
      <c r="S145" s="367" t="e">
        <f t="shared" si="10"/>
        <v>#DIV/0!</v>
      </c>
    </row>
    <row r="146" spans="1:19" s="56" customFormat="1" ht="32.1" customHeight="1" x14ac:dyDescent="0.2">
      <c r="A146" s="361" t="s">
        <v>132</v>
      </c>
      <c r="B146" s="362" t="s">
        <v>3725</v>
      </c>
      <c r="C146" s="362" t="s">
        <v>3726</v>
      </c>
      <c r="D146" s="364">
        <v>28</v>
      </c>
      <c r="E146" s="365"/>
      <c r="F146" s="365"/>
      <c r="G146" s="365"/>
      <c r="H146" s="365"/>
      <c r="I146" s="365"/>
      <c r="J146" s="365"/>
      <c r="K146" s="365"/>
      <c r="L146" s="365"/>
      <c r="M146" s="365"/>
      <c r="N146" s="365"/>
      <c r="O146" s="365"/>
      <c r="P146" s="365"/>
      <c r="Q146" s="366" t="e">
        <f t="shared" si="8"/>
        <v>#DIV/0!</v>
      </c>
      <c r="R146" s="367" t="e">
        <f t="shared" si="9"/>
        <v>#DIV/0!</v>
      </c>
      <c r="S146" s="367" t="e">
        <f t="shared" si="10"/>
        <v>#DIV/0!</v>
      </c>
    </row>
    <row r="147" spans="1:19" s="56" customFormat="1" ht="32.1" customHeight="1" x14ac:dyDescent="0.2">
      <c r="A147" s="361" t="s">
        <v>132</v>
      </c>
      <c r="B147" s="362" t="s">
        <v>3727</v>
      </c>
      <c r="C147" s="362" t="s">
        <v>3728</v>
      </c>
      <c r="D147" s="364">
        <v>16</v>
      </c>
      <c r="E147" s="365"/>
      <c r="F147" s="365"/>
      <c r="G147" s="365"/>
      <c r="H147" s="365"/>
      <c r="I147" s="365"/>
      <c r="J147" s="365"/>
      <c r="K147" s="365"/>
      <c r="L147" s="365"/>
      <c r="M147" s="365"/>
      <c r="N147" s="365"/>
      <c r="O147" s="365"/>
      <c r="P147" s="365"/>
      <c r="Q147" s="366" t="e">
        <f t="shared" si="8"/>
        <v>#DIV/0!</v>
      </c>
      <c r="R147" s="367" t="e">
        <f t="shared" si="9"/>
        <v>#DIV/0!</v>
      </c>
      <c r="S147" s="367" t="e">
        <f t="shared" si="10"/>
        <v>#DIV/0!</v>
      </c>
    </row>
    <row r="148" spans="1:19" s="56" customFormat="1" ht="32.1" customHeight="1" x14ac:dyDescent="0.2">
      <c r="A148" s="361" t="s">
        <v>132</v>
      </c>
      <c r="B148" s="362" t="s">
        <v>3729</v>
      </c>
      <c r="C148" s="362" t="s">
        <v>3730</v>
      </c>
      <c r="D148" s="364">
        <v>68</v>
      </c>
      <c r="E148" s="365"/>
      <c r="F148" s="365"/>
      <c r="G148" s="365"/>
      <c r="H148" s="365"/>
      <c r="I148" s="365"/>
      <c r="J148" s="365"/>
      <c r="K148" s="365"/>
      <c r="L148" s="365"/>
      <c r="M148" s="365"/>
      <c r="N148" s="365">
        <v>97.35</v>
      </c>
      <c r="O148" s="365"/>
      <c r="P148" s="365"/>
      <c r="Q148" s="366">
        <f t="shared" si="8"/>
        <v>97.35</v>
      </c>
      <c r="R148" s="367" t="str">
        <f t="shared" si="9"/>
        <v>NO</v>
      </c>
      <c r="S148" s="367" t="str">
        <f t="shared" si="10"/>
        <v>Inviable Sanitariamente</v>
      </c>
    </row>
    <row r="149" spans="1:19" s="56" customFormat="1" ht="32.1" customHeight="1" x14ac:dyDescent="0.2">
      <c r="A149" s="361" t="s">
        <v>132</v>
      </c>
      <c r="B149" s="362" t="s">
        <v>3731</v>
      </c>
      <c r="C149" s="362" t="s">
        <v>3732</v>
      </c>
      <c r="D149" s="364">
        <v>21</v>
      </c>
      <c r="E149" s="365"/>
      <c r="F149" s="365"/>
      <c r="G149" s="365"/>
      <c r="H149" s="365"/>
      <c r="I149" s="365"/>
      <c r="J149" s="365"/>
      <c r="K149" s="365"/>
      <c r="L149" s="365"/>
      <c r="M149" s="365"/>
      <c r="N149" s="365"/>
      <c r="O149" s="365"/>
      <c r="P149" s="365"/>
      <c r="Q149" s="366" t="e">
        <f t="shared" si="8"/>
        <v>#DIV/0!</v>
      </c>
      <c r="R149" s="367" t="e">
        <f t="shared" si="9"/>
        <v>#DIV/0!</v>
      </c>
      <c r="S149" s="367" t="e">
        <f t="shared" si="10"/>
        <v>#DIV/0!</v>
      </c>
    </row>
    <row r="150" spans="1:19" s="56" customFormat="1" ht="32.1" customHeight="1" x14ac:dyDescent="0.2">
      <c r="A150" s="361" t="s">
        <v>132</v>
      </c>
      <c r="B150" s="362" t="s">
        <v>1765</v>
      </c>
      <c r="C150" s="362" t="s">
        <v>3733</v>
      </c>
      <c r="D150" s="364" t="s">
        <v>251</v>
      </c>
      <c r="E150" s="365"/>
      <c r="F150" s="365"/>
      <c r="G150" s="365"/>
      <c r="H150" s="365"/>
      <c r="I150" s="365"/>
      <c r="J150" s="365"/>
      <c r="K150" s="365"/>
      <c r="L150" s="365"/>
      <c r="M150" s="365"/>
      <c r="N150" s="365"/>
      <c r="O150" s="365"/>
      <c r="P150" s="365"/>
      <c r="Q150" s="366" t="e">
        <f t="shared" si="8"/>
        <v>#DIV/0!</v>
      </c>
      <c r="R150" s="367" t="e">
        <f t="shared" si="9"/>
        <v>#DIV/0!</v>
      </c>
      <c r="S150" s="367" t="e">
        <f t="shared" si="10"/>
        <v>#DIV/0!</v>
      </c>
    </row>
    <row r="151" spans="1:19" s="56" customFormat="1" ht="32.1" customHeight="1" x14ac:dyDescent="0.2">
      <c r="A151" s="361" t="s">
        <v>132</v>
      </c>
      <c r="B151" s="362" t="s">
        <v>3734</v>
      </c>
      <c r="C151" s="362" t="s">
        <v>3735</v>
      </c>
      <c r="D151" s="364">
        <v>27</v>
      </c>
      <c r="E151" s="365"/>
      <c r="F151" s="365"/>
      <c r="G151" s="365"/>
      <c r="H151" s="365"/>
      <c r="I151" s="365"/>
      <c r="J151" s="365"/>
      <c r="K151" s="365"/>
      <c r="L151" s="365"/>
      <c r="M151" s="365"/>
      <c r="N151" s="365"/>
      <c r="O151" s="365"/>
      <c r="P151" s="365"/>
      <c r="Q151" s="366" t="e">
        <f t="shared" si="8"/>
        <v>#DIV/0!</v>
      </c>
      <c r="R151" s="367" t="e">
        <f t="shared" si="9"/>
        <v>#DIV/0!</v>
      </c>
      <c r="S151" s="367" t="e">
        <f t="shared" si="10"/>
        <v>#DIV/0!</v>
      </c>
    </row>
    <row r="152" spans="1:19" s="56" customFormat="1" ht="32.1" customHeight="1" x14ac:dyDescent="0.2">
      <c r="A152" s="361" t="s">
        <v>132</v>
      </c>
      <c r="B152" s="362" t="s">
        <v>2978</v>
      </c>
      <c r="C152" s="362" t="s">
        <v>3736</v>
      </c>
      <c r="D152" s="364">
        <v>73</v>
      </c>
      <c r="E152" s="365"/>
      <c r="F152" s="365"/>
      <c r="G152" s="365"/>
      <c r="H152" s="365"/>
      <c r="I152" s="365"/>
      <c r="J152" s="365"/>
      <c r="K152" s="365"/>
      <c r="L152" s="365"/>
      <c r="M152" s="365"/>
      <c r="N152" s="365"/>
      <c r="O152" s="365"/>
      <c r="P152" s="365"/>
      <c r="Q152" s="366" t="e">
        <f t="shared" si="8"/>
        <v>#DIV/0!</v>
      </c>
      <c r="R152" s="367" t="e">
        <f t="shared" si="9"/>
        <v>#DIV/0!</v>
      </c>
      <c r="S152" s="367" t="e">
        <f t="shared" si="10"/>
        <v>#DIV/0!</v>
      </c>
    </row>
    <row r="153" spans="1:19" s="56" customFormat="1" ht="32.1" customHeight="1" x14ac:dyDescent="0.2">
      <c r="A153" s="361" t="s">
        <v>132</v>
      </c>
      <c r="B153" s="362" t="s">
        <v>3737</v>
      </c>
      <c r="C153" s="362" t="s">
        <v>3738</v>
      </c>
      <c r="D153" s="364">
        <v>18</v>
      </c>
      <c r="E153" s="365"/>
      <c r="F153" s="365"/>
      <c r="G153" s="365"/>
      <c r="H153" s="365"/>
      <c r="I153" s="365"/>
      <c r="J153" s="365"/>
      <c r="K153" s="365"/>
      <c r="L153" s="365"/>
      <c r="M153" s="365"/>
      <c r="N153" s="365"/>
      <c r="O153" s="365"/>
      <c r="P153" s="365"/>
      <c r="Q153" s="366" t="e">
        <f t="shared" si="8"/>
        <v>#DIV/0!</v>
      </c>
      <c r="R153" s="367" t="e">
        <f t="shared" si="9"/>
        <v>#DIV/0!</v>
      </c>
      <c r="S153" s="367" t="e">
        <f t="shared" si="10"/>
        <v>#DIV/0!</v>
      </c>
    </row>
    <row r="154" spans="1:19" s="56" customFormat="1" ht="32.1" customHeight="1" x14ac:dyDescent="0.2">
      <c r="A154" s="361" t="s">
        <v>132</v>
      </c>
      <c r="B154" s="362" t="s">
        <v>3739</v>
      </c>
      <c r="C154" s="362" t="s">
        <v>3740</v>
      </c>
      <c r="D154" s="364">
        <v>25</v>
      </c>
      <c r="E154" s="365"/>
      <c r="F154" s="365"/>
      <c r="G154" s="365"/>
      <c r="H154" s="365"/>
      <c r="I154" s="365"/>
      <c r="J154" s="365"/>
      <c r="K154" s="365"/>
      <c r="L154" s="365"/>
      <c r="M154" s="365">
        <v>97.3</v>
      </c>
      <c r="N154" s="365"/>
      <c r="O154" s="365"/>
      <c r="P154" s="365"/>
      <c r="Q154" s="366">
        <f t="shared" si="8"/>
        <v>97.3</v>
      </c>
      <c r="R154" s="367" t="str">
        <f t="shared" si="9"/>
        <v>NO</v>
      </c>
      <c r="S154" s="367" t="str">
        <f t="shared" si="10"/>
        <v>Inviable Sanitariamente</v>
      </c>
    </row>
    <row r="155" spans="1:19" s="56" customFormat="1" ht="32.1" customHeight="1" x14ac:dyDescent="0.2">
      <c r="A155" s="361" t="s">
        <v>132</v>
      </c>
      <c r="B155" s="362" t="s">
        <v>3741</v>
      </c>
      <c r="C155" s="362" t="s">
        <v>3742</v>
      </c>
      <c r="D155" s="364">
        <v>20</v>
      </c>
      <c r="E155" s="365"/>
      <c r="F155" s="365"/>
      <c r="G155" s="365"/>
      <c r="H155" s="365"/>
      <c r="I155" s="365"/>
      <c r="J155" s="365"/>
      <c r="K155" s="365"/>
      <c r="L155" s="365"/>
      <c r="M155" s="365">
        <v>97.3</v>
      </c>
      <c r="N155" s="365"/>
      <c r="O155" s="365"/>
      <c r="P155" s="365"/>
      <c r="Q155" s="366">
        <f t="shared" si="8"/>
        <v>97.3</v>
      </c>
      <c r="R155" s="367" t="str">
        <f t="shared" si="9"/>
        <v>NO</v>
      </c>
      <c r="S155" s="367" t="str">
        <f t="shared" si="10"/>
        <v>Inviable Sanitariamente</v>
      </c>
    </row>
    <row r="156" spans="1:19" s="56" customFormat="1" ht="32.1" customHeight="1" x14ac:dyDescent="0.2">
      <c r="A156" s="361" t="s">
        <v>132</v>
      </c>
      <c r="B156" s="362" t="s">
        <v>1426</v>
      </c>
      <c r="C156" s="362" t="s">
        <v>3743</v>
      </c>
      <c r="D156" s="364">
        <v>10</v>
      </c>
      <c r="E156" s="365"/>
      <c r="F156" s="365"/>
      <c r="G156" s="365"/>
      <c r="H156" s="365"/>
      <c r="I156" s="365"/>
      <c r="J156" s="365"/>
      <c r="K156" s="365"/>
      <c r="L156" s="365"/>
      <c r="M156" s="365">
        <v>97.3</v>
      </c>
      <c r="N156" s="365"/>
      <c r="O156" s="365"/>
      <c r="P156" s="365"/>
      <c r="Q156" s="366">
        <f t="shared" si="8"/>
        <v>97.3</v>
      </c>
      <c r="R156" s="367" t="str">
        <f t="shared" si="9"/>
        <v>NO</v>
      </c>
      <c r="S156" s="367" t="str">
        <f t="shared" si="10"/>
        <v>Inviable Sanitariamente</v>
      </c>
    </row>
    <row r="157" spans="1:19" s="56" customFormat="1" ht="32.1" customHeight="1" x14ac:dyDescent="0.2">
      <c r="A157" s="361" t="s">
        <v>132</v>
      </c>
      <c r="B157" s="362" t="s">
        <v>3744</v>
      </c>
      <c r="C157" s="362" t="s">
        <v>3745</v>
      </c>
      <c r="D157" s="364">
        <v>12</v>
      </c>
      <c r="E157" s="365"/>
      <c r="F157" s="365"/>
      <c r="G157" s="365"/>
      <c r="H157" s="365"/>
      <c r="I157" s="365"/>
      <c r="J157" s="365"/>
      <c r="K157" s="365"/>
      <c r="L157" s="365"/>
      <c r="M157" s="365"/>
      <c r="N157" s="365"/>
      <c r="O157" s="365"/>
      <c r="P157" s="365"/>
      <c r="Q157" s="366">
        <f t="shared" ref="Q157:Q163" si="11">AVERAGE(E159:P159)</f>
        <v>97.4</v>
      </c>
      <c r="R157" s="367" t="str">
        <f t="shared" si="9"/>
        <v>NO</v>
      </c>
      <c r="S157" s="367" t="str">
        <f t="shared" si="10"/>
        <v>Inviable Sanitariamente</v>
      </c>
    </row>
    <row r="158" spans="1:19" s="56" customFormat="1" ht="32.1" customHeight="1" x14ac:dyDescent="0.2">
      <c r="A158" s="361" t="s">
        <v>132</v>
      </c>
      <c r="B158" s="362" t="s">
        <v>2</v>
      </c>
      <c r="C158" s="362" t="s">
        <v>3746</v>
      </c>
      <c r="D158" s="364">
        <v>21</v>
      </c>
      <c r="E158" s="365"/>
      <c r="F158" s="365"/>
      <c r="G158" s="365"/>
      <c r="H158" s="365"/>
      <c r="I158" s="365"/>
      <c r="J158" s="365"/>
      <c r="K158" s="365"/>
      <c r="L158" s="365"/>
      <c r="M158" s="365"/>
      <c r="N158" s="365"/>
      <c r="O158" s="365">
        <v>97.4</v>
      </c>
      <c r="P158" s="365"/>
      <c r="Q158" s="366">
        <f>AVERAGE(E158:P158)</f>
        <v>97.4</v>
      </c>
      <c r="R158" s="367" t="str">
        <f t="shared" si="9"/>
        <v>NO</v>
      </c>
      <c r="S158" s="367" t="str">
        <f t="shared" si="10"/>
        <v>Inviable Sanitariamente</v>
      </c>
    </row>
    <row r="159" spans="1:19" s="56" customFormat="1" ht="32.1" customHeight="1" x14ac:dyDescent="0.2">
      <c r="A159" s="361" t="s">
        <v>132</v>
      </c>
      <c r="B159" s="362" t="s">
        <v>3747</v>
      </c>
      <c r="C159" s="362" t="s">
        <v>3748</v>
      </c>
      <c r="D159" s="364">
        <v>20</v>
      </c>
      <c r="E159" s="365"/>
      <c r="F159" s="365"/>
      <c r="G159" s="365"/>
      <c r="H159" s="365"/>
      <c r="I159" s="365"/>
      <c r="J159" s="365"/>
      <c r="K159" s="365"/>
      <c r="L159" s="365"/>
      <c r="M159" s="365"/>
      <c r="N159" s="365">
        <v>97.4</v>
      </c>
      <c r="O159" s="365"/>
      <c r="P159" s="365"/>
      <c r="Q159" s="366">
        <f>AVERAGE(E159:P159)</f>
        <v>97.4</v>
      </c>
      <c r="R159" s="367" t="str">
        <f t="shared" si="9"/>
        <v>NO</v>
      </c>
      <c r="S159" s="367" t="str">
        <f t="shared" si="10"/>
        <v>Inviable Sanitariamente</v>
      </c>
    </row>
    <row r="160" spans="1:19" s="56" customFormat="1" ht="32.1" customHeight="1" x14ac:dyDescent="0.2">
      <c r="A160" s="361" t="s">
        <v>132</v>
      </c>
      <c r="B160" s="362" t="s">
        <v>3749</v>
      </c>
      <c r="C160" s="362" t="s">
        <v>3750</v>
      </c>
      <c r="D160" s="364">
        <v>38</v>
      </c>
      <c r="E160" s="365"/>
      <c r="F160" s="365"/>
      <c r="G160" s="365"/>
      <c r="H160" s="365"/>
      <c r="I160" s="365"/>
      <c r="J160" s="365"/>
      <c r="K160" s="365"/>
      <c r="L160" s="365"/>
      <c r="M160" s="365"/>
      <c r="N160" s="365"/>
      <c r="O160" s="365"/>
      <c r="P160" s="365"/>
      <c r="Q160" s="366" t="e">
        <f t="shared" si="11"/>
        <v>#DIV/0!</v>
      </c>
      <c r="R160" s="367" t="e">
        <f t="shared" si="9"/>
        <v>#DIV/0!</v>
      </c>
      <c r="S160" s="367" t="e">
        <f t="shared" si="10"/>
        <v>#DIV/0!</v>
      </c>
    </row>
    <row r="161" spans="1:20" s="56" customFormat="1" ht="32.1" customHeight="1" x14ac:dyDescent="0.2">
      <c r="A161" s="361" t="s">
        <v>132</v>
      </c>
      <c r="B161" s="362" t="s">
        <v>1431</v>
      </c>
      <c r="C161" s="362" t="s">
        <v>3751</v>
      </c>
      <c r="D161" s="364">
        <v>40</v>
      </c>
      <c r="E161" s="365"/>
      <c r="F161" s="365"/>
      <c r="G161" s="365"/>
      <c r="H161" s="365"/>
      <c r="I161" s="365"/>
      <c r="J161" s="365"/>
      <c r="K161" s="365"/>
      <c r="L161" s="365"/>
      <c r="M161" s="365"/>
      <c r="N161" s="365"/>
      <c r="O161" s="365"/>
      <c r="P161" s="365"/>
      <c r="Q161" s="366" t="e">
        <f t="shared" si="11"/>
        <v>#DIV/0!</v>
      </c>
      <c r="R161" s="367" t="e">
        <f t="shared" si="9"/>
        <v>#DIV/0!</v>
      </c>
      <c r="S161" s="367" t="e">
        <f t="shared" si="10"/>
        <v>#DIV/0!</v>
      </c>
    </row>
    <row r="162" spans="1:20" s="56" customFormat="1" ht="32.1" customHeight="1" x14ac:dyDescent="0.2">
      <c r="A162" s="361" t="s">
        <v>132</v>
      </c>
      <c r="B162" s="362" t="s">
        <v>3752</v>
      </c>
      <c r="C162" s="362" t="s">
        <v>3753</v>
      </c>
      <c r="D162" s="364">
        <v>17</v>
      </c>
      <c r="E162" s="365"/>
      <c r="F162" s="365"/>
      <c r="G162" s="365"/>
      <c r="H162" s="365"/>
      <c r="I162" s="365"/>
      <c r="J162" s="365"/>
      <c r="K162" s="365"/>
      <c r="L162" s="365"/>
      <c r="M162" s="365"/>
      <c r="N162" s="365"/>
      <c r="O162" s="365"/>
      <c r="P162" s="365"/>
      <c r="Q162" s="366" t="e">
        <f t="shared" si="11"/>
        <v>#DIV/0!</v>
      </c>
      <c r="R162" s="367" t="e">
        <f t="shared" si="9"/>
        <v>#DIV/0!</v>
      </c>
      <c r="S162" s="367" t="e">
        <f t="shared" si="10"/>
        <v>#DIV/0!</v>
      </c>
    </row>
    <row r="163" spans="1:20" s="56" customFormat="1" ht="32.1" customHeight="1" x14ac:dyDescent="0.2">
      <c r="A163" s="361" t="s">
        <v>132</v>
      </c>
      <c r="B163" s="362" t="s">
        <v>3754</v>
      </c>
      <c r="C163" s="362" t="s">
        <v>3755</v>
      </c>
      <c r="D163" s="364">
        <v>12</v>
      </c>
      <c r="E163" s="365"/>
      <c r="F163" s="365"/>
      <c r="G163" s="365"/>
      <c r="H163" s="365"/>
      <c r="I163" s="365"/>
      <c r="J163" s="365"/>
      <c r="K163" s="365"/>
      <c r="L163" s="365"/>
      <c r="M163" s="365"/>
      <c r="N163" s="365"/>
      <c r="O163" s="365"/>
      <c r="P163" s="365"/>
      <c r="Q163" s="366">
        <f t="shared" si="11"/>
        <v>97.3</v>
      </c>
      <c r="R163" s="367" t="str">
        <f t="shared" si="9"/>
        <v>NO</v>
      </c>
      <c r="S163" s="367" t="str">
        <f t="shared" si="10"/>
        <v>Inviable Sanitariamente</v>
      </c>
    </row>
    <row r="164" spans="1:20" s="56" customFormat="1" ht="32.1" customHeight="1" x14ac:dyDescent="0.2">
      <c r="A164" s="361" t="s">
        <v>132</v>
      </c>
      <c r="B164" s="362" t="s">
        <v>2700</v>
      </c>
      <c r="C164" s="362" t="s">
        <v>3756</v>
      </c>
      <c r="D164" s="364">
        <v>45</v>
      </c>
      <c r="E164" s="365"/>
      <c r="F164" s="365"/>
      <c r="G164" s="365"/>
      <c r="H164" s="365"/>
      <c r="I164" s="365"/>
      <c r="J164" s="365"/>
      <c r="K164" s="365"/>
      <c r="L164" s="365"/>
      <c r="M164" s="365"/>
      <c r="N164" s="365"/>
      <c r="O164" s="365"/>
      <c r="P164" s="365"/>
      <c r="Q164" s="366" t="e">
        <f>AVERAGE(E164:P164)</f>
        <v>#DIV/0!</v>
      </c>
      <c r="R164" s="367" t="e">
        <f t="shared" si="9"/>
        <v>#DIV/0!</v>
      </c>
      <c r="S164" s="367" t="e">
        <f t="shared" si="10"/>
        <v>#DIV/0!</v>
      </c>
    </row>
    <row r="165" spans="1:20" s="56" customFormat="1" ht="32.1" customHeight="1" x14ac:dyDescent="0.2">
      <c r="A165" s="361" t="s">
        <v>132</v>
      </c>
      <c r="B165" s="362" t="s">
        <v>3757</v>
      </c>
      <c r="C165" s="362" t="s">
        <v>3758</v>
      </c>
      <c r="D165" s="364">
        <v>30</v>
      </c>
      <c r="E165" s="365"/>
      <c r="F165" s="365">
        <v>97.3</v>
      </c>
      <c r="G165" s="365"/>
      <c r="H165" s="365"/>
      <c r="I165" s="365"/>
      <c r="J165" s="365"/>
      <c r="K165" s="365"/>
      <c r="L165" s="365"/>
      <c r="M165" s="365"/>
      <c r="N165" s="365"/>
      <c r="O165" s="365"/>
      <c r="P165" s="365"/>
      <c r="Q165" s="366">
        <f>AVERAGE(E165:P165)</f>
        <v>97.3</v>
      </c>
      <c r="R165" s="367" t="str">
        <f t="shared" si="9"/>
        <v>NO</v>
      </c>
      <c r="S165" s="367" t="str">
        <f t="shared" si="10"/>
        <v>Inviable Sanitariamente</v>
      </c>
    </row>
    <row r="166" spans="1:20" s="56" customFormat="1" ht="32.1" customHeight="1" x14ac:dyDescent="0.2">
      <c r="A166" s="361" t="s">
        <v>132</v>
      </c>
      <c r="B166" s="362" t="s">
        <v>3759</v>
      </c>
      <c r="C166" s="362" t="s">
        <v>3760</v>
      </c>
      <c r="D166" s="364">
        <v>20</v>
      </c>
      <c r="E166" s="365">
        <v>97.35</v>
      </c>
      <c r="F166" s="365">
        <v>97.35</v>
      </c>
      <c r="G166" s="365">
        <v>97.35</v>
      </c>
      <c r="H166" s="365">
        <v>97.35</v>
      </c>
      <c r="I166" s="365">
        <v>97.35</v>
      </c>
      <c r="J166" s="365">
        <v>97.35</v>
      </c>
      <c r="K166" s="365">
        <v>97.35</v>
      </c>
      <c r="L166" s="365">
        <v>97.35</v>
      </c>
      <c r="M166" s="365">
        <v>90.32</v>
      </c>
      <c r="N166" s="365">
        <v>70.97</v>
      </c>
      <c r="O166" s="365">
        <v>0</v>
      </c>
      <c r="P166" s="365">
        <v>70.97</v>
      </c>
      <c r="Q166" s="366">
        <v>87.7</v>
      </c>
      <c r="R166" s="367" t="str">
        <f t="shared" si="9"/>
        <v>NO</v>
      </c>
      <c r="S166" s="367" t="str">
        <f t="shared" si="10"/>
        <v>Inviable Sanitariamente</v>
      </c>
    </row>
    <row r="167" spans="1:20" s="56" customFormat="1" ht="32.1" customHeight="1" x14ac:dyDescent="0.2">
      <c r="A167" s="361" t="s">
        <v>132</v>
      </c>
      <c r="B167" s="362" t="s">
        <v>2077</v>
      </c>
      <c r="C167" s="362" t="s">
        <v>3761</v>
      </c>
      <c r="D167" s="364">
        <v>40</v>
      </c>
      <c r="E167" s="365"/>
      <c r="F167" s="365"/>
      <c r="G167" s="365"/>
      <c r="H167" s="365"/>
      <c r="I167" s="365">
        <v>97.3</v>
      </c>
      <c r="J167" s="365"/>
      <c r="K167" s="365"/>
      <c r="L167" s="365"/>
      <c r="M167" s="365"/>
      <c r="N167" s="365"/>
      <c r="O167" s="365"/>
      <c r="P167" s="365"/>
      <c r="Q167" s="366">
        <v>97.3</v>
      </c>
      <c r="R167" s="367" t="str">
        <f t="shared" si="9"/>
        <v>NO</v>
      </c>
      <c r="S167" s="367" t="str">
        <f t="shared" si="10"/>
        <v>Inviable Sanitariamente</v>
      </c>
    </row>
    <row r="168" spans="1:20" s="56" customFormat="1" ht="32.1" customHeight="1" x14ac:dyDescent="0.2">
      <c r="A168" s="361" t="s">
        <v>132</v>
      </c>
      <c r="B168" s="362" t="s">
        <v>3762</v>
      </c>
      <c r="C168" s="362" t="s">
        <v>3763</v>
      </c>
      <c r="D168" s="364">
        <v>60</v>
      </c>
      <c r="E168" s="365"/>
      <c r="F168" s="365"/>
      <c r="G168" s="365"/>
      <c r="H168" s="365"/>
      <c r="I168" s="365"/>
      <c r="J168" s="365"/>
      <c r="K168" s="365"/>
      <c r="L168" s="365"/>
      <c r="M168" s="365"/>
      <c r="N168" s="365"/>
      <c r="O168" s="365"/>
      <c r="P168" s="365"/>
      <c r="Q168" s="366">
        <v>97.3</v>
      </c>
      <c r="R168" s="367" t="str">
        <f>IF(Q168&lt;5,"SI","NO")</f>
        <v>NO</v>
      </c>
      <c r="S168" s="367" t="str">
        <f t="shared" si="10"/>
        <v>Inviable Sanitariamente</v>
      </c>
    </row>
    <row r="169" spans="1:20" s="56" customFormat="1" ht="32.1" customHeight="1" x14ac:dyDescent="0.2">
      <c r="A169" s="361" t="s">
        <v>132</v>
      </c>
      <c r="B169" s="362" t="s">
        <v>4273</v>
      </c>
      <c r="C169" s="362" t="s">
        <v>4274</v>
      </c>
      <c r="D169" s="364">
        <v>130</v>
      </c>
      <c r="E169" s="365"/>
      <c r="F169" s="365">
        <v>97.35</v>
      </c>
      <c r="G169" s="365"/>
      <c r="H169" s="365"/>
      <c r="I169" s="365"/>
      <c r="J169" s="365"/>
      <c r="K169" s="365"/>
      <c r="L169" s="365"/>
      <c r="M169" s="365"/>
      <c r="N169" s="365"/>
      <c r="O169" s="365"/>
      <c r="P169" s="365"/>
      <c r="Q169" s="366">
        <v>97.3</v>
      </c>
      <c r="R169" s="367" t="str">
        <f t="shared" si="9"/>
        <v>NO</v>
      </c>
      <c r="S169" s="367" t="str">
        <f t="shared" si="10"/>
        <v>Inviable Sanitariamente</v>
      </c>
    </row>
    <row r="170" spans="1:20" s="56" customFormat="1" ht="32.1" customHeight="1" x14ac:dyDescent="0.2">
      <c r="A170" s="361" t="s">
        <v>133</v>
      </c>
      <c r="B170" s="362" t="s">
        <v>3764</v>
      </c>
      <c r="C170" s="363" t="s">
        <v>3765</v>
      </c>
      <c r="D170" s="364">
        <v>28</v>
      </c>
      <c r="E170" s="365"/>
      <c r="F170" s="365"/>
      <c r="G170" s="365">
        <v>53.1</v>
      </c>
      <c r="H170" s="365"/>
      <c r="I170" s="365"/>
      <c r="J170" s="365"/>
      <c r="K170" s="365"/>
      <c r="L170" s="365"/>
      <c r="M170" s="365"/>
      <c r="N170" s="365"/>
      <c r="O170" s="365"/>
      <c r="P170" s="365"/>
      <c r="Q170" s="366">
        <f t="shared" ref="Q170:Q203" si="12">AVERAGE(E170:P170)</f>
        <v>53.1</v>
      </c>
      <c r="R170" s="367" t="str">
        <f t="shared" si="9"/>
        <v>NO</v>
      </c>
      <c r="S170" s="367" t="str">
        <f t="shared" si="10"/>
        <v>Alto</v>
      </c>
    </row>
    <row r="171" spans="1:20" s="56" customFormat="1" ht="32.1" customHeight="1" x14ac:dyDescent="0.2">
      <c r="A171" s="361" t="s">
        <v>133</v>
      </c>
      <c r="B171" s="362" t="s">
        <v>3766</v>
      </c>
      <c r="C171" s="363" t="s">
        <v>3767</v>
      </c>
      <c r="D171" s="364">
        <v>65</v>
      </c>
      <c r="E171" s="365"/>
      <c r="F171" s="365"/>
      <c r="G171" s="365"/>
      <c r="H171" s="365"/>
      <c r="I171" s="365"/>
      <c r="J171" s="365"/>
      <c r="K171" s="365"/>
      <c r="L171" s="365"/>
      <c r="M171" s="365"/>
      <c r="N171" s="365"/>
      <c r="O171" s="365"/>
      <c r="P171" s="365"/>
      <c r="Q171" s="366" t="e">
        <f t="shared" si="12"/>
        <v>#DIV/0!</v>
      </c>
      <c r="R171" s="367" t="e">
        <f t="shared" si="9"/>
        <v>#DIV/0!</v>
      </c>
      <c r="S171" s="367" t="e">
        <f t="shared" si="10"/>
        <v>#DIV/0!</v>
      </c>
    </row>
    <row r="172" spans="1:20" s="56" customFormat="1" ht="32.1" customHeight="1" x14ac:dyDescent="0.2">
      <c r="A172" s="361" t="s">
        <v>133</v>
      </c>
      <c r="B172" s="362" t="s">
        <v>1622</v>
      </c>
      <c r="C172" s="363" t="s">
        <v>3768</v>
      </c>
      <c r="D172" s="364">
        <v>19</v>
      </c>
      <c r="E172" s="365"/>
      <c r="F172" s="365"/>
      <c r="G172" s="365">
        <v>53.1</v>
      </c>
      <c r="H172" s="365"/>
      <c r="I172" s="365"/>
      <c r="J172" s="365"/>
      <c r="K172" s="365"/>
      <c r="L172" s="365"/>
      <c r="M172" s="365"/>
      <c r="N172" s="365"/>
      <c r="O172" s="365"/>
      <c r="P172" s="365"/>
      <c r="Q172" s="366">
        <f t="shared" si="12"/>
        <v>53.1</v>
      </c>
      <c r="R172" s="367" t="str">
        <f t="shared" si="9"/>
        <v>NO</v>
      </c>
      <c r="S172" s="367" t="str">
        <f t="shared" si="10"/>
        <v>Alto</v>
      </c>
    </row>
    <row r="173" spans="1:20" s="56" customFormat="1" ht="32.1" customHeight="1" x14ac:dyDescent="0.2">
      <c r="A173" s="361" t="s">
        <v>133</v>
      </c>
      <c r="B173" s="362" t="s">
        <v>3769</v>
      </c>
      <c r="C173" s="363" t="s">
        <v>3770</v>
      </c>
      <c r="D173" s="364">
        <v>38</v>
      </c>
      <c r="E173" s="365"/>
      <c r="F173" s="365"/>
      <c r="G173" s="365"/>
      <c r="H173" s="365">
        <v>53.9</v>
      </c>
      <c r="I173" s="365"/>
      <c r="J173" s="365"/>
      <c r="K173" s="365"/>
      <c r="L173" s="365"/>
      <c r="M173" s="365"/>
      <c r="N173" s="365"/>
      <c r="O173" s="365"/>
      <c r="P173" s="365"/>
      <c r="Q173" s="366">
        <f t="shared" si="12"/>
        <v>53.9</v>
      </c>
      <c r="R173" s="367" t="str">
        <f t="shared" si="9"/>
        <v>NO</v>
      </c>
      <c r="S173" s="367" t="str">
        <f t="shared" si="10"/>
        <v>Alto</v>
      </c>
      <c r="T173" s="57"/>
    </row>
    <row r="174" spans="1:20" s="56" customFormat="1" ht="32.1" customHeight="1" x14ac:dyDescent="0.2">
      <c r="A174" s="361" t="s">
        <v>133</v>
      </c>
      <c r="B174" s="362" t="s">
        <v>834</v>
      </c>
      <c r="C174" s="363" t="s">
        <v>3771</v>
      </c>
      <c r="D174" s="364">
        <v>28</v>
      </c>
      <c r="E174" s="365"/>
      <c r="F174" s="365"/>
      <c r="G174" s="365"/>
      <c r="H174" s="365">
        <v>53.9</v>
      </c>
      <c r="I174" s="365"/>
      <c r="J174" s="365"/>
      <c r="K174" s="365"/>
      <c r="L174" s="365"/>
      <c r="M174" s="365"/>
      <c r="N174" s="365"/>
      <c r="O174" s="365"/>
      <c r="P174" s="365"/>
      <c r="Q174" s="366">
        <f t="shared" si="12"/>
        <v>53.9</v>
      </c>
      <c r="R174" s="367" t="str">
        <f t="shared" si="9"/>
        <v>NO</v>
      </c>
      <c r="S174" s="367" t="str">
        <f t="shared" si="10"/>
        <v>Alto</v>
      </c>
      <c r="T174" s="57"/>
    </row>
    <row r="175" spans="1:20" s="56" customFormat="1" ht="32.1" customHeight="1" x14ac:dyDescent="0.2">
      <c r="A175" s="361" t="s">
        <v>133</v>
      </c>
      <c r="B175" s="362" t="s">
        <v>1195</v>
      </c>
      <c r="C175" s="363" t="s">
        <v>3772</v>
      </c>
      <c r="D175" s="364">
        <v>49</v>
      </c>
      <c r="E175" s="365"/>
      <c r="F175" s="365"/>
      <c r="G175" s="365"/>
      <c r="H175" s="365"/>
      <c r="I175" s="365"/>
      <c r="J175" s="365">
        <v>53.9</v>
      </c>
      <c r="K175" s="365"/>
      <c r="L175" s="365"/>
      <c r="M175" s="365"/>
      <c r="N175" s="365"/>
      <c r="O175" s="365"/>
      <c r="P175" s="365"/>
      <c r="Q175" s="366">
        <f t="shared" si="12"/>
        <v>53.9</v>
      </c>
      <c r="R175" s="367" t="str">
        <f t="shared" si="9"/>
        <v>NO</v>
      </c>
      <c r="S175" s="367" t="str">
        <f t="shared" si="10"/>
        <v>Alto</v>
      </c>
      <c r="T175" s="57"/>
    </row>
    <row r="176" spans="1:20" s="56" customFormat="1" ht="32.1" customHeight="1" x14ac:dyDescent="0.2">
      <c r="A176" s="361" t="s">
        <v>133</v>
      </c>
      <c r="B176" s="362" t="s">
        <v>1427</v>
      </c>
      <c r="C176" s="363" t="s">
        <v>3773</v>
      </c>
      <c r="D176" s="364">
        <v>30</v>
      </c>
      <c r="E176" s="365"/>
      <c r="F176" s="365"/>
      <c r="G176" s="365"/>
      <c r="H176" s="365">
        <v>53.9</v>
      </c>
      <c r="I176" s="365"/>
      <c r="J176" s="365"/>
      <c r="K176" s="365"/>
      <c r="L176" s="365"/>
      <c r="M176" s="365"/>
      <c r="N176" s="365"/>
      <c r="O176" s="365"/>
      <c r="P176" s="365"/>
      <c r="Q176" s="366">
        <f t="shared" si="12"/>
        <v>53.9</v>
      </c>
      <c r="R176" s="367" t="str">
        <f t="shared" si="9"/>
        <v>NO</v>
      </c>
      <c r="S176" s="367" t="str">
        <f t="shared" si="10"/>
        <v>Alto</v>
      </c>
      <c r="T176" s="57"/>
    </row>
    <row r="177" spans="1:20" s="56" customFormat="1" ht="32.1" customHeight="1" x14ac:dyDescent="0.2">
      <c r="A177" s="361" t="s">
        <v>133</v>
      </c>
      <c r="B177" s="362" t="s">
        <v>3071</v>
      </c>
      <c r="C177" s="363" t="s">
        <v>3774</v>
      </c>
      <c r="D177" s="364">
        <v>11</v>
      </c>
      <c r="E177" s="365"/>
      <c r="F177" s="365">
        <v>97.3</v>
      </c>
      <c r="G177" s="365"/>
      <c r="H177" s="365"/>
      <c r="I177" s="365"/>
      <c r="J177" s="365"/>
      <c r="K177" s="365"/>
      <c r="L177" s="365"/>
      <c r="M177" s="365"/>
      <c r="N177" s="365"/>
      <c r="O177" s="365"/>
      <c r="P177" s="365"/>
      <c r="Q177" s="366">
        <f t="shared" si="12"/>
        <v>97.3</v>
      </c>
      <c r="R177" s="367" t="str">
        <f t="shared" si="9"/>
        <v>NO</v>
      </c>
      <c r="S177" s="367" t="str">
        <f t="shared" si="10"/>
        <v>Inviable Sanitariamente</v>
      </c>
      <c r="T177" s="57"/>
    </row>
    <row r="178" spans="1:20" s="56" customFormat="1" ht="32.1" customHeight="1" x14ac:dyDescent="0.2">
      <c r="A178" s="361" t="s">
        <v>133</v>
      </c>
      <c r="B178" s="362" t="s">
        <v>644</v>
      </c>
      <c r="C178" s="363" t="s">
        <v>3775</v>
      </c>
      <c r="D178" s="364">
        <v>28</v>
      </c>
      <c r="E178" s="365"/>
      <c r="F178" s="365"/>
      <c r="G178" s="365"/>
      <c r="H178" s="365"/>
      <c r="I178" s="365"/>
      <c r="J178" s="365"/>
      <c r="K178" s="365"/>
      <c r="L178" s="365"/>
      <c r="M178" s="365"/>
      <c r="N178" s="365"/>
      <c r="O178" s="365"/>
      <c r="P178" s="365"/>
      <c r="Q178" s="366" t="e">
        <f t="shared" si="12"/>
        <v>#DIV/0!</v>
      </c>
      <c r="R178" s="367" t="e">
        <f t="shared" si="9"/>
        <v>#DIV/0!</v>
      </c>
      <c r="S178" s="367" t="e">
        <f t="shared" si="10"/>
        <v>#DIV/0!</v>
      </c>
      <c r="T178" s="57"/>
    </row>
    <row r="179" spans="1:20" s="56" customFormat="1" ht="32.1" customHeight="1" x14ac:dyDescent="0.2">
      <c r="A179" s="361" t="s">
        <v>133</v>
      </c>
      <c r="B179" s="362" t="s">
        <v>3776</v>
      </c>
      <c r="C179" s="363" t="s">
        <v>2693</v>
      </c>
      <c r="D179" s="364">
        <v>28</v>
      </c>
      <c r="E179" s="365"/>
      <c r="F179" s="365"/>
      <c r="G179" s="365"/>
      <c r="H179" s="365"/>
      <c r="I179" s="365"/>
      <c r="J179" s="365"/>
      <c r="K179" s="365"/>
      <c r="L179" s="365"/>
      <c r="M179" s="365"/>
      <c r="N179" s="365"/>
      <c r="O179" s="365"/>
      <c r="P179" s="365"/>
      <c r="Q179" s="366" t="e">
        <f t="shared" si="12"/>
        <v>#DIV/0!</v>
      </c>
      <c r="R179" s="367" t="e">
        <f t="shared" si="9"/>
        <v>#DIV/0!</v>
      </c>
      <c r="S179" s="367" t="e">
        <f t="shared" si="10"/>
        <v>#DIV/0!</v>
      </c>
      <c r="T179" s="57"/>
    </row>
    <row r="180" spans="1:20" s="56" customFormat="1" ht="32.1" customHeight="1" x14ac:dyDescent="0.2">
      <c r="A180" s="361" t="s">
        <v>133</v>
      </c>
      <c r="B180" s="362" t="s">
        <v>674</v>
      </c>
      <c r="C180" s="363" t="s">
        <v>3321</v>
      </c>
      <c r="D180" s="364">
        <v>17</v>
      </c>
      <c r="E180" s="365"/>
      <c r="F180" s="365"/>
      <c r="G180" s="365"/>
      <c r="H180" s="365">
        <v>53.9</v>
      </c>
      <c r="I180" s="365"/>
      <c r="J180" s="365">
        <v>53.9</v>
      </c>
      <c r="K180" s="365"/>
      <c r="L180" s="365"/>
      <c r="M180" s="365"/>
      <c r="N180" s="365"/>
      <c r="O180" s="365"/>
      <c r="P180" s="365"/>
      <c r="Q180" s="366">
        <f t="shared" si="12"/>
        <v>53.9</v>
      </c>
      <c r="R180" s="367" t="str">
        <f t="shared" si="9"/>
        <v>NO</v>
      </c>
      <c r="S180" s="367" t="str">
        <f t="shared" si="10"/>
        <v>Alto</v>
      </c>
      <c r="T180" s="57"/>
    </row>
    <row r="181" spans="1:20" s="56" customFormat="1" ht="32.1" customHeight="1" x14ac:dyDescent="0.2">
      <c r="A181" s="361" t="s">
        <v>133</v>
      </c>
      <c r="B181" s="362" t="s">
        <v>3777</v>
      </c>
      <c r="C181" s="363" t="s">
        <v>3778</v>
      </c>
      <c r="D181" s="364">
        <v>35</v>
      </c>
      <c r="E181" s="365"/>
      <c r="F181" s="365"/>
      <c r="G181" s="365">
        <v>53.9</v>
      </c>
      <c r="H181" s="365"/>
      <c r="I181" s="365"/>
      <c r="J181" s="365"/>
      <c r="K181" s="365"/>
      <c r="L181" s="365"/>
      <c r="M181" s="365"/>
      <c r="N181" s="365"/>
      <c r="O181" s="365"/>
      <c r="P181" s="365"/>
      <c r="Q181" s="366">
        <f t="shared" si="12"/>
        <v>53.9</v>
      </c>
      <c r="R181" s="367" t="str">
        <f t="shared" si="9"/>
        <v>NO</v>
      </c>
      <c r="S181" s="367" t="str">
        <f t="shared" si="10"/>
        <v>Alto</v>
      </c>
      <c r="T181" s="57"/>
    </row>
    <row r="182" spans="1:20" s="56" customFormat="1" ht="32.1" customHeight="1" x14ac:dyDescent="0.2">
      <c r="A182" s="361" t="s">
        <v>133</v>
      </c>
      <c r="B182" s="362" t="s">
        <v>890</v>
      </c>
      <c r="C182" s="363" t="s">
        <v>3779</v>
      </c>
      <c r="D182" s="364">
        <v>16</v>
      </c>
      <c r="E182" s="365"/>
      <c r="F182" s="365"/>
      <c r="G182" s="365"/>
      <c r="H182" s="365">
        <v>53.9</v>
      </c>
      <c r="I182" s="365"/>
      <c r="J182" s="365"/>
      <c r="K182" s="365"/>
      <c r="L182" s="365"/>
      <c r="M182" s="365"/>
      <c r="N182" s="365"/>
      <c r="O182" s="365"/>
      <c r="P182" s="365"/>
      <c r="Q182" s="366">
        <f t="shared" si="12"/>
        <v>53.9</v>
      </c>
      <c r="R182" s="367" t="str">
        <f t="shared" si="9"/>
        <v>NO</v>
      </c>
      <c r="S182" s="367" t="str">
        <f t="shared" si="10"/>
        <v>Alto</v>
      </c>
      <c r="T182" s="57"/>
    </row>
    <row r="183" spans="1:20" s="56" customFormat="1" ht="32.1" customHeight="1" x14ac:dyDescent="0.2">
      <c r="A183" s="361" t="s">
        <v>133</v>
      </c>
      <c r="B183" s="362" t="s">
        <v>67</v>
      </c>
      <c r="C183" s="363" t="s">
        <v>3780</v>
      </c>
      <c r="D183" s="364">
        <v>25</v>
      </c>
      <c r="E183" s="365"/>
      <c r="F183" s="365"/>
      <c r="G183" s="365"/>
      <c r="H183" s="365"/>
      <c r="I183" s="365"/>
      <c r="J183" s="365"/>
      <c r="K183" s="365"/>
      <c r="L183" s="365"/>
      <c r="M183" s="365"/>
      <c r="N183" s="365"/>
      <c r="O183" s="365"/>
      <c r="P183" s="365"/>
      <c r="Q183" s="366" t="e">
        <f t="shared" si="12"/>
        <v>#DIV/0!</v>
      </c>
      <c r="R183" s="367" t="e">
        <f t="shared" si="9"/>
        <v>#DIV/0!</v>
      </c>
      <c r="S183" s="367" t="e">
        <f t="shared" si="10"/>
        <v>#DIV/0!</v>
      </c>
      <c r="T183" s="57"/>
    </row>
    <row r="184" spans="1:20" s="56" customFormat="1" ht="32.1" customHeight="1" x14ac:dyDescent="0.2">
      <c r="A184" s="361" t="s">
        <v>133</v>
      </c>
      <c r="B184" s="362" t="s">
        <v>3781</v>
      </c>
      <c r="C184" s="363" t="s">
        <v>3782</v>
      </c>
      <c r="D184" s="364">
        <v>29</v>
      </c>
      <c r="E184" s="365"/>
      <c r="F184" s="365"/>
      <c r="G184" s="365"/>
      <c r="H184" s="365"/>
      <c r="I184" s="365">
        <v>53.9</v>
      </c>
      <c r="J184" s="365"/>
      <c r="K184" s="365"/>
      <c r="L184" s="365"/>
      <c r="M184" s="365"/>
      <c r="N184" s="365"/>
      <c r="O184" s="365"/>
      <c r="P184" s="365"/>
      <c r="Q184" s="366">
        <f t="shared" si="12"/>
        <v>53.9</v>
      </c>
      <c r="R184" s="367" t="str">
        <f t="shared" si="9"/>
        <v>NO</v>
      </c>
      <c r="S184" s="367" t="str">
        <f t="shared" si="10"/>
        <v>Alto</v>
      </c>
      <c r="T184" s="57"/>
    </row>
    <row r="185" spans="1:20" s="56" customFormat="1" ht="32.1" customHeight="1" x14ac:dyDescent="0.2">
      <c r="A185" s="361" t="s">
        <v>133</v>
      </c>
      <c r="B185" s="362" t="s">
        <v>3783</v>
      </c>
      <c r="C185" s="363" t="s">
        <v>3784</v>
      </c>
      <c r="D185" s="364">
        <v>49</v>
      </c>
      <c r="E185" s="365"/>
      <c r="F185" s="365"/>
      <c r="G185" s="365"/>
      <c r="H185" s="365"/>
      <c r="I185" s="365"/>
      <c r="J185" s="365"/>
      <c r="K185" s="365"/>
      <c r="L185" s="365"/>
      <c r="M185" s="365"/>
      <c r="N185" s="365"/>
      <c r="O185" s="365"/>
      <c r="P185" s="365"/>
      <c r="Q185" s="366" t="e">
        <f t="shared" si="12"/>
        <v>#DIV/0!</v>
      </c>
      <c r="R185" s="367" t="e">
        <f t="shared" si="9"/>
        <v>#DIV/0!</v>
      </c>
      <c r="S185" s="367" t="e">
        <f t="shared" si="10"/>
        <v>#DIV/0!</v>
      </c>
      <c r="T185" s="57"/>
    </row>
    <row r="186" spans="1:20" s="56" customFormat="1" ht="32.1" customHeight="1" x14ac:dyDescent="0.2">
      <c r="A186" s="361" t="s">
        <v>133</v>
      </c>
      <c r="B186" s="362" t="s">
        <v>3785</v>
      </c>
      <c r="C186" s="363" t="s">
        <v>3786</v>
      </c>
      <c r="D186" s="364">
        <v>25</v>
      </c>
      <c r="E186" s="365"/>
      <c r="F186" s="365">
        <v>50.1</v>
      </c>
      <c r="G186" s="365"/>
      <c r="H186" s="365"/>
      <c r="I186" s="365"/>
      <c r="J186" s="365"/>
      <c r="K186" s="365"/>
      <c r="L186" s="365"/>
      <c r="M186" s="365"/>
      <c r="N186" s="365"/>
      <c r="O186" s="365"/>
      <c r="P186" s="365"/>
      <c r="Q186" s="366">
        <f t="shared" si="12"/>
        <v>50.1</v>
      </c>
      <c r="R186" s="367" t="str">
        <f t="shared" si="9"/>
        <v>NO</v>
      </c>
      <c r="S186" s="367" t="str">
        <f t="shared" si="10"/>
        <v>Alto</v>
      </c>
      <c r="T186" s="57"/>
    </row>
    <row r="187" spans="1:20" s="56" customFormat="1" ht="32.1" customHeight="1" x14ac:dyDescent="0.2">
      <c r="A187" s="361" t="s">
        <v>133</v>
      </c>
      <c r="B187" s="362" t="s">
        <v>3787</v>
      </c>
      <c r="C187" s="363" t="s">
        <v>3788</v>
      </c>
      <c r="D187" s="364">
        <v>11</v>
      </c>
      <c r="E187" s="365"/>
      <c r="F187" s="365"/>
      <c r="G187" s="365"/>
      <c r="H187" s="365"/>
      <c r="I187" s="365">
        <v>53.9</v>
      </c>
      <c r="J187" s="365"/>
      <c r="K187" s="365"/>
      <c r="L187" s="365"/>
      <c r="M187" s="365"/>
      <c r="N187" s="365"/>
      <c r="O187" s="365"/>
      <c r="P187" s="365"/>
      <c r="Q187" s="366">
        <f t="shared" si="12"/>
        <v>53.9</v>
      </c>
      <c r="R187" s="367" t="str">
        <f t="shared" si="9"/>
        <v>NO</v>
      </c>
      <c r="S187" s="367" t="str">
        <f t="shared" si="10"/>
        <v>Alto</v>
      </c>
      <c r="T187" s="57"/>
    </row>
    <row r="188" spans="1:20" s="56" customFormat="1" ht="32.1" customHeight="1" x14ac:dyDescent="0.2">
      <c r="A188" s="361" t="s">
        <v>133</v>
      </c>
      <c r="B188" s="362" t="s">
        <v>4429</v>
      </c>
      <c r="C188" s="363" t="s">
        <v>4430</v>
      </c>
      <c r="D188" s="364">
        <v>10</v>
      </c>
      <c r="E188" s="365"/>
      <c r="F188" s="365"/>
      <c r="G188" s="365"/>
      <c r="H188" s="365"/>
      <c r="I188" s="365">
        <v>53.9</v>
      </c>
      <c r="J188" s="365"/>
      <c r="K188" s="365"/>
      <c r="L188" s="365"/>
      <c r="M188" s="365"/>
      <c r="N188" s="365"/>
      <c r="O188" s="365"/>
      <c r="P188" s="365"/>
      <c r="Q188" s="366">
        <f>AVERAGE(E188:P188)</f>
        <v>53.9</v>
      </c>
      <c r="R188" s="367" t="str">
        <f t="shared" si="9"/>
        <v>NO</v>
      </c>
      <c r="S188" s="367" t="str">
        <f t="shared" si="10"/>
        <v>Alto</v>
      </c>
      <c r="T188" s="57"/>
    </row>
    <row r="189" spans="1:20" s="56" customFormat="1" ht="32.1" customHeight="1" x14ac:dyDescent="0.2">
      <c r="A189" s="361" t="s">
        <v>133</v>
      </c>
      <c r="B189" s="362" t="s">
        <v>4431</v>
      </c>
      <c r="C189" s="363" t="s">
        <v>4432</v>
      </c>
      <c r="D189" s="364">
        <v>12</v>
      </c>
      <c r="E189" s="365"/>
      <c r="F189" s="365"/>
      <c r="G189" s="365"/>
      <c r="H189" s="365"/>
      <c r="I189" s="365"/>
      <c r="J189" s="365"/>
      <c r="K189" s="365"/>
      <c r="L189" s="365"/>
      <c r="M189" s="365"/>
      <c r="N189" s="365"/>
      <c r="O189" s="365"/>
      <c r="P189" s="365"/>
      <c r="Q189" s="366"/>
      <c r="R189" s="367"/>
      <c r="S189" s="367"/>
      <c r="T189" s="57"/>
    </row>
    <row r="190" spans="1:20" s="56" customFormat="1" ht="32.1" customHeight="1" x14ac:dyDescent="0.2">
      <c r="A190" s="361" t="s">
        <v>3795</v>
      </c>
      <c r="B190" s="362" t="s">
        <v>3789</v>
      </c>
      <c r="C190" s="363" t="s">
        <v>3790</v>
      </c>
      <c r="D190" s="364">
        <v>35</v>
      </c>
      <c r="E190" s="365"/>
      <c r="F190" s="365">
        <v>53.9</v>
      </c>
      <c r="G190" s="365"/>
      <c r="H190" s="365">
        <v>53.9</v>
      </c>
      <c r="I190" s="365"/>
      <c r="J190" s="365">
        <v>53.9</v>
      </c>
      <c r="K190" s="365"/>
      <c r="L190" s="365">
        <v>53.9</v>
      </c>
      <c r="M190" s="365"/>
      <c r="N190" s="365"/>
      <c r="O190" s="365"/>
      <c r="P190" s="365"/>
      <c r="Q190" s="366">
        <f t="shared" si="12"/>
        <v>53.9</v>
      </c>
      <c r="R190" s="367" t="str">
        <f t="shared" si="9"/>
        <v>NO</v>
      </c>
      <c r="S190" s="367" t="str">
        <f t="shared" si="10"/>
        <v>Alto</v>
      </c>
      <c r="T190" s="57"/>
    </row>
    <row r="191" spans="1:20" s="56" customFormat="1" ht="32.1" customHeight="1" x14ac:dyDescent="0.2">
      <c r="A191" s="361" t="s">
        <v>3795</v>
      </c>
      <c r="B191" s="362" t="s">
        <v>3791</v>
      </c>
      <c r="C191" s="363" t="s">
        <v>3792</v>
      </c>
      <c r="D191" s="364">
        <v>72</v>
      </c>
      <c r="E191" s="365"/>
      <c r="F191" s="365">
        <v>53.9</v>
      </c>
      <c r="G191" s="365">
        <v>53.9</v>
      </c>
      <c r="H191" s="365">
        <v>53.9</v>
      </c>
      <c r="I191" s="365"/>
      <c r="J191" s="365"/>
      <c r="K191" s="365">
        <v>53.9</v>
      </c>
      <c r="L191" s="365"/>
      <c r="M191" s="365">
        <v>53.9</v>
      </c>
      <c r="N191" s="365"/>
      <c r="O191" s="365"/>
      <c r="P191" s="365"/>
      <c r="Q191" s="366">
        <f t="shared" si="12"/>
        <v>53.9</v>
      </c>
      <c r="R191" s="367" t="str">
        <f t="shared" si="9"/>
        <v>NO</v>
      </c>
      <c r="S191" s="367" t="str">
        <f t="shared" si="10"/>
        <v>Alto</v>
      </c>
      <c r="T191" s="57"/>
    </row>
    <row r="192" spans="1:20" s="56" customFormat="1" ht="32.1" customHeight="1" x14ac:dyDescent="0.2">
      <c r="A192" s="361" t="s">
        <v>3795</v>
      </c>
      <c r="B192" s="362" t="s">
        <v>3793</v>
      </c>
      <c r="C192" s="363" t="s">
        <v>3794</v>
      </c>
      <c r="D192" s="364">
        <v>14</v>
      </c>
      <c r="E192" s="365"/>
      <c r="F192" s="365"/>
      <c r="G192" s="365">
        <v>53.9</v>
      </c>
      <c r="H192" s="365"/>
      <c r="I192" s="365">
        <v>53.9</v>
      </c>
      <c r="J192" s="365">
        <v>53.9</v>
      </c>
      <c r="K192" s="365"/>
      <c r="L192" s="365">
        <v>53.9</v>
      </c>
      <c r="M192" s="365">
        <v>53.9</v>
      </c>
      <c r="N192" s="365"/>
      <c r="O192" s="365"/>
      <c r="P192" s="365"/>
      <c r="Q192" s="366">
        <f t="shared" si="12"/>
        <v>53.9</v>
      </c>
      <c r="R192" s="367" t="str">
        <f t="shared" si="9"/>
        <v>NO</v>
      </c>
      <c r="S192" s="367" t="str">
        <f t="shared" si="10"/>
        <v>Alto</v>
      </c>
      <c r="T192" s="57"/>
    </row>
    <row r="193" spans="1:20" s="56" customFormat="1" ht="32.1" customHeight="1" x14ac:dyDescent="0.2">
      <c r="A193" s="361" t="s">
        <v>3795</v>
      </c>
      <c r="B193" s="362" t="s">
        <v>793</v>
      </c>
      <c r="C193" s="363" t="s">
        <v>673</v>
      </c>
      <c r="D193" s="364">
        <v>20</v>
      </c>
      <c r="E193" s="365"/>
      <c r="F193" s="365"/>
      <c r="G193" s="365"/>
      <c r="H193" s="365">
        <v>53.9</v>
      </c>
      <c r="I193" s="365"/>
      <c r="J193" s="365"/>
      <c r="K193" s="365">
        <v>53.9</v>
      </c>
      <c r="L193" s="365"/>
      <c r="M193" s="365"/>
      <c r="N193" s="365"/>
      <c r="O193" s="365"/>
      <c r="P193" s="365"/>
      <c r="Q193" s="366">
        <f t="shared" si="12"/>
        <v>53.9</v>
      </c>
      <c r="R193" s="367" t="str">
        <f t="shared" si="9"/>
        <v>NO</v>
      </c>
      <c r="S193" s="367" t="str">
        <f t="shared" si="10"/>
        <v>Alto</v>
      </c>
      <c r="T193" s="57"/>
    </row>
    <row r="194" spans="1:20" s="56" customFormat="1" ht="32.1" customHeight="1" x14ac:dyDescent="0.2">
      <c r="A194" s="361" t="s">
        <v>135</v>
      </c>
      <c r="B194" s="362" t="s">
        <v>3796</v>
      </c>
      <c r="C194" s="362" t="s">
        <v>3797</v>
      </c>
      <c r="D194" s="364">
        <v>112</v>
      </c>
      <c r="E194" s="365"/>
      <c r="F194" s="365"/>
      <c r="G194" s="365"/>
      <c r="H194" s="365"/>
      <c r="I194" s="365"/>
      <c r="J194" s="365"/>
      <c r="K194" s="365"/>
      <c r="L194" s="365"/>
      <c r="M194" s="365"/>
      <c r="N194" s="365"/>
      <c r="O194" s="365"/>
      <c r="P194" s="365">
        <v>3.95</v>
      </c>
      <c r="Q194" s="366">
        <f t="shared" si="12"/>
        <v>3.95</v>
      </c>
      <c r="R194" s="367" t="str">
        <f t="shared" si="9"/>
        <v>SI</v>
      </c>
      <c r="S194" s="367" t="str">
        <f t="shared" si="10"/>
        <v>Sin Riesgo</v>
      </c>
      <c r="T194" s="57"/>
    </row>
    <row r="195" spans="1:20" s="56" customFormat="1" ht="32.1" customHeight="1" x14ac:dyDescent="0.2">
      <c r="A195" s="361" t="s">
        <v>135</v>
      </c>
      <c r="B195" s="362" t="s">
        <v>3798</v>
      </c>
      <c r="C195" s="362" t="s">
        <v>3799</v>
      </c>
      <c r="D195" s="364">
        <v>157</v>
      </c>
      <c r="E195" s="365"/>
      <c r="F195" s="365"/>
      <c r="G195" s="365"/>
      <c r="H195" s="365"/>
      <c r="I195" s="365"/>
      <c r="J195" s="365"/>
      <c r="K195" s="365"/>
      <c r="L195" s="365"/>
      <c r="M195" s="365"/>
      <c r="N195" s="365"/>
      <c r="O195" s="365">
        <v>56.58</v>
      </c>
      <c r="P195" s="365"/>
      <c r="Q195" s="366">
        <f t="shared" si="12"/>
        <v>56.58</v>
      </c>
      <c r="R195" s="367" t="str">
        <f t="shared" si="9"/>
        <v>NO</v>
      </c>
      <c r="S195" s="367" t="str">
        <f t="shared" si="10"/>
        <v>Alto</v>
      </c>
      <c r="T195" s="57"/>
    </row>
    <row r="196" spans="1:20" s="56" customFormat="1" ht="32.1" customHeight="1" x14ac:dyDescent="0.2">
      <c r="A196" s="361" t="s">
        <v>135</v>
      </c>
      <c r="B196" s="362" t="s">
        <v>3800</v>
      </c>
      <c r="C196" s="362" t="s">
        <v>3801</v>
      </c>
      <c r="D196" s="364">
        <v>375</v>
      </c>
      <c r="E196" s="365"/>
      <c r="F196" s="365"/>
      <c r="G196" s="365"/>
      <c r="H196" s="365"/>
      <c r="I196" s="365"/>
      <c r="J196" s="365"/>
      <c r="K196" s="365">
        <v>0</v>
      </c>
      <c r="L196" s="365"/>
      <c r="M196" s="365"/>
      <c r="N196" s="365"/>
      <c r="O196" s="365"/>
      <c r="P196" s="365"/>
      <c r="Q196" s="366">
        <f t="shared" si="12"/>
        <v>0</v>
      </c>
      <c r="R196" s="367" t="str">
        <f t="shared" si="9"/>
        <v>SI</v>
      </c>
      <c r="S196" s="367" t="str">
        <f t="shared" si="10"/>
        <v>Sin Riesgo</v>
      </c>
      <c r="T196" s="57"/>
    </row>
    <row r="197" spans="1:20" s="56" customFormat="1" ht="32.1" customHeight="1" x14ac:dyDescent="0.2">
      <c r="A197" s="361" t="s">
        <v>135</v>
      </c>
      <c r="B197" s="362" t="s">
        <v>3802</v>
      </c>
      <c r="C197" s="362" t="s">
        <v>3803</v>
      </c>
      <c r="D197" s="364">
        <v>168</v>
      </c>
      <c r="E197" s="365"/>
      <c r="F197" s="365"/>
      <c r="G197" s="365"/>
      <c r="H197" s="365"/>
      <c r="I197" s="365"/>
      <c r="J197" s="365"/>
      <c r="K197" s="365">
        <v>0</v>
      </c>
      <c r="L197" s="365"/>
      <c r="M197" s="365"/>
      <c r="N197" s="365"/>
      <c r="O197" s="365"/>
      <c r="P197" s="365"/>
      <c r="Q197" s="366">
        <f t="shared" si="12"/>
        <v>0</v>
      </c>
      <c r="R197" s="367" t="str">
        <f t="shared" si="9"/>
        <v>SI</v>
      </c>
      <c r="S197" s="367" t="str">
        <f t="shared" si="10"/>
        <v>Sin Riesgo</v>
      </c>
      <c r="T197" s="57"/>
    </row>
    <row r="198" spans="1:20" s="56" customFormat="1" ht="32.1" customHeight="1" x14ac:dyDescent="0.2">
      <c r="A198" s="361" t="s">
        <v>135</v>
      </c>
      <c r="B198" s="362" t="s">
        <v>3804</v>
      </c>
      <c r="C198" s="362" t="s">
        <v>3805</v>
      </c>
      <c r="D198" s="364">
        <v>222</v>
      </c>
      <c r="E198" s="365"/>
      <c r="F198" s="365">
        <v>47.62</v>
      </c>
      <c r="G198" s="365"/>
      <c r="H198" s="365"/>
      <c r="I198" s="365"/>
      <c r="J198" s="365"/>
      <c r="K198" s="365"/>
      <c r="L198" s="365"/>
      <c r="M198" s="365"/>
      <c r="N198" s="365"/>
      <c r="O198" s="365"/>
      <c r="P198" s="365"/>
      <c r="Q198" s="366">
        <f t="shared" si="12"/>
        <v>47.62</v>
      </c>
      <c r="R198" s="367" t="str">
        <f t="shared" si="9"/>
        <v>NO</v>
      </c>
      <c r="S198" s="367" t="str">
        <f t="shared" si="10"/>
        <v>Alto</v>
      </c>
      <c r="T198" s="57"/>
    </row>
    <row r="199" spans="1:20" s="56" customFormat="1" ht="32.1" customHeight="1" x14ac:dyDescent="0.2">
      <c r="A199" s="361" t="s">
        <v>135</v>
      </c>
      <c r="B199" s="362" t="s">
        <v>3806</v>
      </c>
      <c r="C199" s="362" t="s">
        <v>3807</v>
      </c>
      <c r="D199" s="364">
        <v>100</v>
      </c>
      <c r="E199" s="365"/>
      <c r="F199" s="365"/>
      <c r="G199" s="365"/>
      <c r="H199" s="365"/>
      <c r="I199" s="365"/>
      <c r="J199" s="365"/>
      <c r="K199" s="365">
        <v>0</v>
      </c>
      <c r="L199" s="365"/>
      <c r="M199" s="365"/>
      <c r="N199" s="365"/>
      <c r="O199" s="365"/>
      <c r="P199" s="365"/>
      <c r="Q199" s="366">
        <f t="shared" si="12"/>
        <v>0</v>
      </c>
      <c r="R199" s="367" t="str">
        <f t="shared" si="9"/>
        <v>SI</v>
      </c>
      <c r="S199" s="367" t="str">
        <f t="shared" si="10"/>
        <v>Sin Riesgo</v>
      </c>
      <c r="T199" s="57"/>
    </row>
    <row r="200" spans="1:20" s="56" customFormat="1" ht="32.1" customHeight="1" x14ac:dyDescent="0.2">
      <c r="A200" s="361" t="s">
        <v>135</v>
      </c>
      <c r="B200" s="362" t="s">
        <v>3808</v>
      </c>
      <c r="C200" s="362" t="s">
        <v>3809</v>
      </c>
      <c r="D200" s="364">
        <v>26</v>
      </c>
      <c r="E200" s="365"/>
      <c r="F200" s="365"/>
      <c r="G200" s="365"/>
      <c r="H200" s="365"/>
      <c r="I200" s="365"/>
      <c r="J200" s="365"/>
      <c r="K200" s="365"/>
      <c r="L200" s="365"/>
      <c r="M200" s="365"/>
      <c r="N200" s="365"/>
      <c r="O200" s="365"/>
      <c r="P200" s="365">
        <v>94.08</v>
      </c>
      <c r="Q200" s="366">
        <f t="shared" si="12"/>
        <v>94.08</v>
      </c>
      <c r="R200" s="367" t="str">
        <f t="shared" si="9"/>
        <v>NO</v>
      </c>
      <c r="S200" s="367" t="str">
        <f t="shared" si="10"/>
        <v>Inviable Sanitariamente</v>
      </c>
      <c r="T200" s="57"/>
    </row>
    <row r="201" spans="1:20" s="191" customFormat="1" ht="32.1" customHeight="1" x14ac:dyDescent="0.2">
      <c r="A201" s="361" t="s">
        <v>135</v>
      </c>
      <c r="B201" s="362" t="s">
        <v>3810</v>
      </c>
      <c r="C201" s="362" t="s">
        <v>3811</v>
      </c>
      <c r="D201" s="364">
        <v>338</v>
      </c>
      <c r="E201" s="365"/>
      <c r="F201" s="365"/>
      <c r="G201" s="365"/>
      <c r="H201" s="365"/>
      <c r="I201" s="365"/>
      <c r="J201" s="365"/>
      <c r="K201" s="365"/>
      <c r="L201" s="365"/>
      <c r="M201" s="365"/>
      <c r="N201" s="365"/>
      <c r="O201" s="365">
        <v>3.95</v>
      </c>
      <c r="P201" s="365"/>
      <c r="Q201" s="366">
        <f t="shared" si="12"/>
        <v>3.95</v>
      </c>
      <c r="R201" s="367" t="str">
        <f t="shared" si="9"/>
        <v>SI</v>
      </c>
      <c r="S201" s="367" t="str">
        <f t="shared" si="10"/>
        <v>Sin Riesgo</v>
      </c>
    </row>
    <row r="202" spans="1:20" s="191" customFormat="1" ht="32.1" customHeight="1" x14ac:dyDescent="0.2">
      <c r="A202" s="361" t="s">
        <v>135</v>
      </c>
      <c r="B202" s="362" t="s">
        <v>3812</v>
      </c>
      <c r="C202" s="362" t="s">
        <v>3813</v>
      </c>
      <c r="D202" s="364">
        <v>200</v>
      </c>
      <c r="E202" s="365"/>
      <c r="F202" s="365"/>
      <c r="G202" s="365"/>
      <c r="H202" s="365"/>
      <c r="I202" s="365">
        <v>95.24</v>
      </c>
      <c r="J202" s="365"/>
      <c r="K202" s="365"/>
      <c r="L202" s="365"/>
      <c r="M202" s="365"/>
      <c r="N202" s="365"/>
      <c r="O202" s="365"/>
      <c r="P202" s="365"/>
      <c r="Q202" s="366">
        <f t="shared" si="12"/>
        <v>95.24</v>
      </c>
      <c r="R202" s="367" t="str">
        <f t="shared" si="9"/>
        <v>NO</v>
      </c>
      <c r="S202" s="367" t="str">
        <f t="shared" si="10"/>
        <v>Inviable Sanitariamente</v>
      </c>
    </row>
    <row r="203" spans="1:20" s="56" customFormat="1" ht="32.1" customHeight="1" x14ac:dyDescent="0.2">
      <c r="A203" s="361" t="s">
        <v>135</v>
      </c>
      <c r="B203" s="362" t="s">
        <v>3814</v>
      </c>
      <c r="C203" s="362" t="s">
        <v>3815</v>
      </c>
      <c r="D203" s="364">
        <v>72</v>
      </c>
      <c r="E203" s="365"/>
      <c r="F203" s="365"/>
      <c r="G203" s="365"/>
      <c r="H203" s="365"/>
      <c r="I203" s="365"/>
      <c r="J203" s="365"/>
      <c r="K203" s="365"/>
      <c r="L203" s="365"/>
      <c r="M203" s="365"/>
      <c r="N203" s="365"/>
      <c r="O203" s="365">
        <v>78.290000000000006</v>
      </c>
      <c r="P203" s="365"/>
      <c r="Q203" s="366">
        <f t="shared" si="12"/>
        <v>78.290000000000006</v>
      </c>
      <c r="R203" s="367" t="str">
        <f t="shared" si="9"/>
        <v>NO</v>
      </c>
      <c r="S203" s="367" t="str">
        <f t="shared" si="10"/>
        <v>Alto</v>
      </c>
      <c r="T203" s="57"/>
    </row>
    <row r="204" spans="1:20" s="56" customFormat="1" ht="32.1" customHeight="1" x14ac:dyDescent="0.2">
      <c r="A204" s="361" t="s">
        <v>135</v>
      </c>
      <c r="B204" s="362" t="s">
        <v>3816</v>
      </c>
      <c r="C204" s="362" t="s">
        <v>3817</v>
      </c>
      <c r="D204" s="364">
        <v>215</v>
      </c>
      <c r="E204" s="365"/>
      <c r="F204" s="365"/>
      <c r="G204" s="365"/>
      <c r="H204" s="365"/>
      <c r="I204" s="365"/>
      <c r="J204" s="365"/>
      <c r="K204" s="365"/>
      <c r="L204" s="365"/>
      <c r="M204" s="365"/>
      <c r="N204" s="365"/>
      <c r="O204" s="365"/>
      <c r="P204" s="365">
        <v>77.849999999999994</v>
      </c>
      <c r="Q204" s="366">
        <f t="shared" ref="Q204:Q235" si="13">AVERAGE(E204:P204)</f>
        <v>77.849999999999994</v>
      </c>
      <c r="R204" s="367" t="str">
        <f t="shared" si="9"/>
        <v>NO</v>
      </c>
      <c r="S204" s="367" t="str">
        <f t="shared" si="10"/>
        <v>Alto</v>
      </c>
      <c r="T204" s="57"/>
    </row>
    <row r="205" spans="1:20" s="56" customFormat="1" ht="32.1" customHeight="1" x14ac:dyDescent="0.2">
      <c r="A205" s="361" t="s">
        <v>135</v>
      </c>
      <c r="B205" s="362" t="s">
        <v>3818</v>
      </c>
      <c r="C205" s="362" t="s">
        <v>3819</v>
      </c>
      <c r="D205" s="364">
        <v>33</v>
      </c>
      <c r="E205" s="365"/>
      <c r="F205" s="365"/>
      <c r="G205" s="365"/>
      <c r="H205" s="365"/>
      <c r="I205" s="365"/>
      <c r="J205" s="365"/>
      <c r="K205" s="365"/>
      <c r="L205" s="365"/>
      <c r="M205" s="365"/>
      <c r="N205" s="365"/>
      <c r="O205" s="365"/>
      <c r="P205" s="365">
        <v>96.05</v>
      </c>
      <c r="Q205" s="366">
        <f t="shared" si="13"/>
        <v>96.05</v>
      </c>
      <c r="R205" s="367" t="str">
        <f t="shared" si="9"/>
        <v>NO</v>
      </c>
      <c r="S205" s="367" t="str">
        <f t="shared" si="10"/>
        <v>Inviable Sanitariamente</v>
      </c>
      <c r="T205" s="57"/>
    </row>
    <row r="206" spans="1:20" s="56" customFormat="1" ht="32.1" customHeight="1" x14ac:dyDescent="0.2">
      <c r="A206" s="361" t="s">
        <v>135</v>
      </c>
      <c r="B206" s="362" t="s">
        <v>3820</v>
      </c>
      <c r="C206" s="362" t="s">
        <v>3821</v>
      </c>
      <c r="D206" s="364">
        <v>244</v>
      </c>
      <c r="E206" s="365"/>
      <c r="F206" s="365"/>
      <c r="G206" s="365"/>
      <c r="H206" s="365"/>
      <c r="I206" s="365"/>
      <c r="J206" s="365"/>
      <c r="K206" s="365"/>
      <c r="L206" s="365"/>
      <c r="M206" s="365"/>
      <c r="N206" s="365"/>
      <c r="O206" s="365"/>
      <c r="P206" s="365">
        <v>3.95</v>
      </c>
      <c r="Q206" s="366">
        <f t="shared" si="13"/>
        <v>3.95</v>
      </c>
      <c r="R206" s="367" t="str">
        <f t="shared" si="9"/>
        <v>SI</v>
      </c>
      <c r="S206" s="367" t="str">
        <f t="shared" ref="S206:S269" si="14">IF(Q206&lt;=5,"Sin Riesgo",IF(Q206 &lt;=14,"Bajo",IF(Q206&lt;=35,"Medio",IF(Q206&lt;=80,"Alto","Inviable Sanitariamente"))))</f>
        <v>Sin Riesgo</v>
      </c>
      <c r="T206" s="57"/>
    </row>
    <row r="207" spans="1:20" s="56" customFormat="1" ht="32.1" customHeight="1" x14ac:dyDescent="0.2">
      <c r="A207" s="361" t="s">
        <v>135</v>
      </c>
      <c r="B207" s="362" t="s">
        <v>3822</v>
      </c>
      <c r="C207" s="362" t="s">
        <v>3823</v>
      </c>
      <c r="D207" s="364">
        <v>286</v>
      </c>
      <c r="E207" s="365"/>
      <c r="F207" s="365"/>
      <c r="G207" s="365"/>
      <c r="H207" s="365"/>
      <c r="I207" s="365"/>
      <c r="J207" s="365"/>
      <c r="K207" s="365"/>
      <c r="L207" s="365"/>
      <c r="M207" s="365"/>
      <c r="N207" s="365"/>
      <c r="O207" s="365"/>
      <c r="P207" s="365">
        <v>0</v>
      </c>
      <c r="Q207" s="366">
        <f t="shared" si="13"/>
        <v>0</v>
      </c>
      <c r="R207" s="367" t="str">
        <f t="shared" ref="R207:R271" si="15">IF(Q207&lt;5,"SI","NO")</f>
        <v>SI</v>
      </c>
      <c r="S207" s="367" t="str">
        <f t="shared" si="14"/>
        <v>Sin Riesgo</v>
      </c>
      <c r="T207" s="57"/>
    </row>
    <row r="208" spans="1:20" s="56" customFormat="1" ht="32.1" customHeight="1" x14ac:dyDescent="0.2">
      <c r="A208" s="361" t="s">
        <v>135</v>
      </c>
      <c r="B208" s="362" t="s">
        <v>3824</v>
      </c>
      <c r="C208" s="362" t="s">
        <v>3825</v>
      </c>
      <c r="D208" s="364">
        <v>50</v>
      </c>
      <c r="E208" s="365"/>
      <c r="F208" s="365"/>
      <c r="G208" s="365"/>
      <c r="H208" s="365"/>
      <c r="I208" s="365"/>
      <c r="J208" s="365"/>
      <c r="K208" s="365"/>
      <c r="L208" s="365"/>
      <c r="M208" s="365">
        <v>97.4</v>
      </c>
      <c r="N208" s="365"/>
      <c r="O208" s="365"/>
      <c r="P208" s="365"/>
      <c r="Q208" s="366">
        <f t="shared" si="13"/>
        <v>97.4</v>
      </c>
      <c r="R208" s="367" t="str">
        <f t="shared" si="15"/>
        <v>NO</v>
      </c>
      <c r="S208" s="367" t="str">
        <f t="shared" si="14"/>
        <v>Inviable Sanitariamente</v>
      </c>
      <c r="T208" s="57"/>
    </row>
    <row r="209" spans="1:20" s="56" customFormat="1" ht="32.1" customHeight="1" x14ac:dyDescent="0.2">
      <c r="A209" s="361" t="s">
        <v>135</v>
      </c>
      <c r="B209" s="362" t="s">
        <v>3826</v>
      </c>
      <c r="C209" s="362" t="s">
        <v>3827</v>
      </c>
      <c r="D209" s="364">
        <v>66</v>
      </c>
      <c r="E209" s="365"/>
      <c r="F209" s="365"/>
      <c r="G209" s="365"/>
      <c r="H209" s="365"/>
      <c r="I209" s="365"/>
      <c r="J209" s="365"/>
      <c r="K209" s="365"/>
      <c r="L209" s="365"/>
      <c r="M209" s="365"/>
      <c r="N209" s="365"/>
      <c r="O209" s="365"/>
      <c r="P209" s="365">
        <v>92.1</v>
      </c>
      <c r="Q209" s="366">
        <f t="shared" si="13"/>
        <v>92.1</v>
      </c>
      <c r="R209" s="367" t="str">
        <f t="shared" si="15"/>
        <v>NO</v>
      </c>
      <c r="S209" s="367" t="str">
        <f t="shared" si="14"/>
        <v>Inviable Sanitariamente</v>
      </c>
      <c r="T209" s="57"/>
    </row>
    <row r="210" spans="1:20" s="56" customFormat="1" ht="32.1" customHeight="1" x14ac:dyDescent="0.2">
      <c r="A210" s="361" t="s">
        <v>136</v>
      </c>
      <c r="B210" s="362" t="s">
        <v>3828</v>
      </c>
      <c r="C210" s="362" t="s">
        <v>3829</v>
      </c>
      <c r="D210" s="364">
        <v>48</v>
      </c>
      <c r="E210" s="365"/>
      <c r="F210" s="365"/>
      <c r="G210" s="365">
        <v>53.1</v>
      </c>
      <c r="H210" s="365"/>
      <c r="I210" s="365"/>
      <c r="J210" s="365"/>
      <c r="K210" s="365"/>
      <c r="L210" s="365"/>
      <c r="M210" s="365"/>
      <c r="N210" s="365"/>
      <c r="O210" s="365">
        <v>53.1</v>
      </c>
      <c r="P210" s="365"/>
      <c r="Q210" s="366">
        <f t="shared" si="13"/>
        <v>53.1</v>
      </c>
      <c r="R210" s="367" t="str">
        <f t="shared" si="15"/>
        <v>NO</v>
      </c>
      <c r="S210" s="367" t="str">
        <f t="shared" si="14"/>
        <v>Alto</v>
      </c>
      <c r="T210" s="57"/>
    </row>
    <row r="211" spans="1:20" s="56" customFormat="1" ht="32.1" customHeight="1" x14ac:dyDescent="0.2">
      <c r="A211" s="361" t="s">
        <v>136</v>
      </c>
      <c r="B211" s="362" t="s">
        <v>3830</v>
      </c>
      <c r="C211" s="362" t="s">
        <v>3831</v>
      </c>
      <c r="D211" s="364">
        <v>180</v>
      </c>
      <c r="E211" s="365"/>
      <c r="F211" s="365">
        <v>53.1</v>
      </c>
      <c r="G211" s="365"/>
      <c r="H211" s="365">
        <v>53.1</v>
      </c>
      <c r="I211" s="365"/>
      <c r="J211" s="365">
        <v>53.1</v>
      </c>
      <c r="K211" s="365"/>
      <c r="L211" s="365">
        <v>53.1</v>
      </c>
      <c r="M211" s="365"/>
      <c r="N211" s="365">
        <v>53.1</v>
      </c>
      <c r="O211" s="365"/>
      <c r="P211" s="365"/>
      <c r="Q211" s="366">
        <f t="shared" si="13"/>
        <v>53.1</v>
      </c>
      <c r="R211" s="367" t="str">
        <f t="shared" si="15"/>
        <v>NO</v>
      </c>
      <c r="S211" s="367" t="str">
        <f t="shared" si="14"/>
        <v>Alto</v>
      </c>
      <c r="T211" s="57"/>
    </row>
    <row r="212" spans="1:20" s="56" customFormat="1" ht="32.1" customHeight="1" x14ac:dyDescent="0.2">
      <c r="A212" s="361" t="s">
        <v>136</v>
      </c>
      <c r="B212" s="362" t="s">
        <v>3832</v>
      </c>
      <c r="C212" s="362" t="s">
        <v>3833</v>
      </c>
      <c r="D212" s="364">
        <v>175</v>
      </c>
      <c r="E212" s="365"/>
      <c r="F212" s="365">
        <v>0</v>
      </c>
      <c r="G212" s="365"/>
      <c r="H212" s="365">
        <v>0</v>
      </c>
      <c r="I212" s="365"/>
      <c r="J212" s="365">
        <v>53.1</v>
      </c>
      <c r="K212" s="365"/>
      <c r="L212" s="365">
        <v>53.1</v>
      </c>
      <c r="M212" s="365"/>
      <c r="N212" s="365"/>
      <c r="O212" s="365">
        <v>0</v>
      </c>
      <c r="P212" s="365"/>
      <c r="Q212" s="366">
        <f t="shared" si="13"/>
        <v>21.240000000000002</v>
      </c>
      <c r="R212" s="367" t="str">
        <f t="shared" si="15"/>
        <v>NO</v>
      </c>
      <c r="S212" s="367" t="str">
        <f t="shared" si="14"/>
        <v>Medio</v>
      </c>
      <c r="T212" s="57"/>
    </row>
    <row r="213" spans="1:20" s="56" customFormat="1" ht="32.1" customHeight="1" x14ac:dyDescent="0.2">
      <c r="A213" s="361" t="s">
        <v>136</v>
      </c>
      <c r="B213" s="362" t="s">
        <v>3834</v>
      </c>
      <c r="C213" s="362" t="s">
        <v>3835</v>
      </c>
      <c r="D213" s="364">
        <v>205</v>
      </c>
      <c r="E213" s="365"/>
      <c r="F213" s="365">
        <v>53.1</v>
      </c>
      <c r="G213" s="365"/>
      <c r="H213" s="365">
        <v>53.1</v>
      </c>
      <c r="I213" s="365"/>
      <c r="J213" s="365">
        <v>53.1</v>
      </c>
      <c r="K213" s="365"/>
      <c r="L213" s="365"/>
      <c r="M213" s="365">
        <v>53.1</v>
      </c>
      <c r="N213" s="365">
        <v>53.1</v>
      </c>
      <c r="O213" s="365"/>
      <c r="P213" s="365"/>
      <c r="Q213" s="366">
        <f t="shared" si="13"/>
        <v>53.1</v>
      </c>
      <c r="R213" s="367" t="str">
        <f t="shared" si="15"/>
        <v>NO</v>
      </c>
      <c r="S213" s="367" t="str">
        <f t="shared" si="14"/>
        <v>Alto</v>
      </c>
      <c r="T213" s="57"/>
    </row>
    <row r="214" spans="1:20" s="56" customFormat="1" ht="32.1" customHeight="1" x14ac:dyDescent="0.2">
      <c r="A214" s="361" t="s">
        <v>136</v>
      </c>
      <c r="B214" s="362" t="s">
        <v>3836</v>
      </c>
      <c r="C214" s="362" t="s">
        <v>3837</v>
      </c>
      <c r="D214" s="364">
        <v>143</v>
      </c>
      <c r="E214" s="365"/>
      <c r="F214" s="365">
        <v>0</v>
      </c>
      <c r="G214" s="365"/>
      <c r="H214" s="365">
        <v>0</v>
      </c>
      <c r="I214" s="365"/>
      <c r="J214" s="365">
        <v>0</v>
      </c>
      <c r="K214" s="365"/>
      <c r="L214" s="365">
        <v>0</v>
      </c>
      <c r="M214" s="365"/>
      <c r="N214" s="365"/>
      <c r="O214" s="365">
        <v>0</v>
      </c>
      <c r="P214" s="365"/>
      <c r="Q214" s="366">
        <f t="shared" si="13"/>
        <v>0</v>
      </c>
      <c r="R214" s="367" t="str">
        <f t="shared" si="15"/>
        <v>SI</v>
      </c>
      <c r="S214" s="367" t="str">
        <f t="shared" si="14"/>
        <v>Sin Riesgo</v>
      </c>
      <c r="T214" s="57"/>
    </row>
    <row r="215" spans="1:20" s="56" customFormat="1" ht="32.1" customHeight="1" x14ac:dyDescent="0.2">
      <c r="A215" s="361" t="s">
        <v>136</v>
      </c>
      <c r="B215" s="362" t="s">
        <v>3838</v>
      </c>
      <c r="C215" s="362" t="s">
        <v>3839</v>
      </c>
      <c r="D215" s="364">
        <v>180</v>
      </c>
      <c r="E215" s="365"/>
      <c r="F215" s="365">
        <v>0</v>
      </c>
      <c r="G215" s="365"/>
      <c r="H215" s="365">
        <v>53.1</v>
      </c>
      <c r="I215" s="365"/>
      <c r="J215" s="365">
        <v>53.1</v>
      </c>
      <c r="K215" s="365"/>
      <c r="L215" s="365">
        <v>53.1</v>
      </c>
      <c r="M215" s="365"/>
      <c r="N215" s="365">
        <v>53.1</v>
      </c>
      <c r="O215" s="365"/>
      <c r="P215" s="365"/>
      <c r="Q215" s="366">
        <f t="shared" si="13"/>
        <v>42.480000000000004</v>
      </c>
      <c r="R215" s="367" t="str">
        <f t="shared" si="15"/>
        <v>NO</v>
      </c>
      <c r="S215" s="367" t="str">
        <f t="shared" si="14"/>
        <v>Alto</v>
      </c>
      <c r="T215" s="57"/>
    </row>
    <row r="216" spans="1:20" s="56" customFormat="1" ht="32.1" customHeight="1" x14ac:dyDescent="0.2">
      <c r="A216" s="361" t="s">
        <v>136</v>
      </c>
      <c r="B216" s="362" t="s">
        <v>3840</v>
      </c>
      <c r="C216" s="362" t="s">
        <v>3841</v>
      </c>
      <c r="D216" s="364">
        <v>48</v>
      </c>
      <c r="E216" s="365"/>
      <c r="F216" s="365"/>
      <c r="G216" s="365">
        <v>53.1</v>
      </c>
      <c r="H216" s="365"/>
      <c r="I216" s="365"/>
      <c r="J216" s="365"/>
      <c r="K216" s="365"/>
      <c r="L216" s="365"/>
      <c r="M216" s="365"/>
      <c r="N216" s="365"/>
      <c r="O216" s="365"/>
      <c r="P216" s="365"/>
      <c r="Q216" s="366">
        <f t="shared" si="13"/>
        <v>53.1</v>
      </c>
      <c r="R216" s="367" t="str">
        <f t="shared" si="15"/>
        <v>NO</v>
      </c>
      <c r="S216" s="367" t="str">
        <f t="shared" si="14"/>
        <v>Alto</v>
      </c>
      <c r="T216" s="57"/>
    </row>
    <row r="217" spans="1:20" s="56" customFormat="1" ht="32.1" customHeight="1" x14ac:dyDescent="0.2">
      <c r="A217" s="361" t="s">
        <v>136</v>
      </c>
      <c r="B217" s="362" t="s">
        <v>429</v>
      </c>
      <c r="C217" s="362" t="s">
        <v>3842</v>
      </c>
      <c r="D217" s="364">
        <v>64</v>
      </c>
      <c r="E217" s="365"/>
      <c r="F217" s="365"/>
      <c r="G217" s="365"/>
      <c r="H217" s="365">
        <v>53.1</v>
      </c>
      <c r="I217" s="365"/>
      <c r="J217" s="365"/>
      <c r="K217" s="365"/>
      <c r="L217" s="365"/>
      <c r="M217" s="365"/>
      <c r="N217" s="365"/>
      <c r="O217" s="365"/>
      <c r="P217" s="365"/>
      <c r="Q217" s="366">
        <f t="shared" si="13"/>
        <v>53.1</v>
      </c>
      <c r="R217" s="367" t="str">
        <f t="shared" si="15"/>
        <v>NO</v>
      </c>
      <c r="S217" s="367" t="str">
        <f t="shared" si="14"/>
        <v>Alto</v>
      </c>
      <c r="T217" s="57"/>
    </row>
    <row r="218" spans="1:20" s="56" customFormat="1" ht="32.1" customHeight="1" x14ac:dyDescent="0.2">
      <c r="A218" s="361" t="s">
        <v>136</v>
      </c>
      <c r="B218" s="362" t="s">
        <v>3843</v>
      </c>
      <c r="C218" s="362" t="s">
        <v>3844</v>
      </c>
      <c r="D218" s="364">
        <v>287</v>
      </c>
      <c r="E218" s="365"/>
      <c r="F218" s="365"/>
      <c r="G218" s="365"/>
      <c r="H218" s="365">
        <v>53.1</v>
      </c>
      <c r="I218" s="365"/>
      <c r="J218" s="365"/>
      <c r="K218" s="365"/>
      <c r="L218" s="365"/>
      <c r="M218" s="365"/>
      <c r="N218" s="365"/>
      <c r="O218" s="365">
        <v>53.1</v>
      </c>
      <c r="P218" s="365"/>
      <c r="Q218" s="366">
        <f t="shared" si="13"/>
        <v>53.1</v>
      </c>
      <c r="R218" s="367" t="str">
        <f t="shared" si="15"/>
        <v>NO</v>
      </c>
      <c r="S218" s="367" t="str">
        <f t="shared" si="14"/>
        <v>Alto</v>
      </c>
      <c r="T218" s="57"/>
    </row>
    <row r="219" spans="1:20" s="56" customFormat="1" ht="32.1" customHeight="1" x14ac:dyDescent="0.2">
      <c r="A219" s="361" t="s">
        <v>136</v>
      </c>
      <c r="B219" s="362" t="s">
        <v>9</v>
      </c>
      <c r="C219" s="362" t="s">
        <v>3845</v>
      </c>
      <c r="D219" s="364">
        <v>53</v>
      </c>
      <c r="E219" s="365"/>
      <c r="F219" s="365"/>
      <c r="G219" s="365"/>
      <c r="H219" s="365">
        <v>53.1</v>
      </c>
      <c r="I219" s="365"/>
      <c r="J219" s="365"/>
      <c r="K219" s="365"/>
      <c r="L219" s="365"/>
      <c r="M219" s="365"/>
      <c r="N219" s="365"/>
      <c r="O219" s="365">
        <v>53.1</v>
      </c>
      <c r="P219" s="365"/>
      <c r="Q219" s="366">
        <f t="shared" si="13"/>
        <v>53.1</v>
      </c>
      <c r="R219" s="367" t="str">
        <f t="shared" si="15"/>
        <v>NO</v>
      </c>
      <c r="S219" s="367" t="str">
        <f t="shared" si="14"/>
        <v>Alto</v>
      </c>
      <c r="T219" s="57"/>
    </row>
    <row r="220" spans="1:20" s="56" customFormat="1" ht="32.1" customHeight="1" x14ac:dyDescent="0.2">
      <c r="A220" s="361" t="s">
        <v>136</v>
      </c>
      <c r="B220" s="362" t="s">
        <v>3004</v>
      </c>
      <c r="C220" s="362" t="s">
        <v>3846</v>
      </c>
      <c r="D220" s="364">
        <v>74</v>
      </c>
      <c r="E220" s="365"/>
      <c r="F220" s="365"/>
      <c r="G220" s="365"/>
      <c r="H220" s="365">
        <v>53.1</v>
      </c>
      <c r="I220" s="365"/>
      <c r="J220" s="365"/>
      <c r="K220" s="365"/>
      <c r="L220" s="365"/>
      <c r="M220" s="365"/>
      <c r="N220" s="365">
        <v>0</v>
      </c>
      <c r="O220" s="365"/>
      <c r="P220" s="365"/>
      <c r="Q220" s="366">
        <f t="shared" si="13"/>
        <v>26.55</v>
      </c>
      <c r="R220" s="367" t="str">
        <f t="shared" si="15"/>
        <v>NO</v>
      </c>
      <c r="S220" s="367" t="str">
        <f t="shared" si="14"/>
        <v>Medio</v>
      </c>
      <c r="T220" s="57"/>
    </row>
    <row r="221" spans="1:20" s="56" customFormat="1" ht="32.1" customHeight="1" x14ac:dyDescent="0.2">
      <c r="A221" s="361" t="s">
        <v>136</v>
      </c>
      <c r="B221" s="362" t="s">
        <v>3847</v>
      </c>
      <c r="C221" s="362" t="s">
        <v>3848</v>
      </c>
      <c r="D221" s="364">
        <v>41</v>
      </c>
      <c r="E221" s="365"/>
      <c r="F221" s="365"/>
      <c r="G221" s="365"/>
      <c r="H221" s="365">
        <v>53.1</v>
      </c>
      <c r="I221" s="365"/>
      <c r="J221" s="365"/>
      <c r="K221" s="365"/>
      <c r="L221" s="365"/>
      <c r="M221" s="365"/>
      <c r="N221" s="365">
        <v>53.1</v>
      </c>
      <c r="O221" s="365"/>
      <c r="P221" s="365"/>
      <c r="Q221" s="366">
        <f t="shared" si="13"/>
        <v>53.1</v>
      </c>
      <c r="R221" s="367" t="str">
        <f t="shared" si="15"/>
        <v>NO</v>
      </c>
      <c r="S221" s="367" t="str">
        <f t="shared" si="14"/>
        <v>Alto</v>
      </c>
      <c r="T221" s="57"/>
    </row>
    <row r="222" spans="1:20" s="56" customFormat="1" ht="32.1" customHeight="1" x14ac:dyDescent="0.2">
      <c r="A222" s="361" t="s">
        <v>136</v>
      </c>
      <c r="B222" s="362" t="s">
        <v>3849</v>
      </c>
      <c r="C222" s="362" t="s">
        <v>3850</v>
      </c>
      <c r="D222" s="364">
        <v>43</v>
      </c>
      <c r="E222" s="365"/>
      <c r="F222" s="365"/>
      <c r="G222" s="365"/>
      <c r="H222" s="365"/>
      <c r="I222" s="365">
        <v>0</v>
      </c>
      <c r="J222" s="365"/>
      <c r="K222" s="365"/>
      <c r="L222" s="365"/>
      <c r="M222" s="365"/>
      <c r="N222" s="365">
        <v>53.1</v>
      </c>
      <c r="O222" s="365"/>
      <c r="P222" s="365"/>
      <c r="Q222" s="366">
        <f t="shared" si="13"/>
        <v>26.55</v>
      </c>
      <c r="R222" s="367" t="str">
        <f t="shared" si="15"/>
        <v>NO</v>
      </c>
      <c r="S222" s="367" t="str">
        <f t="shared" si="14"/>
        <v>Medio</v>
      </c>
      <c r="T222" s="57"/>
    </row>
    <row r="223" spans="1:20" s="56" customFormat="1" ht="32.1" customHeight="1" x14ac:dyDescent="0.2">
      <c r="A223" s="361" t="s">
        <v>136</v>
      </c>
      <c r="B223" s="362" t="s">
        <v>3851</v>
      </c>
      <c r="C223" s="362" t="s">
        <v>3852</v>
      </c>
      <c r="D223" s="364">
        <v>14</v>
      </c>
      <c r="E223" s="365"/>
      <c r="F223" s="365"/>
      <c r="G223" s="365"/>
      <c r="H223" s="365">
        <v>53.1</v>
      </c>
      <c r="I223" s="365"/>
      <c r="J223" s="365">
        <v>53.1</v>
      </c>
      <c r="K223" s="365"/>
      <c r="L223" s="365">
        <v>53.1</v>
      </c>
      <c r="M223" s="365"/>
      <c r="N223" s="365">
        <v>53.1</v>
      </c>
      <c r="O223" s="365"/>
      <c r="P223" s="365"/>
      <c r="Q223" s="366">
        <f t="shared" si="13"/>
        <v>53.1</v>
      </c>
      <c r="R223" s="367" t="str">
        <f t="shared" si="15"/>
        <v>NO</v>
      </c>
      <c r="S223" s="367" t="str">
        <f t="shared" si="14"/>
        <v>Alto</v>
      </c>
      <c r="T223" s="57"/>
    </row>
    <row r="224" spans="1:20" s="56" customFormat="1" ht="32.1" customHeight="1" x14ac:dyDescent="0.2">
      <c r="A224" s="361" t="s">
        <v>136</v>
      </c>
      <c r="B224" s="362" t="s">
        <v>63</v>
      </c>
      <c r="C224" s="362" t="s">
        <v>3853</v>
      </c>
      <c r="D224" s="364">
        <v>122</v>
      </c>
      <c r="E224" s="365"/>
      <c r="F224" s="365"/>
      <c r="G224" s="365"/>
      <c r="H224" s="365"/>
      <c r="I224" s="365">
        <v>53.1</v>
      </c>
      <c r="J224" s="365"/>
      <c r="K224" s="365"/>
      <c r="L224" s="365"/>
      <c r="M224" s="365"/>
      <c r="N224" s="365">
        <v>53.1</v>
      </c>
      <c r="O224" s="365"/>
      <c r="P224" s="365"/>
      <c r="Q224" s="366">
        <f t="shared" si="13"/>
        <v>53.1</v>
      </c>
      <c r="R224" s="367" t="str">
        <f t="shared" si="15"/>
        <v>NO</v>
      </c>
      <c r="S224" s="367" t="str">
        <f t="shared" si="14"/>
        <v>Alto</v>
      </c>
      <c r="T224" s="57"/>
    </row>
    <row r="225" spans="1:20" s="56" customFormat="1" ht="32.1" customHeight="1" x14ac:dyDescent="0.2">
      <c r="A225" s="361" t="s">
        <v>136</v>
      </c>
      <c r="B225" s="362" t="s">
        <v>3854</v>
      </c>
      <c r="C225" s="362" t="s">
        <v>3855</v>
      </c>
      <c r="D225" s="364">
        <v>137</v>
      </c>
      <c r="E225" s="365"/>
      <c r="F225" s="365">
        <v>0</v>
      </c>
      <c r="G225" s="365"/>
      <c r="H225" s="365">
        <v>0</v>
      </c>
      <c r="I225" s="365"/>
      <c r="J225" s="365">
        <v>53.1</v>
      </c>
      <c r="K225" s="365"/>
      <c r="L225" s="365">
        <v>53.1</v>
      </c>
      <c r="M225" s="365"/>
      <c r="N225" s="365"/>
      <c r="O225" s="365">
        <v>0</v>
      </c>
      <c r="P225" s="365"/>
      <c r="Q225" s="366">
        <f t="shared" si="13"/>
        <v>21.240000000000002</v>
      </c>
      <c r="R225" s="367" t="str">
        <f t="shared" si="15"/>
        <v>NO</v>
      </c>
      <c r="S225" s="367" t="str">
        <f t="shared" si="14"/>
        <v>Medio</v>
      </c>
      <c r="T225" s="57"/>
    </row>
    <row r="226" spans="1:20" s="56" customFormat="1" ht="32.1" customHeight="1" x14ac:dyDescent="0.2">
      <c r="A226" s="361" t="s">
        <v>136</v>
      </c>
      <c r="B226" s="362" t="s">
        <v>3856</v>
      </c>
      <c r="C226" s="362" t="s">
        <v>3857</v>
      </c>
      <c r="D226" s="364">
        <v>31</v>
      </c>
      <c r="E226" s="365"/>
      <c r="F226" s="365">
        <v>0</v>
      </c>
      <c r="G226" s="365"/>
      <c r="H226" s="365">
        <v>0</v>
      </c>
      <c r="I226" s="365"/>
      <c r="J226" s="365">
        <v>53.1</v>
      </c>
      <c r="K226" s="365"/>
      <c r="L226" s="365">
        <v>53.1</v>
      </c>
      <c r="M226" s="365"/>
      <c r="N226" s="365">
        <v>0</v>
      </c>
      <c r="O226" s="365"/>
      <c r="P226" s="365"/>
      <c r="Q226" s="366">
        <f t="shared" si="13"/>
        <v>21.240000000000002</v>
      </c>
      <c r="R226" s="367" t="str">
        <f t="shared" si="15"/>
        <v>NO</v>
      </c>
      <c r="S226" s="367" t="str">
        <f t="shared" si="14"/>
        <v>Medio</v>
      </c>
      <c r="T226" s="57"/>
    </row>
    <row r="227" spans="1:20" s="56" customFormat="1" ht="32.1" customHeight="1" x14ac:dyDescent="0.2">
      <c r="A227" s="361" t="s">
        <v>136</v>
      </c>
      <c r="B227" s="362" t="s">
        <v>1893</v>
      </c>
      <c r="C227" s="362" t="s">
        <v>3858</v>
      </c>
      <c r="D227" s="364">
        <v>223</v>
      </c>
      <c r="E227" s="365"/>
      <c r="F227" s="365">
        <v>0</v>
      </c>
      <c r="G227" s="365"/>
      <c r="H227" s="365">
        <v>0</v>
      </c>
      <c r="I227" s="365"/>
      <c r="J227" s="365">
        <v>53.1</v>
      </c>
      <c r="K227" s="365"/>
      <c r="L227" s="365">
        <v>53.1</v>
      </c>
      <c r="M227" s="365"/>
      <c r="N227" s="365">
        <v>0</v>
      </c>
      <c r="O227" s="365"/>
      <c r="P227" s="365"/>
      <c r="Q227" s="366">
        <f t="shared" si="13"/>
        <v>21.240000000000002</v>
      </c>
      <c r="R227" s="367" t="str">
        <f t="shared" si="15"/>
        <v>NO</v>
      </c>
      <c r="S227" s="367" t="str">
        <f t="shared" si="14"/>
        <v>Medio</v>
      </c>
      <c r="T227" s="57"/>
    </row>
    <row r="228" spans="1:20" s="56" customFormat="1" ht="32.1" customHeight="1" x14ac:dyDescent="0.2">
      <c r="A228" s="361" t="s">
        <v>136</v>
      </c>
      <c r="B228" s="362" t="s">
        <v>3859</v>
      </c>
      <c r="C228" s="362" t="s">
        <v>3860</v>
      </c>
      <c r="D228" s="364">
        <v>160</v>
      </c>
      <c r="E228" s="365"/>
      <c r="F228" s="365"/>
      <c r="G228" s="365"/>
      <c r="H228" s="365"/>
      <c r="I228" s="365">
        <v>53.1</v>
      </c>
      <c r="J228" s="365"/>
      <c r="K228" s="365"/>
      <c r="L228" s="365"/>
      <c r="M228" s="365"/>
      <c r="N228" s="365"/>
      <c r="O228" s="365">
        <v>53.1</v>
      </c>
      <c r="P228" s="365"/>
      <c r="Q228" s="366">
        <f t="shared" si="13"/>
        <v>53.1</v>
      </c>
      <c r="R228" s="367" t="str">
        <f t="shared" si="15"/>
        <v>NO</v>
      </c>
      <c r="S228" s="367" t="str">
        <f t="shared" si="14"/>
        <v>Alto</v>
      </c>
      <c r="T228" s="57"/>
    </row>
    <row r="229" spans="1:20" s="56" customFormat="1" ht="32.1" customHeight="1" x14ac:dyDescent="0.2">
      <c r="A229" s="361" t="s">
        <v>136</v>
      </c>
      <c r="B229" s="362" t="s">
        <v>3861</v>
      </c>
      <c r="C229" s="362" t="s">
        <v>3862</v>
      </c>
      <c r="D229" s="364">
        <v>118</v>
      </c>
      <c r="E229" s="365"/>
      <c r="F229" s="365">
        <v>0</v>
      </c>
      <c r="G229" s="365"/>
      <c r="H229" s="365">
        <v>0</v>
      </c>
      <c r="I229" s="365"/>
      <c r="J229" s="365">
        <v>53.1</v>
      </c>
      <c r="K229" s="365"/>
      <c r="L229" s="365">
        <v>53.1</v>
      </c>
      <c r="M229" s="365"/>
      <c r="N229" s="365">
        <v>0</v>
      </c>
      <c r="O229" s="365"/>
      <c r="P229" s="365"/>
      <c r="Q229" s="366">
        <f t="shared" si="13"/>
        <v>21.240000000000002</v>
      </c>
      <c r="R229" s="367" t="str">
        <f t="shared" si="15"/>
        <v>NO</v>
      </c>
      <c r="S229" s="367" t="str">
        <f t="shared" si="14"/>
        <v>Medio</v>
      </c>
      <c r="T229" s="57"/>
    </row>
    <row r="230" spans="1:20" s="56" customFormat="1" ht="32.1" customHeight="1" x14ac:dyDescent="0.2">
      <c r="A230" s="361" t="s">
        <v>136</v>
      </c>
      <c r="B230" s="362" t="s">
        <v>20</v>
      </c>
      <c r="C230" s="362" t="s">
        <v>3863</v>
      </c>
      <c r="D230" s="364">
        <v>15</v>
      </c>
      <c r="E230" s="365"/>
      <c r="F230" s="365"/>
      <c r="G230" s="365"/>
      <c r="H230" s="365">
        <v>97.3</v>
      </c>
      <c r="I230" s="365"/>
      <c r="J230" s="365"/>
      <c r="K230" s="365"/>
      <c r="L230" s="365"/>
      <c r="M230" s="365"/>
      <c r="N230" s="365"/>
      <c r="O230" s="365"/>
      <c r="P230" s="365"/>
      <c r="Q230" s="366">
        <f t="shared" si="13"/>
        <v>97.3</v>
      </c>
      <c r="R230" s="367" t="str">
        <f t="shared" si="15"/>
        <v>NO</v>
      </c>
      <c r="S230" s="367" t="str">
        <f t="shared" si="14"/>
        <v>Inviable Sanitariamente</v>
      </c>
      <c r="T230" s="57"/>
    </row>
    <row r="231" spans="1:20" s="56" customFormat="1" ht="32.1" customHeight="1" x14ac:dyDescent="0.2">
      <c r="A231" s="361" t="s">
        <v>136</v>
      </c>
      <c r="B231" s="362" t="s">
        <v>3864</v>
      </c>
      <c r="C231" s="362" t="s">
        <v>3865</v>
      </c>
      <c r="D231" s="364">
        <v>164</v>
      </c>
      <c r="E231" s="365"/>
      <c r="F231" s="365">
        <v>53.1</v>
      </c>
      <c r="G231" s="365"/>
      <c r="H231" s="365">
        <v>53.1</v>
      </c>
      <c r="I231" s="365"/>
      <c r="J231" s="365"/>
      <c r="K231" s="365"/>
      <c r="L231" s="365"/>
      <c r="M231" s="365"/>
      <c r="N231" s="365">
        <v>53.1</v>
      </c>
      <c r="O231" s="365"/>
      <c r="P231" s="365"/>
      <c r="Q231" s="366">
        <f t="shared" si="13"/>
        <v>53.1</v>
      </c>
      <c r="R231" s="367" t="str">
        <f t="shared" si="15"/>
        <v>NO</v>
      </c>
      <c r="S231" s="367" t="str">
        <f t="shared" si="14"/>
        <v>Alto</v>
      </c>
      <c r="T231" s="57"/>
    </row>
    <row r="232" spans="1:20" s="56" customFormat="1" ht="32.1" customHeight="1" x14ac:dyDescent="0.2">
      <c r="A232" s="361" t="s">
        <v>136</v>
      </c>
      <c r="B232" s="362" t="s">
        <v>3404</v>
      </c>
      <c r="C232" s="362" t="s">
        <v>3866</v>
      </c>
      <c r="D232" s="364">
        <v>65</v>
      </c>
      <c r="E232" s="365"/>
      <c r="F232" s="365">
        <v>0</v>
      </c>
      <c r="G232" s="365"/>
      <c r="H232" s="365">
        <v>53.1</v>
      </c>
      <c r="I232" s="365">
        <v>53.1</v>
      </c>
      <c r="J232" s="365"/>
      <c r="K232" s="365"/>
      <c r="L232" s="365"/>
      <c r="M232" s="365"/>
      <c r="N232" s="365">
        <v>0</v>
      </c>
      <c r="O232" s="365"/>
      <c r="P232" s="365"/>
      <c r="Q232" s="366">
        <f t="shared" si="13"/>
        <v>26.55</v>
      </c>
      <c r="R232" s="367" t="str">
        <f t="shared" si="15"/>
        <v>NO</v>
      </c>
      <c r="S232" s="367" t="str">
        <f t="shared" si="14"/>
        <v>Medio</v>
      </c>
      <c r="T232" s="57"/>
    </row>
    <row r="233" spans="1:20" s="56" customFormat="1" ht="32.1" customHeight="1" x14ac:dyDescent="0.2">
      <c r="A233" s="361" t="s">
        <v>136</v>
      </c>
      <c r="B233" s="362" t="s">
        <v>3867</v>
      </c>
      <c r="C233" s="362" t="s">
        <v>3868</v>
      </c>
      <c r="D233" s="364">
        <v>105</v>
      </c>
      <c r="E233" s="365"/>
      <c r="F233" s="365">
        <v>0</v>
      </c>
      <c r="G233" s="365"/>
      <c r="H233" s="365">
        <v>53.1</v>
      </c>
      <c r="I233" s="365">
        <v>53.1</v>
      </c>
      <c r="J233" s="365"/>
      <c r="K233" s="365"/>
      <c r="L233" s="365"/>
      <c r="M233" s="365"/>
      <c r="N233" s="365">
        <v>0</v>
      </c>
      <c r="O233" s="365"/>
      <c r="P233" s="365"/>
      <c r="Q233" s="366">
        <f t="shared" si="13"/>
        <v>26.55</v>
      </c>
      <c r="R233" s="367" t="str">
        <f t="shared" si="15"/>
        <v>NO</v>
      </c>
      <c r="S233" s="367" t="str">
        <f t="shared" si="14"/>
        <v>Medio</v>
      </c>
      <c r="T233" s="57"/>
    </row>
    <row r="234" spans="1:20" s="56" customFormat="1" ht="32.1" customHeight="1" x14ac:dyDescent="0.2">
      <c r="A234" s="361" t="s">
        <v>136</v>
      </c>
      <c r="B234" s="362" t="s">
        <v>3869</v>
      </c>
      <c r="C234" s="362" t="s">
        <v>3870</v>
      </c>
      <c r="D234" s="364">
        <v>89</v>
      </c>
      <c r="E234" s="365"/>
      <c r="F234" s="365">
        <v>53.1</v>
      </c>
      <c r="G234" s="365"/>
      <c r="H234" s="365">
        <v>53.1</v>
      </c>
      <c r="I234" s="365"/>
      <c r="J234" s="365"/>
      <c r="K234" s="365"/>
      <c r="L234" s="365"/>
      <c r="M234" s="365"/>
      <c r="N234" s="365">
        <v>53.1</v>
      </c>
      <c r="O234" s="365"/>
      <c r="P234" s="365"/>
      <c r="Q234" s="366">
        <f t="shared" si="13"/>
        <v>53.1</v>
      </c>
      <c r="R234" s="367" t="str">
        <f t="shared" si="15"/>
        <v>NO</v>
      </c>
      <c r="S234" s="367" t="str">
        <f t="shared" si="14"/>
        <v>Alto</v>
      </c>
      <c r="T234" s="57"/>
    </row>
    <row r="235" spans="1:20" s="56" customFormat="1" ht="32.1" customHeight="1" x14ac:dyDescent="0.2">
      <c r="A235" s="361" t="s">
        <v>136</v>
      </c>
      <c r="B235" s="362" t="s">
        <v>3871</v>
      </c>
      <c r="C235" s="362" t="s">
        <v>3872</v>
      </c>
      <c r="D235" s="364">
        <v>96</v>
      </c>
      <c r="E235" s="365"/>
      <c r="F235" s="365">
        <v>53.1</v>
      </c>
      <c r="G235" s="365"/>
      <c r="H235" s="365">
        <v>53.1</v>
      </c>
      <c r="I235" s="365"/>
      <c r="J235" s="365"/>
      <c r="K235" s="365"/>
      <c r="L235" s="365"/>
      <c r="M235" s="365"/>
      <c r="N235" s="365">
        <v>53.1</v>
      </c>
      <c r="O235" s="365"/>
      <c r="P235" s="365"/>
      <c r="Q235" s="366">
        <f t="shared" si="13"/>
        <v>53.1</v>
      </c>
      <c r="R235" s="367" t="str">
        <f t="shared" si="15"/>
        <v>NO</v>
      </c>
      <c r="S235" s="367" t="str">
        <f t="shared" si="14"/>
        <v>Alto</v>
      </c>
      <c r="T235" s="57"/>
    </row>
    <row r="236" spans="1:20" s="56" customFormat="1" ht="32.1" customHeight="1" x14ac:dyDescent="0.2">
      <c r="A236" s="361" t="s">
        <v>136</v>
      </c>
      <c r="B236" s="362" t="s">
        <v>652</v>
      </c>
      <c r="C236" s="362" t="s">
        <v>3873</v>
      </c>
      <c r="D236" s="364">
        <v>26</v>
      </c>
      <c r="E236" s="365"/>
      <c r="F236" s="365"/>
      <c r="G236" s="365"/>
      <c r="H236" s="365"/>
      <c r="I236" s="365">
        <v>53.1</v>
      </c>
      <c r="J236" s="365"/>
      <c r="K236" s="365"/>
      <c r="L236" s="365"/>
      <c r="M236" s="365"/>
      <c r="N236" s="365"/>
      <c r="O236" s="365"/>
      <c r="P236" s="365"/>
      <c r="Q236" s="366">
        <f t="shared" ref="Q236:Q269" si="16">AVERAGE(E236:P236)</f>
        <v>53.1</v>
      </c>
      <c r="R236" s="367" t="str">
        <f t="shared" si="15"/>
        <v>NO</v>
      </c>
      <c r="S236" s="367" t="str">
        <f t="shared" si="14"/>
        <v>Alto</v>
      </c>
      <c r="T236" s="57"/>
    </row>
    <row r="237" spans="1:20" s="56" customFormat="1" ht="32.1" customHeight="1" x14ac:dyDescent="0.2">
      <c r="A237" s="361" t="s">
        <v>136</v>
      </c>
      <c r="B237" s="362" t="s">
        <v>3024</v>
      </c>
      <c r="C237" s="362" t="s">
        <v>3874</v>
      </c>
      <c r="D237" s="364">
        <v>17</v>
      </c>
      <c r="E237" s="365"/>
      <c r="F237" s="365"/>
      <c r="G237" s="365"/>
      <c r="H237" s="365"/>
      <c r="I237" s="365">
        <v>53.1</v>
      </c>
      <c r="J237" s="365"/>
      <c r="K237" s="365"/>
      <c r="L237" s="365"/>
      <c r="M237" s="365"/>
      <c r="N237" s="365"/>
      <c r="O237" s="365"/>
      <c r="P237" s="365"/>
      <c r="Q237" s="366">
        <f t="shared" si="16"/>
        <v>53.1</v>
      </c>
      <c r="R237" s="367" t="str">
        <f t="shared" si="15"/>
        <v>NO</v>
      </c>
      <c r="S237" s="367" t="str">
        <f t="shared" si="14"/>
        <v>Alto</v>
      </c>
      <c r="T237" s="57"/>
    </row>
    <row r="238" spans="1:20" s="56" customFormat="1" ht="32.1" customHeight="1" x14ac:dyDescent="0.2">
      <c r="A238" s="361" t="s">
        <v>136</v>
      </c>
      <c r="B238" s="362" t="s">
        <v>236</v>
      </c>
      <c r="C238" s="362" t="s">
        <v>4192</v>
      </c>
      <c r="D238" s="364">
        <v>50</v>
      </c>
      <c r="E238" s="365"/>
      <c r="F238" s="365"/>
      <c r="G238" s="365"/>
      <c r="H238" s="365">
        <v>53.1</v>
      </c>
      <c r="I238" s="365"/>
      <c r="J238" s="365"/>
      <c r="K238" s="365"/>
      <c r="L238" s="365">
        <v>53.1</v>
      </c>
      <c r="M238" s="365"/>
      <c r="N238" s="365"/>
      <c r="O238" s="365"/>
      <c r="P238" s="365"/>
      <c r="Q238" s="366">
        <f>AVERAGE(E238:P238)</f>
        <v>53.1</v>
      </c>
      <c r="R238" s="367" t="str">
        <f t="shared" si="15"/>
        <v>NO</v>
      </c>
      <c r="S238" s="367" t="str">
        <f t="shared" si="14"/>
        <v>Alto</v>
      </c>
      <c r="T238" s="57"/>
    </row>
    <row r="239" spans="1:20" s="56" customFormat="1" ht="32.1" customHeight="1" x14ac:dyDescent="0.2">
      <c r="A239" s="361" t="s">
        <v>136</v>
      </c>
      <c r="B239" s="362" t="s">
        <v>4193</v>
      </c>
      <c r="C239" s="362" t="s">
        <v>4192</v>
      </c>
      <c r="D239" s="364">
        <v>33</v>
      </c>
      <c r="E239" s="365"/>
      <c r="F239" s="365"/>
      <c r="G239" s="365"/>
      <c r="H239" s="365">
        <v>53.1</v>
      </c>
      <c r="I239" s="365"/>
      <c r="J239" s="365"/>
      <c r="K239" s="365"/>
      <c r="L239" s="365">
        <v>53.1</v>
      </c>
      <c r="M239" s="365"/>
      <c r="N239" s="365"/>
      <c r="O239" s="365"/>
      <c r="P239" s="365"/>
      <c r="Q239" s="366">
        <f>AVERAGE(E239:P239)</f>
        <v>53.1</v>
      </c>
      <c r="R239" s="367" t="str">
        <f t="shared" si="15"/>
        <v>NO</v>
      </c>
      <c r="S239" s="367" t="str">
        <f t="shared" si="14"/>
        <v>Alto</v>
      </c>
      <c r="T239" s="57"/>
    </row>
    <row r="240" spans="1:20" s="143" customFormat="1" ht="32.1" customHeight="1" x14ac:dyDescent="0.2">
      <c r="A240" s="361" t="s">
        <v>137</v>
      </c>
      <c r="B240" s="362" t="s">
        <v>3875</v>
      </c>
      <c r="C240" s="362" t="s">
        <v>3876</v>
      </c>
      <c r="D240" s="364">
        <v>64</v>
      </c>
      <c r="E240" s="368"/>
      <c r="F240" s="365">
        <v>80.8</v>
      </c>
      <c r="G240" s="365"/>
      <c r="H240" s="365"/>
      <c r="I240" s="365"/>
      <c r="J240" s="365"/>
      <c r="K240" s="365"/>
      <c r="L240" s="365"/>
      <c r="M240" s="365"/>
      <c r="N240" s="365"/>
      <c r="O240" s="365"/>
      <c r="P240" s="365"/>
      <c r="Q240" s="366">
        <f t="shared" si="16"/>
        <v>80.8</v>
      </c>
      <c r="R240" s="367" t="str">
        <f t="shared" si="15"/>
        <v>NO</v>
      </c>
      <c r="S240" s="367" t="str">
        <f t="shared" si="14"/>
        <v>Inviable Sanitariamente</v>
      </c>
      <c r="T240" s="147"/>
    </row>
    <row r="241" spans="1:20" s="56" customFormat="1" ht="32.1" customHeight="1" x14ac:dyDescent="0.2">
      <c r="A241" s="361" t="s">
        <v>137</v>
      </c>
      <c r="B241" s="362" t="s">
        <v>3877</v>
      </c>
      <c r="C241" s="362" t="s">
        <v>3878</v>
      </c>
      <c r="D241" s="364">
        <v>100</v>
      </c>
      <c r="E241" s="365"/>
      <c r="F241" s="365"/>
      <c r="G241" s="365"/>
      <c r="H241" s="365"/>
      <c r="I241" s="365"/>
      <c r="J241" s="365"/>
      <c r="K241" s="365"/>
      <c r="L241" s="365">
        <v>90.9</v>
      </c>
      <c r="M241" s="365"/>
      <c r="N241" s="365"/>
      <c r="O241" s="365"/>
      <c r="P241" s="365"/>
      <c r="Q241" s="366">
        <f t="shared" si="16"/>
        <v>90.9</v>
      </c>
      <c r="R241" s="367" t="str">
        <f t="shared" si="15"/>
        <v>NO</v>
      </c>
      <c r="S241" s="367" t="str">
        <f t="shared" si="14"/>
        <v>Inviable Sanitariamente</v>
      </c>
      <c r="T241" s="57"/>
    </row>
    <row r="242" spans="1:20" s="56" customFormat="1" ht="32.1" customHeight="1" x14ac:dyDescent="0.2">
      <c r="A242" s="361" t="s">
        <v>137</v>
      </c>
      <c r="B242" s="362" t="s">
        <v>3024</v>
      </c>
      <c r="C242" s="362" t="s">
        <v>3879</v>
      </c>
      <c r="D242" s="364">
        <v>25</v>
      </c>
      <c r="E242" s="365"/>
      <c r="F242" s="365"/>
      <c r="G242" s="365"/>
      <c r="H242" s="365">
        <v>90.9</v>
      </c>
      <c r="I242" s="365"/>
      <c r="J242" s="365"/>
      <c r="K242" s="365"/>
      <c r="L242" s="365"/>
      <c r="M242" s="365"/>
      <c r="N242" s="365"/>
      <c r="O242" s="365"/>
      <c r="P242" s="365"/>
      <c r="Q242" s="366">
        <f t="shared" si="16"/>
        <v>90.9</v>
      </c>
      <c r="R242" s="367" t="str">
        <f t="shared" si="15"/>
        <v>NO</v>
      </c>
      <c r="S242" s="367" t="str">
        <f t="shared" si="14"/>
        <v>Inviable Sanitariamente</v>
      </c>
      <c r="T242" s="57"/>
    </row>
    <row r="243" spans="1:20" s="56" customFormat="1" ht="32.1" customHeight="1" x14ac:dyDescent="0.2">
      <c r="A243" s="361" t="s">
        <v>137</v>
      </c>
      <c r="B243" s="362" t="s">
        <v>3880</v>
      </c>
      <c r="C243" s="362" t="s">
        <v>3881</v>
      </c>
      <c r="D243" s="364">
        <v>30</v>
      </c>
      <c r="E243" s="365"/>
      <c r="F243" s="365"/>
      <c r="G243" s="365">
        <v>90.6</v>
      </c>
      <c r="H243" s="365"/>
      <c r="I243" s="365"/>
      <c r="J243" s="365"/>
      <c r="K243" s="365"/>
      <c r="L243" s="365"/>
      <c r="M243" s="365"/>
      <c r="N243" s="365"/>
      <c r="O243" s="365"/>
      <c r="P243" s="365"/>
      <c r="Q243" s="366">
        <f t="shared" si="16"/>
        <v>90.6</v>
      </c>
      <c r="R243" s="367" t="str">
        <f t="shared" si="15"/>
        <v>NO</v>
      </c>
      <c r="S243" s="367" t="str">
        <f t="shared" si="14"/>
        <v>Inviable Sanitariamente</v>
      </c>
      <c r="T243" s="57"/>
    </row>
    <row r="244" spans="1:20" s="56" customFormat="1" ht="32.1" customHeight="1" x14ac:dyDescent="0.2">
      <c r="A244" s="361" t="s">
        <v>137</v>
      </c>
      <c r="B244" s="362" t="s">
        <v>3882</v>
      </c>
      <c r="C244" s="362" t="s">
        <v>3883</v>
      </c>
      <c r="D244" s="364">
        <v>176</v>
      </c>
      <c r="E244" s="365"/>
      <c r="F244" s="365"/>
      <c r="G244" s="365"/>
      <c r="H244" s="365"/>
      <c r="I244" s="365"/>
      <c r="J244" s="365"/>
      <c r="K244" s="365"/>
      <c r="L244" s="365"/>
      <c r="M244" s="365"/>
      <c r="N244" s="365"/>
      <c r="O244" s="365">
        <v>0</v>
      </c>
      <c r="P244" s="365"/>
      <c r="Q244" s="366">
        <f t="shared" si="16"/>
        <v>0</v>
      </c>
      <c r="R244" s="367" t="str">
        <f t="shared" si="15"/>
        <v>SI</v>
      </c>
      <c r="S244" s="367" t="str">
        <f t="shared" si="14"/>
        <v>Sin Riesgo</v>
      </c>
      <c r="T244" s="57"/>
    </row>
    <row r="245" spans="1:20" s="56" customFormat="1" ht="32.1" customHeight="1" x14ac:dyDescent="0.2">
      <c r="A245" s="361" t="s">
        <v>137</v>
      </c>
      <c r="B245" s="362" t="s">
        <v>3884</v>
      </c>
      <c r="C245" s="362" t="s">
        <v>3885</v>
      </c>
      <c r="D245" s="364"/>
      <c r="E245" s="365"/>
      <c r="F245" s="365"/>
      <c r="G245" s="365"/>
      <c r="H245" s="365"/>
      <c r="I245" s="365"/>
      <c r="J245" s="365"/>
      <c r="K245" s="365"/>
      <c r="L245" s="365"/>
      <c r="M245" s="365"/>
      <c r="N245" s="365"/>
      <c r="O245" s="365"/>
      <c r="P245" s="365"/>
      <c r="Q245" s="366" t="e">
        <f t="shared" si="16"/>
        <v>#DIV/0!</v>
      </c>
      <c r="R245" s="367" t="e">
        <f t="shared" si="15"/>
        <v>#DIV/0!</v>
      </c>
      <c r="S245" s="367" t="e">
        <f t="shared" si="14"/>
        <v>#DIV/0!</v>
      </c>
      <c r="T245" s="57"/>
    </row>
    <row r="246" spans="1:20" s="56" customFormat="1" ht="32.1" customHeight="1" x14ac:dyDescent="0.2">
      <c r="A246" s="361" t="s">
        <v>137</v>
      </c>
      <c r="B246" s="362" t="s">
        <v>3886</v>
      </c>
      <c r="C246" s="362" t="s">
        <v>3887</v>
      </c>
      <c r="D246" s="364"/>
      <c r="E246" s="365"/>
      <c r="F246" s="365"/>
      <c r="G246" s="365"/>
      <c r="H246" s="365"/>
      <c r="I246" s="365"/>
      <c r="J246" s="365"/>
      <c r="K246" s="365"/>
      <c r="L246" s="365"/>
      <c r="M246" s="365"/>
      <c r="N246" s="365"/>
      <c r="O246" s="365"/>
      <c r="P246" s="365"/>
      <c r="Q246" s="366" t="e">
        <f t="shared" si="16"/>
        <v>#DIV/0!</v>
      </c>
      <c r="R246" s="367" t="e">
        <f t="shared" si="15"/>
        <v>#DIV/0!</v>
      </c>
      <c r="S246" s="367" t="e">
        <f t="shared" si="14"/>
        <v>#DIV/0!</v>
      </c>
      <c r="T246" s="57"/>
    </row>
    <row r="247" spans="1:20" s="56" customFormat="1" ht="32.1" customHeight="1" x14ac:dyDescent="0.2">
      <c r="A247" s="361" t="s">
        <v>137</v>
      </c>
      <c r="B247" s="362" t="s">
        <v>3888</v>
      </c>
      <c r="C247" s="362" t="s">
        <v>3889</v>
      </c>
      <c r="D247" s="364">
        <v>90</v>
      </c>
      <c r="E247" s="365"/>
      <c r="F247" s="365"/>
      <c r="G247" s="365"/>
      <c r="H247" s="365"/>
      <c r="I247" s="365"/>
      <c r="J247" s="365"/>
      <c r="K247" s="365"/>
      <c r="L247" s="365">
        <v>90.9</v>
      </c>
      <c r="M247" s="365"/>
      <c r="N247" s="365"/>
      <c r="O247" s="365"/>
      <c r="P247" s="365"/>
      <c r="Q247" s="366">
        <f t="shared" si="16"/>
        <v>90.9</v>
      </c>
      <c r="R247" s="367" t="str">
        <f t="shared" si="15"/>
        <v>NO</v>
      </c>
      <c r="S247" s="367" t="str">
        <f t="shared" si="14"/>
        <v>Inviable Sanitariamente</v>
      </c>
      <c r="T247" s="57"/>
    </row>
    <row r="248" spans="1:20" s="56" customFormat="1" ht="32.1" customHeight="1" x14ac:dyDescent="0.2">
      <c r="A248" s="361" t="s">
        <v>137</v>
      </c>
      <c r="B248" s="362" t="s">
        <v>1</v>
      </c>
      <c r="C248" s="362" t="s">
        <v>3890</v>
      </c>
      <c r="D248" s="364">
        <v>16</v>
      </c>
      <c r="E248" s="365"/>
      <c r="F248" s="365"/>
      <c r="G248" s="365"/>
      <c r="H248" s="365"/>
      <c r="I248" s="365">
        <v>90.9</v>
      </c>
      <c r="J248" s="365"/>
      <c r="K248" s="365"/>
      <c r="L248" s="365">
        <v>90.85</v>
      </c>
      <c r="M248" s="365"/>
      <c r="N248" s="365"/>
      <c r="O248" s="365"/>
      <c r="P248" s="365"/>
      <c r="Q248" s="366">
        <f t="shared" si="16"/>
        <v>90.875</v>
      </c>
      <c r="R248" s="367" t="str">
        <f t="shared" si="15"/>
        <v>NO</v>
      </c>
      <c r="S248" s="367" t="str">
        <f t="shared" si="14"/>
        <v>Inviable Sanitariamente</v>
      </c>
      <c r="T248" s="57"/>
    </row>
    <row r="249" spans="1:20" s="56" customFormat="1" ht="32.1" customHeight="1" x14ac:dyDescent="0.2">
      <c r="A249" s="361" t="s">
        <v>137</v>
      </c>
      <c r="B249" s="362" t="s">
        <v>3891</v>
      </c>
      <c r="C249" s="362" t="s">
        <v>3892</v>
      </c>
      <c r="D249" s="364">
        <v>16</v>
      </c>
      <c r="E249" s="365"/>
      <c r="F249" s="365"/>
      <c r="G249" s="365"/>
      <c r="H249" s="365"/>
      <c r="I249" s="365"/>
      <c r="J249" s="365"/>
      <c r="K249" s="365"/>
      <c r="L249" s="365"/>
      <c r="M249" s="365"/>
      <c r="N249" s="365">
        <v>98</v>
      </c>
      <c r="O249" s="365"/>
      <c r="P249" s="365"/>
      <c r="Q249" s="366">
        <f t="shared" si="16"/>
        <v>98</v>
      </c>
      <c r="R249" s="367" t="str">
        <f t="shared" si="15"/>
        <v>NO</v>
      </c>
      <c r="S249" s="367" t="str">
        <f t="shared" si="14"/>
        <v>Inviable Sanitariamente</v>
      </c>
      <c r="T249" s="57"/>
    </row>
    <row r="250" spans="1:20" s="56" customFormat="1" ht="32.1" customHeight="1" x14ac:dyDescent="0.2">
      <c r="A250" s="361" t="s">
        <v>137</v>
      </c>
      <c r="B250" s="362" t="s">
        <v>3893</v>
      </c>
      <c r="C250" s="362" t="s">
        <v>3894</v>
      </c>
      <c r="D250" s="364">
        <v>55</v>
      </c>
      <c r="E250" s="365"/>
      <c r="F250" s="365">
        <v>90.9</v>
      </c>
      <c r="G250" s="365"/>
      <c r="H250" s="365"/>
      <c r="I250" s="365"/>
      <c r="J250" s="365"/>
      <c r="K250" s="365"/>
      <c r="L250" s="365"/>
      <c r="M250" s="365"/>
      <c r="N250" s="365"/>
      <c r="O250" s="365"/>
      <c r="P250" s="365"/>
      <c r="Q250" s="366">
        <f t="shared" si="16"/>
        <v>90.9</v>
      </c>
      <c r="R250" s="367" t="str">
        <f t="shared" si="15"/>
        <v>NO</v>
      </c>
      <c r="S250" s="367" t="str">
        <f t="shared" si="14"/>
        <v>Inviable Sanitariamente</v>
      </c>
      <c r="T250" s="57"/>
    </row>
    <row r="251" spans="1:20" s="56" customFormat="1" ht="45" customHeight="1" x14ac:dyDescent="0.2">
      <c r="A251" s="361" t="s">
        <v>137</v>
      </c>
      <c r="B251" s="362" t="s">
        <v>3895</v>
      </c>
      <c r="C251" s="362" t="s">
        <v>3896</v>
      </c>
      <c r="D251" s="364">
        <v>85</v>
      </c>
      <c r="E251" s="365"/>
      <c r="F251" s="365">
        <v>80.8</v>
      </c>
      <c r="G251" s="365"/>
      <c r="H251" s="365"/>
      <c r="I251" s="365"/>
      <c r="J251" s="365"/>
      <c r="K251" s="365"/>
      <c r="L251" s="365"/>
      <c r="M251" s="365"/>
      <c r="N251" s="365"/>
      <c r="O251" s="365"/>
      <c r="P251" s="365"/>
      <c r="Q251" s="366">
        <f t="shared" si="16"/>
        <v>80.8</v>
      </c>
      <c r="R251" s="367" t="str">
        <f t="shared" si="15"/>
        <v>NO</v>
      </c>
      <c r="S251" s="367" t="str">
        <f t="shared" si="14"/>
        <v>Inviable Sanitariamente</v>
      </c>
      <c r="T251" s="57"/>
    </row>
    <row r="252" spans="1:20" s="56" customFormat="1" ht="32.1" customHeight="1" x14ac:dyDescent="0.2">
      <c r="A252" s="361" t="s">
        <v>138</v>
      </c>
      <c r="B252" s="362" t="s">
        <v>3897</v>
      </c>
      <c r="C252" s="363" t="s">
        <v>3898</v>
      </c>
      <c r="D252" s="364">
        <v>302</v>
      </c>
      <c r="E252" s="365"/>
      <c r="F252" s="365"/>
      <c r="G252" s="365"/>
      <c r="H252" s="365"/>
      <c r="I252" s="365">
        <v>53</v>
      </c>
      <c r="J252" s="365"/>
      <c r="K252" s="365"/>
      <c r="L252" s="365"/>
      <c r="M252" s="365"/>
      <c r="N252" s="365">
        <v>53</v>
      </c>
      <c r="O252" s="365"/>
      <c r="P252" s="365"/>
      <c r="Q252" s="366">
        <f t="shared" si="16"/>
        <v>53</v>
      </c>
      <c r="R252" s="367" t="str">
        <f t="shared" si="15"/>
        <v>NO</v>
      </c>
      <c r="S252" s="367" t="str">
        <f t="shared" si="14"/>
        <v>Alto</v>
      </c>
      <c r="T252" s="57"/>
    </row>
    <row r="253" spans="1:20" s="56" customFormat="1" ht="32.1" customHeight="1" x14ac:dyDescent="0.2">
      <c r="A253" s="361" t="s">
        <v>138</v>
      </c>
      <c r="B253" s="362" t="s">
        <v>3899</v>
      </c>
      <c r="C253" s="363" t="s">
        <v>3900</v>
      </c>
      <c r="D253" s="364">
        <v>76</v>
      </c>
      <c r="E253" s="365"/>
      <c r="F253" s="365"/>
      <c r="G253" s="365"/>
      <c r="H253" s="365"/>
      <c r="I253" s="365"/>
      <c r="J253" s="365">
        <v>0</v>
      </c>
      <c r="K253" s="365"/>
      <c r="L253" s="365"/>
      <c r="M253" s="365"/>
      <c r="N253" s="365"/>
      <c r="O253" s="365">
        <v>0</v>
      </c>
      <c r="P253" s="365"/>
      <c r="Q253" s="366">
        <f t="shared" si="16"/>
        <v>0</v>
      </c>
      <c r="R253" s="367" t="str">
        <f t="shared" si="15"/>
        <v>SI</v>
      </c>
      <c r="S253" s="367" t="str">
        <f t="shared" si="14"/>
        <v>Sin Riesgo</v>
      </c>
      <c r="T253" s="57"/>
    </row>
    <row r="254" spans="1:20" s="56" customFormat="1" ht="32.1" customHeight="1" x14ac:dyDescent="0.2">
      <c r="A254" s="361" t="s">
        <v>138</v>
      </c>
      <c r="B254" s="362" t="s">
        <v>3901</v>
      </c>
      <c r="C254" s="363" t="s">
        <v>3902</v>
      </c>
      <c r="D254" s="364">
        <v>57</v>
      </c>
      <c r="E254" s="365"/>
      <c r="F254" s="365"/>
      <c r="G254" s="365"/>
      <c r="H254" s="365"/>
      <c r="I254" s="365"/>
      <c r="J254" s="365">
        <v>53</v>
      </c>
      <c r="K254" s="365"/>
      <c r="L254" s="365"/>
      <c r="M254" s="365"/>
      <c r="N254" s="365"/>
      <c r="O254" s="365">
        <v>53</v>
      </c>
      <c r="P254" s="365"/>
      <c r="Q254" s="366">
        <f t="shared" si="16"/>
        <v>53</v>
      </c>
      <c r="R254" s="367" t="str">
        <f t="shared" si="15"/>
        <v>NO</v>
      </c>
      <c r="S254" s="367" t="str">
        <f t="shared" si="14"/>
        <v>Alto</v>
      </c>
      <c r="T254" s="57"/>
    </row>
    <row r="255" spans="1:20" s="56" customFormat="1" ht="32.1" customHeight="1" x14ac:dyDescent="0.2">
      <c r="A255" s="361" t="s">
        <v>138</v>
      </c>
      <c r="B255" s="362" t="s">
        <v>3903</v>
      </c>
      <c r="C255" s="363" t="s">
        <v>3904</v>
      </c>
      <c r="D255" s="364">
        <v>90</v>
      </c>
      <c r="E255" s="365"/>
      <c r="F255" s="365"/>
      <c r="G255" s="365"/>
      <c r="H255" s="365"/>
      <c r="I255" s="365">
        <v>53</v>
      </c>
      <c r="J255" s="365"/>
      <c r="K255" s="365"/>
      <c r="L255" s="365"/>
      <c r="M255" s="365"/>
      <c r="N255" s="365">
        <v>53</v>
      </c>
      <c r="O255" s="365"/>
      <c r="P255" s="365"/>
      <c r="Q255" s="366">
        <f t="shared" si="16"/>
        <v>53</v>
      </c>
      <c r="R255" s="367" t="str">
        <f t="shared" si="15"/>
        <v>NO</v>
      </c>
      <c r="S255" s="367" t="str">
        <f t="shared" si="14"/>
        <v>Alto</v>
      </c>
      <c r="T255" s="57"/>
    </row>
    <row r="256" spans="1:20" s="56" customFormat="1" ht="32.1" customHeight="1" x14ac:dyDescent="0.2">
      <c r="A256" s="361" t="s">
        <v>138</v>
      </c>
      <c r="B256" s="362" t="s">
        <v>3905</v>
      </c>
      <c r="C256" s="363" t="s">
        <v>3906</v>
      </c>
      <c r="D256" s="364">
        <v>103</v>
      </c>
      <c r="E256" s="365"/>
      <c r="F256" s="365"/>
      <c r="G256" s="365"/>
      <c r="H256" s="365"/>
      <c r="I256" s="365">
        <v>53</v>
      </c>
      <c r="J256" s="365"/>
      <c r="K256" s="365"/>
      <c r="L256" s="365"/>
      <c r="M256" s="365"/>
      <c r="N256" s="365">
        <v>53</v>
      </c>
      <c r="O256" s="365"/>
      <c r="P256" s="365"/>
      <c r="Q256" s="366">
        <f t="shared" si="16"/>
        <v>53</v>
      </c>
      <c r="R256" s="367" t="str">
        <f t="shared" si="15"/>
        <v>NO</v>
      </c>
      <c r="S256" s="367" t="str">
        <f t="shared" si="14"/>
        <v>Alto</v>
      </c>
      <c r="T256" s="57"/>
    </row>
    <row r="257" spans="1:20" s="56" customFormat="1" ht="32.1" customHeight="1" x14ac:dyDescent="0.2">
      <c r="A257" s="361" t="s">
        <v>138</v>
      </c>
      <c r="B257" s="362" t="s">
        <v>3907</v>
      </c>
      <c r="C257" s="363" t="s">
        <v>3908</v>
      </c>
      <c r="D257" s="364">
        <v>641</v>
      </c>
      <c r="E257" s="365"/>
      <c r="F257" s="365"/>
      <c r="G257" s="365"/>
      <c r="H257" s="365"/>
      <c r="I257" s="365">
        <v>53</v>
      </c>
      <c r="J257" s="365"/>
      <c r="K257" s="365"/>
      <c r="L257" s="365"/>
      <c r="M257" s="365"/>
      <c r="N257" s="365"/>
      <c r="O257" s="365">
        <v>53</v>
      </c>
      <c r="P257" s="365"/>
      <c r="Q257" s="366">
        <f t="shared" si="16"/>
        <v>53</v>
      </c>
      <c r="R257" s="367" t="str">
        <f t="shared" si="15"/>
        <v>NO</v>
      </c>
      <c r="S257" s="367" t="str">
        <f t="shared" si="14"/>
        <v>Alto</v>
      </c>
      <c r="T257" s="57"/>
    </row>
    <row r="258" spans="1:20" s="56" customFormat="1" ht="32.1" customHeight="1" x14ac:dyDescent="0.2">
      <c r="A258" s="361" t="s">
        <v>138</v>
      </c>
      <c r="B258" s="362" t="s">
        <v>3909</v>
      </c>
      <c r="C258" s="363" t="s">
        <v>3910</v>
      </c>
      <c r="D258" s="364">
        <v>156</v>
      </c>
      <c r="E258" s="365"/>
      <c r="F258" s="365"/>
      <c r="G258" s="365"/>
      <c r="H258" s="365"/>
      <c r="I258" s="365"/>
      <c r="J258" s="365"/>
      <c r="K258" s="365"/>
      <c r="L258" s="365"/>
      <c r="M258" s="365"/>
      <c r="N258" s="365">
        <v>53</v>
      </c>
      <c r="O258" s="365"/>
      <c r="P258" s="365"/>
      <c r="Q258" s="366">
        <f t="shared" si="16"/>
        <v>53</v>
      </c>
      <c r="R258" s="367" t="str">
        <f t="shared" si="15"/>
        <v>NO</v>
      </c>
      <c r="S258" s="367" t="str">
        <f t="shared" si="14"/>
        <v>Alto</v>
      </c>
      <c r="T258" s="57"/>
    </row>
    <row r="259" spans="1:20" s="56" customFormat="1" ht="32.1" customHeight="1" x14ac:dyDescent="0.2">
      <c r="A259" s="361" t="s">
        <v>138</v>
      </c>
      <c r="B259" s="362" t="s">
        <v>3911</v>
      </c>
      <c r="C259" s="363" t="s">
        <v>3912</v>
      </c>
      <c r="D259" s="364">
        <v>120</v>
      </c>
      <c r="E259" s="365"/>
      <c r="F259" s="365"/>
      <c r="G259" s="365"/>
      <c r="H259" s="365"/>
      <c r="I259" s="365"/>
      <c r="J259" s="365">
        <v>48</v>
      </c>
      <c r="K259" s="365"/>
      <c r="L259" s="365"/>
      <c r="M259" s="365"/>
      <c r="N259" s="365"/>
      <c r="O259" s="365"/>
      <c r="P259" s="365">
        <v>48</v>
      </c>
      <c r="Q259" s="366">
        <f t="shared" si="16"/>
        <v>48</v>
      </c>
      <c r="R259" s="367" t="str">
        <f t="shared" si="15"/>
        <v>NO</v>
      </c>
      <c r="S259" s="367" t="str">
        <f t="shared" si="14"/>
        <v>Alto</v>
      </c>
      <c r="T259" s="57"/>
    </row>
    <row r="260" spans="1:20" s="56" customFormat="1" ht="32.1" customHeight="1" x14ac:dyDescent="0.2">
      <c r="A260" s="361" t="s">
        <v>139</v>
      </c>
      <c r="B260" s="362" t="s">
        <v>3913</v>
      </c>
      <c r="C260" s="363" t="s">
        <v>3914</v>
      </c>
      <c r="D260" s="364">
        <v>1184</v>
      </c>
      <c r="E260" s="365">
        <v>0</v>
      </c>
      <c r="F260" s="365">
        <v>0</v>
      </c>
      <c r="G260" s="365">
        <v>0</v>
      </c>
      <c r="H260" s="365">
        <v>0</v>
      </c>
      <c r="I260" s="365">
        <v>0</v>
      </c>
      <c r="J260" s="365"/>
      <c r="K260" s="365"/>
      <c r="L260" s="365"/>
      <c r="M260" s="365"/>
      <c r="N260" s="365">
        <v>3.72</v>
      </c>
      <c r="O260" s="365"/>
      <c r="P260" s="365"/>
      <c r="Q260" s="366">
        <f t="shared" si="16"/>
        <v>0.62</v>
      </c>
      <c r="R260" s="367" t="str">
        <f t="shared" si="15"/>
        <v>SI</v>
      </c>
      <c r="S260" s="367" t="str">
        <f t="shared" si="14"/>
        <v>Sin Riesgo</v>
      </c>
      <c r="T260" s="57"/>
    </row>
    <row r="261" spans="1:20" s="56" customFormat="1" ht="32.1" customHeight="1" x14ac:dyDescent="0.2">
      <c r="A261" s="361" t="s">
        <v>139</v>
      </c>
      <c r="B261" s="362" t="s">
        <v>3915</v>
      </c>
      <c r="C261" s="363" t="s">
        <v>3916</v>
      </c>
      <c r="D261" s="364">
        <v>29</v>
      </c>
      <c r="E261" s="365"/>
      <c r="F261" s="365"/>
      <c r="G261" s="365"/>
      <c r="H261" s="365"/>
      <c r="I261" s="365"/>
      <c r="J261" s="365">
        <v>97.35</v>
      </c>
      <c r="K261" s="365"/>
      <c r="L261" s="365"/>
      <c r="M261" s="365"/>
      <c r="N261" s="365"/>
      <c r="O261" s="365"/>
      <c r="P261" s="365"/>
      <c r="Q261" s="366">
        <f t="shared" si="16"/>
        <v>97.35</v>
      </c>
      <c r="R261" s="367" t="str">
        <f t="shared" si="15"/>
        <v>NO</v>
      </c>
      <c r="S261" s="367" t="str">
        <f t="shared" si="14"/>
        <v>Inviable Sanitariamente</v>
      </c>
      <c r="T261" s="57"/>
    </row>
    <row r="262" spans="1:20" s="56" customFormat="1" ht="32.1" customHeight="1" x14ac:dyDescent="0.2">
      <c r="A262" s="361" t="s">
        <v>139</v>
      </c>
      <c r="B262" s="362" t="s">
        <v>531</v>
      </c>
      <c r="C262" s="363" t="s">
        <v>2994</v>
      </c>
      <c r="D262" s="364">
        <v>60</v>
      </c>
      <c r="E262" s="365"/>
      <c r="F262" s="365"/>
      <c r="G262" s="365"/>
      <c r="H262" s="365"/>
      <c r="I262" s="365"/>
      <c r="J262" s="365"/>
      <c r="K262" s="365"/>
      <c r="L262" s="365"/>
      <c r="M262" s="365"/>
      <c r="N262" s="365">
        <v>97.35</v>
      </c>
      <c r="O262" s="365"/>
      <c r="P262" s="365"/>
      <c r="Q262" s="366">
        <f t="shared" si="16"/>
        <v>97.35</v>
      </c>
      <c r="R262" s="367" t="str">
        <f t="shared" si="15"/>
        <v>NO</v>
      </c>
      <c r="S262" s="367" t="str">
        <f t="shared" si="14"/>
        <v>Inviable Sanitariamente</v>
      </c>
      <c r="T262" s="57"/>
    </row>
    <row r="263" spans="1:20" s="56" customFormat="1" ht="32.1" customHeight="1" x14ac:dyDescent="0.2">
      <c r="A263" s="361" t="s">
        <v>139</v>
      </c>
      <c r="B263" s="362" t="s">
        <v>3917</v>
      </c>
      <c r="C263" s="363" t="s">
        <v>3918</v>
      </c>
      <c r="D263" s="364">
        <v>130</v>
      </c>
      <c r="E263" s="365"/>
      <c r="F263" s="365"/>
      <c r="G263" s="365"/>
      <c r="H263" s="365"/>
      <c r="I263" s="365"/>
      <c r="J263" s="365"/>
      <c r="K263" s="365"/>
      <c r="L263" s="365"/>
      <c r="M263" s="365"/>
      <c r="N263" s="365">
        <v>97.35</v>
      </c>
      <c r="O263" s="365"/>
      <c r="P263" s="365"/>
      <c r="Q263" s="366">
        <f t="shared" si="16"/>
        <v>97.35</v>
      </c>
      <c r="R263" s="367" t="str">
        <f t="shared" si="15"/>
        <v>NO</v>
      </c>
      <c r="S263" s="367" t="str">
        <f t="shared" si="14"/>
        <v>Inviable Sanitariamente</v>
      </c>
      <c r="T263" s="57"/>
    </row>
    <row r="264" spans="1:20" s="56" customFormat="1" ht="32.1" customHeight="1" x14ac:dyDescent="0.2">
      <c r="A264" s="361" t="s">
        <v>139</v>
      </c>
      <c r="B264" s="362" t="s">
        <v>3919</v>
      </c>
      <c r="C264" s="363" t="s">
        <v>3920</v>
      </c>
      <c r="D264" s="364">
        <v>160</v>
      </c>
      <c r="E264" s="365"/>
      <c r="F264" s="365"/>
      <c r="G264" s="365"/>
      <c r="H264" s="365"/>
      <c r="I264" s="365"/>
      <c r="J264" s="365">
        <v>90</v>
      </c>
      <c r="K264" s="365"/>
      <c r="L264" s="365"/>
      <c r="M264" s="365"/>
      <c r="N264" s="365"/>
      <c r="O264" s="365"/>
      <c r="P264" s="365"/>
      <c r="Q264" s="366">
        <f t="shared" si="16"/>
        <v>90</v>
      </c>
      <c r="R264" s="367" t="str">
        <f t="shared" si="15"/>
        <v>NO</v>
      </c>
      <c r="S264" s="367" t="str">
        <f t="shared" si="14"/>
        <v>Inviable Sanitariamente</v>
      </c>
      <c r="T264" s="57"/>
    </row>
    <row r="265" spans="1:20" s="56" customFormat="1" ht="32.1" customHeight="1" x14ac:dyDescent="0.2">
      <c r="A265" s="361" t="s">
        <v>139</v>
      </c>
      <c r="B265" s="362" t="s">
        <v>3921</v>
      </c>
      <c r="C265" s="363" t="s">
        <v>3922</v>
      </c>
      <c r="D265" s="364">
        <v>110</v>
      </c>
      <c r="E265" s="365"/>
      <c r="F265" s="365"/>
      <c r="G265" s="365"/>
      <c r="H265" s="365"/>
      <c r="I265" s="365"/>
      <c r="J265" s="365"/>
      <c r="K265" s="365"/>
      <c r="L265" s="365"/>
      <c r="M265" s="365"/>
      <c r="N265" s="365"/>
      <c r="O265" s="365">
        <v>97.35</v>
      </c>
      <c r="P265" s="365"/>
      <c r="Q265" s="366">
        <f t="shared" si="16"/>
        <v>97.35</v>
      </c>
      <c r="R265" s="367" t="str">
        <f t="shared" si="15"/>
        <v>NO</v>
      </c>
      <c r="S265" s="367" t="str">
        <f t="shared" si="14"/>
        <v>Inviable Sanitariamente</v>
      </c>
      <c r="T265" s="57"/>
    </row>
    <row r="266" spans="1:20" s="56" customFormat="1" ht="32.1" customHeight="1" x14ac:dyDescent="0.2">
      <c r="A266" s="361" t="s">
        <v>139</v>
      </c>
      <c r="B266" s="362" t="s">
        <v>3923</v>
      </c>
      <c r="C266" s="363" t="s">
        <v>3924</v>
      </c>
      <c r="D266" s="364">
        <v>170</v>
      </c>
      <c r="E266" s="365"/>
      <c r="F266" s="365"/>
      <c r="G266" s="365"/>
      <c r="H266" s="365"/>
      <c r="I266" s="365"/>
      <c r="J266" s="365"/>
      <c r="K266" s="365"/>
      <c r="L266" s="365"/>
      <c r="M266" s="365"/>
      <c r="N266" s="365"/>
      <c r="O266" s="365">
        <v>97.35</v>
      </c>
      <c r="P266" s="365"/>
      <c r="Q266" s="366">
        <f t="shared" si="16"/>
        <v>97.35</v>
      </c>
      <c r="R266" s="367" t="str">
        <f t="shared" si="15"/>
        <v>NO</v>
      </c>
      <c r="S266" s="367" t="str">
        <f t="shared" si="14"/>
        <v>Inviable Sanitariamente</v>
      </c>
      <c r="T266" s="57"/>
    </row>
    <row r="267" spans="1:20" s="56" customFormat="1" ht="32.1" customHeight="1" x14ac:dyDescent="0.2">
      <c r="A267" s="361" t="s">
        <v>139</v>
      </c>
      <c r="B267" s="362" t="s">
        <v>3925</v>
      </c>
      <c r="C267" s="363" t="s">
        <v>3926</v>
      </c>
      <c r="D267" s="364">
        <v>135</v>
      </c>
      <c r="E267" s="365"/>
      <c r="F267" s="365"/>
      <c r="G267" s="365"/>
      <c r="H267" s="365"/>
      <c r="I267" s="365">
        <v>89</v>
      </c>
      <c r="J267" s="365"/>
      <c r="K267" s="365"/>
      <c r="L267" s="365"/>
      <c r="M267" s="365"/>
      <c r="N267" s="365"/>
      <c r="O267" s="365"/>
      <c r="P267" s="365"/>
      <c r="Q267" s="366">
        <f t="shared" si="16"/>
        <v>89</v>
      </c>
      <c r="R267" s="367" t="str">
        <f t="shared" si="15"/>
        <v>NO</v>
      </c>
      <c r="S267" s="367" t="str">
        <f t="shared" si="14"/>
        <v>Inviable Sanitariamente</v>
      </c>
      <c r="T267" s="57"/>
    </row>
    <row r="268" spans="1:20" s="56" customFormat="1" ht="32.1" customHeight="1" x14ac:dyDescent="0.2">
      <c r="A268" s="361" t="s">
        <v>139</v>
      </c>
      <c r="B268" s="362" t="s">
        <v>3927</v>
      </c>
      <c r="C268" s="363" t="s">
        <v>3928</v>
      </c>
      <c r="D268" s="364">
        <v>55</v>
      </c>
      <c r="E268" s="365"/>
      <c r="F268" s="365"/>
      <c r="G268" s="365"/>
      <c r="H268" s="365"/>
      <c r="I268" s="365"/>
      <c r="J268" s="365"/>
      <c r="K268" s="365"/>
      <c r="L268" s="365"/>
      <c r="M268" s="365"/>
      <c r="N268" s="365">
        <v>97.35</v>
      </c>
      <c r="O268" s="365"/>
      <c r="P268" s="365"/>
      <c r="Q268" s="366">
        <f t="shared" si="16"/>
        <v>97.35</v>
      </c>
      <c r="R268" s="367" t="str">
        <f t="shared" si="15"/>
        <v>NO</v>
      </c>
      <c r="S268" s="367" t="str">
        <f t="shared" si="14"/>
        <v>Inviable Sanitariamente</v>
      </c>
      <c r="T268" s="57"/>
    </row>
    <row r="269" spans="1:20" s="56" customFormat="1" ht="32.1" customHeight="1" x14ac:dyDescent="0.2">
      <c r="A269" s="361" t="s">
        <v>139</v>
      </c>
      <c r="B269" s="362" t="s">
        <v>3929</v>
      </c>
      <c r="C269" s="363" t="s">
        <v>3930</v>
      </c>
      <c r="D269" s="364">
        <v>120</v>
      </c>
      <c r="E269" s="365"/>
      <c r="F269" s="365"/>
      <c r="G269" s="365"/>
      <c r="H269" s="365"/>
      <c r="I269" s="365"/>
      <c r="J269" s="365"/>
      <c r="K269" s="365"/>
      <c r="L269" s="365"/>
      <c r="M269" s="365"/>
      <c r="N269" s="365"/>
      <c r="O269" s="365">
        <v>97.35</v>
      </c>
      <c r="P269" s="365"/>
      <c r="Q269" s="366">
        <f t="shared" si="16"/>
        <v>97.35</v>
      </c>
      <c r="R269" s="367" t="str">
        <f t="shared" si="15"/>
        <v>NO</v>
      </c>
      <c r="S269" s="367" t="str">
        <f t="shared" si="14"/>
        <v>Inviable Sanitariamente</v>
      </c>
      <c r="T269" s="57"/>
    </row>
    <row r="270" spans="1:20" s="56" customFormat="1" ht="32.1" customHeight="1" x14ac:dyDescent="0.2">
      <c r="A270" s="361" t="s">
        <v>139</v>
      </c>
      <c r="B270" s="362" t="s">
        <v>3931</v>
      </c>
      <c r="C270" s="363" t="s">
        <v>3932</v>
      </c>
      <c r="D270" s="364">
        <v>160</v>
      </c>
      <c r="E270" s="365"/>
      <c r="F270" s="365"/>
      <c r="G270" s="365">
        <v>94.07</v>
      </c>
      <c r="H270" s="365"/>
      <c r="I270" s="365"/>
      <c r="J270" s="365"/>
      <c r="K270" s="365"/>
      <c r="L270" s="365"/>
      <c r="M270" s="365"/>
      <c r="N270" s="365"/>
      <c r="O270" s="365"/>
      <c r="P270" s="365"/>
      <c r="Q270" s="366">
        <f>AVERAGE(E270:P270)</f>
        <v>94.07</v>
      </c>
      <c r="R270" s="367" t="str">
        <f t="shared" si="15"/>
        <v>NO</v>
      </c>
      <c r="S270" s="367" t="str">
        <f>IF(Q270&lt;=5,"Sin Riesgo",IF(Q270 &lt;=14,"Bajo",IF(Q270&lt;=35,"Medio",IF(Q270&lt;=80,"Alto","Inviable Sanitariamente"))))</f>
        <v>Inviable Sanitariamente</v>
      </c>
      <c r="T270" s="57"/>
    </row>
    <row r="271" spans="1:20" s="193" customFormat="1" ht="32.1" customHeight="1" x14ac:dyDescent="0.2">
      <c r="A271" s="361" t="s">
        <v>139</v>
      </c>
      <c r="B271" s="362" t="s">
        <v>3933</v>
      </c>
      <c r="C271" s="363" t="s">
        <v>3934</v>
      </c>
      <c r="D271" s="364">
        <v>22</v>
      </c>
      <c r="E271" s="365"/>
      <c r="F271" s="365"/>
      <c r="G271" s="365"/>
      <c r="H271" s="365"/>
      <c r="I271" s="365"/>
      <c r="J271" s="365">
        <v>97.4</v>
      </c>
      <c r="K271" s="365"/>
      <c r="L271" s="365"/>
      <c r="M271" s="365"/>
      <c r="N271" s="365"/>
      <c r="O271" s="365"/>
      <c r="P271" s="365"/>
      <c r="Q271" s="366">
        <f>AVERAGE(E271:P271)</f>
        <v>97.4</v>
      </c>
      <c r="R271" s="367" t="str">
        <f t="shared" si="15"/>
        <v>NO</v>
      </c>
      <c r="S271" s="367" t="str">
        <f>IF(Q271&lt;=5,"Sin Riesgo",IF(Q271 &lt;=14,"Bajo",IF(Q271&lt;=35,"Medio",IF(Q271&lt;=80,"Alto","Inviable Sanitariamente"))))</f>
        <v>Inviable Sanitariamente</v>
      </c>
      <c r="T271" s="192"/>
    </row>
    <row r="272" spans="1:20" s="1" customFormat="1" ht="32.1" customHeight="1" x14ac:dyDescent="0.2">
      <c r="A272" s="108"/>
      <c r="B272" s="194"/>
      <c r="C272" s="245"/>
      <c r="D272" s="243"/>
      <c r="E272" s="244"/>
      <c r="F272" s="244"/>
      <c r="G272" s="244"/>
      <c r="H272" s="244"/>
      <c r="I272" s="244"/>
      <c r="J272" s="244"/>
      <c r="K272" s="244"/>
      <c r="L272" s="244"/>
      <c r="M272" s="244"/>
      <c r="N272" s="244"/>
      <c r="O272" s="244"/>
      <c r="P272" s="244"/>
      <c r="Q272" s="136"/>
      <c r="R272" s="137"/>
      <c r="S272" s="138"/>
      <c r="T272" s="2"/>
    </row>
    <row r="273" spans="1:20" s="1" customFormat="1" ht="32.1" customHeight="1" x14ac:dyDescent="0.2">
      <c r="A273" s="108"/>
      <c r="B273" s="194"/>
      <c r="C273" s="194"/>
      <c r="D273" s="195"/>
      <c r="E273" s="196"/>
      <c r="F273" s="196"/>
      <c r="G273" s="196"/>
      <c r="H273" s="196"/>
      <c r="I273" s="196"/>
      <c r="J273" s="196"/>
      <c r="K273" s="196"/>
      <c r="L273" s="196"/>
      <c r="M273" s="196"/>
      <c r="N273" s="196"/>
      <c r="O273" s="196"/>
      <c r="P273" s="196"/>
      <c r="Q273" s="197"/>
      <c r="R273" s="197"/>
      <c r="S273" s="198"/>
      <c r="T273" s="2"/>
    </row>
    <row r="274" spans="1:20" s="1" customFormat="1" ht="46.5" customHeight="1" x14ac:dyDescent="0.2">
      <c r="A274" s="272" t="s">
        <v>4137</v>
      </c>
      <c r="B274" s="272" t="s">
        <v>4184</v>
      </c>
      <c r="C274" s="322" t="s">
        <v>4568</v>
      </c>
      <c r="D274" s="323"/>
      <c r="E274" s="323"/>
      <c r="F274" s="323"/>
      <c r="G274" s="323"/>
      <c r="H274" s="323"/>
      <c r="I274" s="323"/>
      <c r="J274" s="323"/>
      <c r="K274" s="323"/>
      <c r="L274" s="323"/>
      <c r="M274" s="323"/>
      <c r="N274" s="323"/>
      <c r="O274" s="323"/>
      <c r="P274" s="323"/>
      <c r="Q274" s="323"/>
      <c r="R274" s="323"/>
      <c r="S274" s="323"/>
      <c r="T274" s="2"/>
    </row>
    <row r="275" spans="1:20" s="1" customFormat="1" ht="32.1" customHeight="1" x14ac:dyDescent="0.2">
      <c r="A275" s="262" t="s">
        <v>4071</v>
      </c>
      <c r="B275" s="270">
        <f>COUNTIF(E11:P271,"&lt;=5")</f>
        <v>82</v>
      </c>
      <c r="C275" s="342" t="s">
        <v>4569</v>
      </c>
      <c r="D275" s="343"/>
      <c r="E275" s="343"/>
      <c r="F275" s="343"/>
      <c r="G275" s="343"/>
      <c r="H275" s="343"/>
      <c r="I275" s="343"/>
      <c r="J275" s="343"/>
      <c r="K275" s="343"/>
      <c r="L275" s="343"/>
      <c r="M275" s="343"/>
      <c r="N275" s="343"/>
      <c r="O275" s="343"/>
      <c r="P275" s="343"/>
      <c r="Q275" s="343"/>
      <c r="R275" s="343"/>
      <c r="S275" s="343"/>
      <c r="T275" s="2"/>
    </row>
    <row r="276" spans="1:20" s="1" customFormat="1" ht="48.75" customHeight="1" x14ac:dyDescent="0.2">
      <c r="A276" s="263" t="s">
        <v>4072</v>
      </c>
      <c r="B276" s="275">
        <f>COUNTIFS(E11:P271,"&gt;5",E11:P271,"&lt;=14")</f>
        <v>0</v>
      </c>
      <c r="C276" s="324" t="s">
        <v>4572</v>
      </c>
      <c r="D276" s="325"/>
      <c r="E276" s="325"/>
      <c r="F276" s="325"/>
      <c r="G276" s="325"/>
      <c r="H276" s="325"/>
      <c r="I276" s="325"/>
      <c r="J276" s="325"/>
      <c r="K276" s="325"/>
      <c r="L276" s="325"/>
      <c r="M276" s="325"/>
      <c r="N276" s="325"/>
      <c r="O276" s="325"/>
      <c r="P276" s="325"/>
      <c r="Q276" s="325"/>
      <c r="R276" s="325"/>
      <c r="S276" s="325"/>
      <c r="T276" s="2"/>
    </row>
    <row r="277" spans="1:20" s="1" customFormat="1" ht="32.1" customHeight="1" x14ac:dyDescent="0.2">
      <c r="A277" s="264" t="s">
        <v>4073</v>
      </c>
      <c r="B277" s="270">
        <f>COUNTIFS(E11:P271,"&gt;14",E11:P271,"&lt;=35")</f>
        <v>5</v>
      </c>
      <c r="C277" s="306" t="s">
        <v>4570</v>
      </c>
      <c r="D277" s="195"/>
      <c r="E277" s="196"/>
      <c r="F277" s="196"/>
      <c r="G277" s="196"/>
      <c r="H277" s="196"/>
      <c r="I277" s="196"/>
      <c r="J277" s="196"/>
      <c r="K277" s="196"/>
      <c r="L277" s="196"/>
      <c r="M277" s="196"/>
      <c r="N277" s="196"/>
      <c r="O277" s="196"/>
      <c r="P277" s="196"/>
      <c r="Q277" s="197"/>
      <c r="R277" s="197"/>
      <c r="S277" s="198"/>
      <c r="T277" s="2"/>
    </row>
    <row r="278" spans="1:20" s="1" customFormat="1" ht="32.1" customHeight="1" x14ac:dyDescent="0.2">
      <c r="A278" s="265" t="s">
        <v>4074</v>
      </c>
      <c r="B278" s="270">
        <f>COUNTIFS(E11:P271,"&gt;35",E11:P271,"&lt;=80")</f>
        <v>130</v>
      </c>
      <c r="C278" s="307" t="s">
        <v>4571</v>
      </c>
      <c r="D278" s="195"/>
      <c r="E278" s="196"/>
      <c r="F278" s="196"/>
      <c r="G278" s="196"/>
      <c r="H278" s="196"/>
      <c r="I278" s="196"/>
      <c r="J278" s="196"/>
      <c r="K278" s="196"/>
      <c r="L278" s="196"/>
      <c r="M278" s="196"/>
      <c r="N278" s="196"/>
      <c r="O278" s="196"/>
      <c r="P278" s="196"/>
      <c r="Q278" s="197"/>
      <c r="R278" s="197"/>
      <c r="S278" s="198"/>
      <c r="T278" s="2"/>
    </row>
    <row r="279" spans="1:20" s="1" customFormat="1" ht="39" customHeight="1" x14ac:dyDescent="0.2">
      <c r="A279" s="266" t="s">
        <v>4075</v>
      </c>
      <c r="B279" s="270">
        <f>COUNTIFS(E11:P271,"&gt;80",E11:P271,"&lt;=100")</f>
        <v>110</v>
      </c>
      <c r="D279" s="195"/>
      <c r="E279" s="196"/>
      <c r="F279" s="196"/>
      <c r="G279" s="196"/>
      <c r="H279" s="196"/>
      <c r="I279" s="196"/>
      <c r="J279" s="196"/>
      <c r="K279" s="196"/>
      <c r="L279" s="196"/>
      <c r="M279" s="196"/>
      <c r="N279" s="196"/>
      <c r="O279" s="196"/>
      <c r="P279" s="196"/>
      <c r="Q279" s="197"/>
      <c r="R279" s="197"/>
      <c r="S279" s="198"/>
      <c r="T279" s="2"/>
    </row>
    <row r="280" spans="1:20" s="1" customFormat="1" ht="32.1" customHeight="1" x14ac:dyDescent="0.2">
      <c r="A280" s="285" t="s">
        <v>4076</v>
      </c>
      <c r="B280" s="286">
        <f>COUNT(E11:P271)</f>
        <v>327</v>
      </c>
      <c r="D280" s="195"/>
      <c r="E280" s="196"/>
      <c r="F280" s="196"/>
      <c r="G280" s="196"/>
      <c r="H280" s="196"/>
      <c r="I280" s="196"/>
      <c r="J280" s="196"/>
      <c r="K280" s="196"/>
      <c r="L280" s="196"/>
      <c r="M280" s="196"/>
      <c r="N280" s="196"/>
      <c r="O280" s="196"/>
      <c r="P280" s="196"/>
      <c r="Q280" s="197"/>
      <c r="R280" s="197"/>
      <c r="S280" s="198"/>
      <c r="T280" s="2"/>
    </row>
    <row r="281" spans="1:20" s="1" customFormat="1" ht="36.75" customHeight="1" x14ac:dyDescent="0.2">
      <c r="A281" s="269" t="s">
        <v>4078</v>
      </c>
      <c r="B281" s="271">
        <f>B280-B275</f>
        <v>245</v>
      </c>
      <c r="C281" s="194"/>
      <c r="D281" s="195"/>
      <c r="E281" s="196"/>
      <c r="F281" s="196"/>
      <c r="G281" s="196"/>
      <c r="H281" s="196"/>
      <c r="I281" s="196"/>
      <c r="J281" s="196"/>
      <c r="K281" s="196"/>
      <c r="L281" s="196"/>
      <c r="M281" s="196"/>
      <c r="N281" s="196"/>
      <c r="O281" s="196"/>
      <c r="P281" s="196"/>
      <c r="Q281" s="197"/>
      <c r="R281" s="197"/>
      <c r="S281" s="198"/>
      <c r="T281" s="2"/>
    </row>
    <row r="282" spans="1:20" s="1" customFormat="1" ht="32.1" customHeight="1" x14ac:dyDescent="0.2">
      <c r="A282" s="108"/>
      <c r="B282" s="194"/>
      <c r="E282" s="196"/>
      <c r="F282" s="196"/>
      <c r="G282" s="196"/>
      <c r="H282" s="196"/>
      <c r="I282" s="196"/>
      <c r="J282" s="196"/>
      <c r="K282" s="196"/>
      <c r="L282" s="196"/>
      <c r="M282" s="196"/>
      <c r="N282" s="196"/>
      <c r="O282" s="196"/>
      <c r="P282" s="196"/>
      <c r="Q282" s="197"/>
      <c r="R282" s="197"/>
      <c r="S282" s="198"/>
      <c r="T282" s="2"/>
    </row>
    <row r="283" spans="1:20" s="1" customFormat="1" ht="32.1" customHeight="1" x14ac:dyDescent="0.2">
      <c r="A283" s="108"/>
      <c r="B283" s="194"/>
      <c r="E283" s="196"/>
      <c r="F283" s="196"/>
      <c r="G283" s="196"/>
      <c r="H283" s="196"/>
      <c r="I283" s="196"/>
      <c r="J283" s="196"/>
      <c r="K283" s="196"/>
      <c r="L283" s="196"/>
      <c r="M283" s="196"/>
      <c r="N283" s="196"/>
      <c r="O283" s="196"/>
      <c r="P283" s="196"/>
      <c r="Q283" s="197"/>
      <c r="R283" s="197"/>
      <c r="S283" s="198"/>
      <c r="T283" s="2"/>
    </row>
    <row r="284" spans="1:20" s="1" customFormat="1" ht="32.1" customHeight="1" x14ac:dyDescent="0.2">
      <c r="A284" s="108"/>
      <c r="B284" s="194"/>
      <c r="E284" s="196"/>
      <c r="F284" s="196"/>
      <c r="G284" s="196"/>
      <c r="H284" s="196"/>
      <c r="I284" s="196"/>
      <c r="J284" s="196"/>
      <c r="K284" s="196"/>
      <c r="L284" s="196"/>
      <c r="M284" s="196"/>
      <c r="N284" s="196"/>
      <c r="O284" s="196"/>
      <c r="P284" s="196"/>
      <c r="Q284" s="197"/>
      <c r="R284" s="197"/>
      <c r="S284" s="198"/>
      <c r="T284" s="2"/>
    </row>
    <row r="285" spans="1:20" s="1" customFormat="1" ht="32.1" customHeight="1" x14ac:dyDescent="0.2">
      <c r="A285" s="108"/>
      <c r="B285" s="194"/>
      <c r="E285" s="196"/>
      <c r="F285" s="196"/>
      <c r="G285" s="196"/>
      <c r="H285" s="196"/>
      <c r="I285" s="196"/>
      <c r="J285" s="196"/>
      <c r="K285" s="196"/>
      <c r="L285" s="196"/>
      <c r="M285" s="196"/>
      <c r="N285" s="196"/>
      <c r="O285" s="196"/>
      <c r="P285" s="196"/>
      <c r="Q285" s="197"/>
      <c r="R285" s="197"/>
      <c r="S285" s="198"/>
      <c r="T285" s="2"/>
    </row>
    <row r="286" spans="1:20" s="1" customFormat="1" ht="32.1" customHeight="1" x14ac:dyDescent="0.2">
      <c r="A286" s="108"/>
      <c r="B286" s="194"/>
      <c r="E286" s="196"/>
      <c r="F286" s="196"/>
      <c r="G286" s="196"/>
      <c r="H286" s="196"/>
      <c r="I286" s="196"/>
      <c r="J286" s="196"/>
      <c r="K286" s="196"/>
      <c r="L286" s="196"/>
      <c r="M286" s="196"/>
      <c r="N286" s="196"/>
      <c r="O286" s="196"/>
      <c r="P286" s="196"/>
      <c r="Q286" s="197"/>
      <c r="R286" s="197"/>
      <c r="S286" s="198"/>
      <c r="T286" s="2"/>
    </row>
    <row r="287" spans="1:20" s="1" customFormat="1" ht="32.1" customHeight="1" x14ac:dyDescent="0.2">
      <c r="A287" s="108"/>
      <c r="B287" s="194"/>
      <c r="E287" s="196"/>
      <c r="F287" s="196"/>
      <c r="G287" s="196"/>
      <c r="H287" s="196"/>
      <c r="I287" s="196"/>
      <c r="J287" s="196"/>
      <c r="K287" s="196"/>
      <c r="L287" s="196"/>
      <c r="M287" s="196"/>
      <c r="N287" s="196"/>
      <c r="O287" s="196"/>
      <c r="P287" s="196"/>
      <c r="Q287" s="197"/>
      <c r="R287" s="197"/>
      <c r="S287" s="198"/>
      <c r="T287" s="2"/>
    </row>
    <row r="288" spans="1:20" s="1" customFormat="1" ht="32.1" customHeight="1" x14ac:dyDescent="0.2">
      <c r="A288" s="108"/>
      <c r="B288" s="194"/>
      <c r="E288" s="196"/>
      <c r="F288" s="196"/>
      <c r="G288" s="196"/>
      <c r="H288" s="196"/>
      <c r="I288" s="196"/>
      <c r="J288" s="196"/>
      <c r="K288" s="196"/>
      <c r="L288" s="196"/>
      <c r="M288" s="196"/>
      <c r="N288" s="196"/>
      <c r="O288" s="196"/>
      <c r="P288" s="196"/>
      <c r="Q288" s="197"/>
      <c r="R288" s="197"/>
      <c r="S288" s="198"/>
      <c r="T288" s="2"/>
    </row>
    <row r="289" spans="1:20" s="1" customFormat="1" ht="32.1" customHeight="1" x14ac:dyDescent="0.2">
      <c r="A289" s="108"/>
      <c r="B289" s="194"/>
      <c r="C289" s="194"/>
      <c r="D289" s="195"/>
      <c r="E289" s="196"/>
      <c r="F289" s="196"/>
      <c r="G289" s="196"/>
      <c r="H289" s="196"/>
      <c r="I289" s="196"/>
      <c r="J289" s="196"/>
      <c r="K289" s="196"/>
      <c r="L289" s="196"/>
      <c r="M289" s="196"/>
      <c r="N289" s="196"/>
      <c r="O289" s="196"/>
      <c r="P289" s="196"/>
      <c r="Q289" s="197"/>
      <c r="R289" s="197"/>
      <c r="S289" s="198"/>
      <c r="T289" s="2"/>
    </row>
    <row r="290" spans="1:20" s="1" customFormat="1" ht="32.1" customHeight="1" x14ac:dyDescent="0.2">
      <c r="A290" s="108"/>
      <c r="B290" s="194"/>
      <c r="C290" s="194"/>
      <c r="D290" s="195"/>
      <c r="E290" s="196"/>
      <c r="F290" s="196"/>
      <c r="G290" s="196"/>
      <c r="H290" s="196"/>
      <c r="I290" s="196"/>
      <c r="J290" s="196"/>
      <c r="K290" s="196"/>
      <c r="L290" s="196"/>
      <c r="M290" s="196"/>
      <c r="N290" s="196"/>
      <c r="O290" s="196"/>
      <c r="P290" s="196"/>
      <c r="Q290" s="197"/>
      <c r="R290" s="197"/>
      <c r="S290" s="198"/>
      <c r="T290" s="2"/>
    </row>
    <row r="291" spans="1:20" s="1" customFormat="1" ht="32.1" customHeight="1" x14ac:dyDescent="0.2">
      <c r="A291" s="108"/>
      <c r="B291" s="194"/>
      <c r="C291" s="194"/>
      <c r="D291" s="195"/>
      <c r="E291" s="196"/>
      <c r="F291" s="196"/>
      <c r="G291" s="199"/>
      <c r="H291" s="196"/>
      <c r="I291" s="196"/>
      <c r="J291" s="196"/>
      <c r="K291" s="196"/>
      <c r="L291" s="196"/>
      <c r="M291" s="196"/>
      <c r="N291" s="196"/>
      <c r="O291" s="196"/>
      <c r="P291" s="196"/>
      <c r="Q291" s="197"/>
      <c r="R291" s="197"/>
      <c r="S291" s="198"/>
      <c r="T291" s="2"/>
    </row>
    <row r="292" spans="1:20" s="1" customFormat="1" ht="32.1" customHeight="1" x14ac:dyDescent="0.2">
      <c r="A292" s="108"/>
      <c r="B292" s="194"/>
      <c r="C292" s="194"/>
      <c r="D292" s="195"/>
      <c r="E292" s="196"/>
      <c r="F292" s="196"/>
      <c r="G292" s="196"/>
      <c r="H292" s="196"/>
      <c r="I292" s="196"/>
      <c r="J292" s="196"/>
      <c r="K292" s="196"/>
      <c r="L292" s="196"/>
      <c r="M292" s="196"/>
      <c r="N292" s="196"/>
      <c r="O292" s="196"/>
      <c r="P292" s="196"/>
      <c r="Q292" s="197"/>
      <c r="R292" s="197"/>
      <c r="S292" s="198"/>
      <c r="T292" s="2"/>
    </row>
    <row r="293" spans="1:20" s="1" customFormat="1" ht="32.1" customHeight="1" x14ac:dyDescent="0.2">
      <c r="A293" s="108"/>
      <c r="B293" s="194"/>
      <c r="C293" s="194"/>
      <c r="D293" s="195"/>
      <c r="E293" s="196"/>
      <c r="F293" s="196"/>
      <c r="G293" s="196"/>
      <c r="H293" s="196"/>
      <c r="I293" s="196"/>
      <c r="J293" s="196"/>
      <c r="K293" s="196"/>
      <c r="L293" s="196"/>
      <c r="M293" s="196"/>
      <c r="N293" s="196"/>
      <c r="O293" s="196"/>
      <c r="P293" s="196"/>
      <c r="Q293" s="197"/>
      <c r="R293" s="197"/>
      <c r="S293" s="198"/>
      <c r="T293" s="2"/>
    </row>
    <row r="294" spans="1:20" s="1" customFormat="1" ht="32.1" customHeight="1" x14ac:dyDescent="0.2">
      <c r="A294" s="108"/>
      <c r="B294" s="194"/>
      <c r="C294" s="194"/>
      <c r="D294" s="195"/>
      <c r="E294" s="196"/>
      <c r="F294" s="196"/>
      <c r="G294" s="196"/>
      <c r="H294" s="196"/>
      <c r="I294" s="196"/>
      <c r="J294" s="196"/>
      <c r="K294" s="196"/>
      <c r="L294" s="196"/>
      <c r="M294" s="196"/>
      <c r="N294" s="196"/>
      <c r="O294" s="196"/>
      <c r="P294" s="196"/>
      <c r="Q294" s="197"/>
      <c r="R294" s="197"/>
      <c r="S294" s="198"/>
      <c r="T294" s="2"/>
    </row>
    <row r="295" spans="1:20" s="1" customFormat="1" ht="32.1" customHeight="1" x14ac:dyDescent="0.2">
      <c r="A295" s="108"/>
      <c r="B295" s="194"/>
      <c r="C295" s="194"/>
      <c r="D295" s="195"/>
      <c r="E295" s="196"/>
      <c r="F295" s="196"/>
      <c r="G295" s="196"/>
      <c r="H295" s="196"/>
      <c r="I295" s="196"/>
      <c r="J295" s="196"/>
      <c r="K295" s="196"/>
      <c r="L295" s="196"/>
      <c r="M295" s="196"/>
      <c r="N295" s="196"/>
      <c r="O295" s="196"/>
      <c r="P295" s="196"/>
      <c r="Q295" s="197"/>
      <c r="R295" s="197"/>
      <c r="S295" s="198"/>
      <c r="T295" s="2"/>
    </row>
    <row r="296" spans="1:20" s="1" customFormat="1" ht="32.1" customHeight="1" x14ac:dyDescent="0.2">
      <c r="A296" s="108"/>
      <c r="B296" s="194"/>
      <c r="C296" s="194"/>
      <c r="D296" s="195"/>
      <c r="E296" s="196"/>
      <c r="F296" s="196"/>
      <c r="G296" s="196"/>
      <c r="H296" s="196"/>
      <c r="I296" s="196"/>
      <c r="J296" s="196"/>
      <c r="K296" s="196"/>
      <c r="L296" s="196"/>
      <c r="M296" s="196"/>
      <c r="N296" s="196"/>
      <c r="O296" s="196"/>
      <c r="P296" s="196"/>
      <c r="Q296" s="197"/>
      <c r="R296" s="197"/>
      <c r="S296" s="198"/>
      <c r="T296" s="2"/>
    </row>
    <row r="297" spans="1:20" s="1" customFormat="1" ht="32.1" customHeight="1" x14ac:dyDescent="0.2">
      <c r="A297" s="108"/>
      <c r="B297" s="194"/>
      <c r="C297" s="194"/>
      <c r="D297" s="195"/>
      <c r="E297" s="196"/>
      <c r="F297" s="196"/>
      <c r="G297" s="196"/>
      <c r="H297" s="196"/>
      <c r="I297" s="196"/>
      <c r="J297" s="196"/>
      <c r="K297" s="196"/>
      <c r="L297" s="196"/>
      <c r="M297" s="196"/>
      <c r="N297" s="196"/>
      <c r="O297" s="196"/>
      <c r="P297" s="196"/>
      <c r="Q297" s="197"/>
      <c r="R297" s="197"/>
      <c r="S297" s="198"/>
      <c r="T297" s="2"/>
    </row>
    <row r="298" spans="1:20" s="1" customFormat="1" ht="32.1" customHeight="1" x14ac:dyDescent="0.2">
      <c r="A298" s="108"/>
      <c r="B298" s="194"/>
      <c r="C298" s="194"/>
      <c r="D298" s="195"/>
      <c r="E298" s="196"/>
      <c r="F298" s="196"/>
      <c r="G298" s="196"/>
      <c r="H298" s="196"/>
      <c r="I298" s="196"/>
      <c r="J298" s="196"/>
      <c r="K298" s="196"/>
      <c r="L298" s="196"/>
      <c r="M298" s="196"/>
      <c r="N298" s="196"/>
      <c r="O298" s="196"/>
      <c r="P298" s="196"/>
      <c r="Q298" s="197"/>
      <c r="R298" s="197"/>
      <c r="S298" s="198"/>
      <c r="T298" s="2"/>
    </row>
    <row r="299" spans="1:20" s="1" customFormat="1" ht="32.1" customHeight="1" x14ac:dyDescent="0.2">
      <c r="A299" s="108"/>
      <c r="B299" s="194"/>
      <c r="C299" s="194"/>
      <c r="D299" s="195"/>
      <c r="E299" s="196"/>
      <c r="F299" s="196"/>
      <c r="G299" s="196"/>
      <c r="H299" s="196"/>
      <c r="I299" s="196"/>
      <c r="J299" s="196"/>
      <c r="K299" s="196"/>
      <c r="L299" s="196"/>
      <c r="M299" s="196"/>
      <c r="N299" s="196"/>
      <c r="O299" s="196"/>
      <c r="P299" s="196"/>
      <c r="Q299" s="197"/>
      <c r="R299" s="197"/>
      <c r="S299" s="198"/>
      <c r="T299" s="2"/>
    </row>
    <row r="300" spans="1:20" s="1" customFormat="1" ht="32.1" customHeight="1" x14ac:dyDescent="0.2">
      <c r="A300" s="108"/>
      <c r="B300" s="194"/>
      <c r="C300" s="194"/>
      <c r="D300" s="195"/>
      <c r="E300" s="196"/>
      <c r="F300" s="196"/>
      <c r="G300" s="196"/>
      <c r="H300" s="196"/>
      <c r="I300" s="196"/>
      <c r="J300" s="196"/>
      <c r="K300" s="196"/>
      <c r="L300" s="196"/>
      <c r="M300" s="196"/>
      <c r="N300" s="196"/>
      <c r="O300" s="196"/>
      <c r="P300" s="196"/>
      <c r="Q300" s="197"/>
      <c r="R300" s="197"/>
      <c r="S300" s="198"/>
      <c r="T300" s="2"/>
    </row>
    <row r="301" spans="1:20" s="1" customFormat="1" ht="32.1" customHeight="1" x14ac:dyDescent="0.2">
      <c r="A301" s="108"/>
      <c r="B301" s="194"/>
      <c r="C301" s="194"/>
      <c r="D301" s="195"/>
      <c r="E301" s="196"/>
      <c r="F301" s="196"/>
      <c r="G301" s="196"/>
      <c r="H301" s="196"/>
      <c r="I301" s="196"/>
      <c r="J301" s="196"/>
      <c r="K301" s="196"/>
      <c r="L301" s="196"/>
      <c r="M301" s="196"/>
      <c r="N301" s="196"/>
      <c r="O301" s="196"/>
      <c r="P301" s="196"/>
      <c r="Q301" s="197"/>
      <c r="R301" s="197"/>
      <c r="S301" s="198"/>
      <c r="T301" s="2"/>
    </row>
    <row r="302" spans="1:20" s="1" customFormat="1" ht="32.1" customHeight="1" x14ac:dyDescent="0.2">
      <c r="A302" s="108"/>
      <c r="B302" s="194"/>
      <c r="C302" s="194"/>
      <c r="D302" s="195"/>
      <c r="E302" s="196"/>
      <c r="F302" s="196"/>
      <c r="G302" s="196"/>
      <c r="H302" s="196"/>
      <c r="I302" s="196"/>
      <c r="J302" s="196"/>
      <c r="K302" s="196"/>
      <c r="L302" s="196"/>
      <c r="M302" s="196"/>
      <c r="N302" s="196"/>
      <c r="O302" s="196"/>
      <c r="P302" s="196"/>
      <c r="Q302" s="197"/>
      <c r="R302" s="197"/>
      <c r="S302" s="198"/>
      <c r="T302" s="2"/>
    </row>
    <row r="303" spans="1:20" s="1" customFormat="1" ht="32.1" customHeight="1" x14ac:dyDescent="0.2">
      <c r="A303" s="108"/>
      <c r="B303" s="194"/>
      <c r="C303" s="194"/>
      <c r="D303" s="195"/>
      <c r="E303" s="196"/>
      <c r="F303" s="196"/>
      <c r="G303" s="196"/>
      <c r="H303" s="196"/>
      <c r="I303" s="196"/>
      <c r="J303" s="196"/>
      <c r="K303" s="196"/>
      <c r="L303" s="196"/>
      <c r="M303" s="196"/>
      <c r="N303" s="196"/>
      <c r="O303" s="196"/>
      <c r="P303" s="196"/>
      <c r="Q303" s="197"/>
      <c r="R303" s="197"/>
      <c r="S303" s="198"/>
      <c r="T303" s="2"/>
    </row>
    <row r="304" spans="1:20" s="1" customFormat="1" ht="32.1" customHeight="1" x14ac:dyDescent="0.2">
      <c r="A304" s="108"/>
      <c r="B304" s="194"/>
      <c r="C304" s="194"/>
      <c r="D304" s="195"/>
      <c r="E304" s="196"/>
      <c r="F304" s="196"/>
      <c r="G304" s="196"/>
      <c r="H304" s="196"/>
      <c r="I304" s="196"/>
      <c r="J304" s="196"/>
      <c r="K304" s="196"/>
      <c r="L304" s="196"/>
      <c r="M304" s="196"/>
      <c r="N304" s="196"/>
      <c r="O304" s="196"/>
      <c r="P304" s="196"/>
      <c r="Q304" s="197"/>
      <c r="R304" s="197"/>
      <c r="S304" s="198"/>
      <c r="T304" s="2"/>
    </row>
    <row r="305" spans="1:20" s="1" customFormat="1" ht="32.1" customHeight="1" x14ac:dyDescent="0.2">
      <c r="A305" s="108"/>
      <c r="B305" s="194"/>
      <c r="C305" s="194"/>
      <c r="D305" s="195"/>
      <c r="E305" s="196"/>
      <c r="F305" s="196"/>
      <c r="G305" s="196"/>
      <c r="H305" s="196"/>
      <c r="I305" s="196"/>
      <c r="J305" s="196"/>
      <c r="K305" s="196"/>
      <c r="L305" s="196"/>
      <c r="M305" s="196"/>
      <c r="N305" s="196"/>
      <c r="O305" s="196"/>
      <c r="P305" s="196"/>
      <c r="Q305" s="197"/>
      <c r="R305" s="197"/>
      <c r="S305" s="198"/>
      <c r="T305" s="2"/>
    </row>
    <row r="306" spans="1:20" s="1" customFormat="1" ht="32.1" customHeight="1" x14ac:dyDescent="0.2">
      <c r="A306" s="108"/>
      <c r="B306" s="194"/>
      <c r="C306" s="194"/>
      <c r="D306" s="195"/>
      <c r="E306" s="196"/>
      <c r="F306" s="196"/>
      <c r="G306" s="196"/>
      <c r="H306" s="196"/>
      <c r="I306" s="196"/>
      <c r="J306" s="196"/>
      <c r="K306" s="196"/>
      <c r="L306" s="196"/>
      <c r="M306" s="196"/>
      <c r="N306" s="196"/>
      <c r="O306" s="196"/>
      <c r="P306" s="196"/>
      <c r="Q306" s="197"/>
      <c r="R306" s="197"/>
      <c r="S306" s="198"/>
      <c r="T306" s="2"/>
    </row>
    <row r="307" spans="1:20" s="1" customFormat="1" ht="32.1" customHeight="1" x14ac:dyDescent="0.2">
      <c r="A307" s="108"/>
      <c r="B307" s="194"/>
      <c r="C307" s="194"/>
      <c r="D307" s="195"/>
      <c r="E307" s="196"/>
      <c r="F307" s="196"/>
      <c r="G307" s="196"/>
      <c r="H307" s="196"/>
      <c r="I307" s="196"/>
      <c r="J307" s="196"/>
      <c r="K307" s="196"/>
      <c r="L307" s="196"/>
      <c r="M307" s="196"/>
      <c r="N307" s="196"/>
      <c r="O307" s="196"/>
      <c r="P307" s="196"/>
      <c r="Q307" s="197"/>
      <c r="R307" s="197"/>
      <c r="S307" s="198"/>
      <c r="T307" s="2"/>
    </row>
    <row r="308" spans="1:20" s="1" customFormat="1" ht="32.1" customHeight="1" x14ac:dyDescent="0.2">
      <c r="A308" s="108"/>
      <c r="B308" s="194"/>
      <c r="C308" s="194"/>
      <c r="D308" s="195"/>
      <c r="E308" s="196"/>
      <c r="F308" s="196"/>
      <c r="G308" s="196"/>
      <c r="H308" s="196"/>
      <c r="I308" s="196"/>
      <c r="J308" s="196"/>
      <c r="K308" s="196"/>
      <c r="L308" s="196"/>
      <c r="M308" s="196"/>
      <c r="N308" s="196"/>
      <c r="O308" s="196"/>
      <c r="P308" s="196"/>
      <c r="Q308" s="197"/>
      <c r="R308" s="197"/>
      <c r="S308" s="198"/>
      <c r="T308" s="2"/>
    </row>
    <row r="309" spans="1:20" s="1" customFormat="1" ht="32.1" customHeight="1" x14ac:dyDescent="0.2">
      <c r="A309" s="108"/>
      <c r="B309" s="194"/>
      <c r="C309" s="194"/>
      <c r="D309" s="195"/>
      <c r="E309" s="196"/>
      <c r="F309" s="196"/>
      <c r="G309" s="196"/>
      <c r="H309" s="196"/>
      <c r="I309" s="196"/>
      <c r="J309" s="196"/>
      <c r="K309" s="196"/>
      <c r="L309" s="196"/>
      <c r="M309" s="196"/>
      <c r="N309" s="196"/>
      <c r="O309" s="196"/>
      <c r="P309" s="196"/>
      <c r="Q309" s="197"/>
      <c r="R309" s="197"/>
      <c r="S309" s="198"/>
      <c r="T309" s="2"/>
    </row>
    <row r="310" spans="1:20" s="1" customFormat="1" ht="32.1" customHeight="1" x14ac:dyDescent="0.2">
      <c r="A310" s="108"/>
      <c r="B310" s="194"/>
      <c r="C310" s="194"/>
      <c r="D310" s="195"/>
      <c r="E310" s="196"/>
      <c r="F310" s="196"/>
      <c r="G310" s="196"/>
      <c r="H310" s="196"/>
      <c r="I310" s="196"/>
      <c r="J310" s="196"/>
      <c r="K310" s="196"/>
      <c r="L310" s="196"/>
      <c r="M310" s="196"/>
      <c r="N310" s="196"/>
      <c r="O310" s="196"/>
      <c r="P310" s="196"/>
      <c r="Q310" s="197"/>
      <c r="R310" s="197"/>
      <c r="S310" s="198"/>
      <c r="T310" s="2"/>
    </row>
    <row r="311" spans="1:20" s="1" customFormat="1" ht="32.1" customHeight="1" x14ac:dyDescent="0.2">
      <c r="A311" s="108"/>
      <c r="B311" s="194"/>
      <c r="C311" s="194"/>
      <c r="D311" s="195"/>
      <c r="E311" s="196"/>
      <c r="F311" s="196"/>
      <c r="G311" s="196"/>
      <c r="H311" s="196"/>
      <c r="I311" s="196"/>
      <c r="J311" s="196"/>
      <c r="K311" s="196"/>
      <c r="L311" s="196"/>
      <c r="M311" s="196"/>
      <c r="N311" s="196"/>
      <c r="O311" s="196"/>
      <c r="P311" s="196"/>
      <c r="Q311" s="197"/>
      <c r="R311" s="197"/>
      <c r="S311" s="198"/>
      <c r="T311" s="2"/>
    </row>
    <row r="312" spans="1:20" s="1" customFormat="1" ht="32.1" customHeight="1" x14ac:dyDescent="0.2">
      <c r="A312" s="108"/>
      <c r="B312" s="194"/>
      <c r="C312" s="194"/>
      <c r="D312" s="195"/>
      <c r="E312" s="196"/>
      <c r="F312" s="196"/>
      <c r="G312" s="196"/>
      <c r="H312" s="196"/>
      <c r="I312" s="196"/>
      <c r="J312" s="196"/>
      <c r="K312" s="196"/>
      <c r="L312" s="196"/>
      <c r="M312" s="196"/>
      <c r="N312" s="196"/>
      <c r="O312" s="196"/>
      <c r="P312" s="196"/>
      <c r="Q312" s="197"/>
      <c r="R312" s="197"/>
      <c r="S312" s="198"/>
      <c r="T312" s="2"/>
    </row>
    <row r="313" spans="1:20" s="1" customFormat="1" ht="32.1" customHeight="1" x14ac:dyDescent="0.2">
      <c r="A313" s="108"/>
      <c r="B313" s="194"/>
      <c r="C313" s="194"/>
      <c r="D313" s="195"/>
      <c r="E313" s="196"/>
      <c r="F313" s="196"/>
      <c r="G313" s="196"/>
      <c r="H313" s="196"/>
      <c r="I313" s="196"/>
      <c r="J313" s="196"/>
      <c r="K313" s="196"/>
      <c r="L313" s="196"/>
      <c r="M313" s="196"/>
      <c r="N313" s="196"/>
      <c r="O313" s="196"/>
      <c r="P313" s="196"/>
      <c r="Q313" s="197"/>
      <c r="R313" s="197"/>
      <c r="S313" s="198"/>
      <c r="T313" s="2"/>
    </row>
    <row r="314" spans="1:20" s="1" customFormat="1" ht="32.1" customHeight="1" x14ac:dyDescent="0.2">
      <c r="A314" s="108"/>
      <c r="B314" s="194"/>
      <c r="C314" s="194"/>
      <c r="D314" s="195"/>
      <c r="E314" s="196"/>
      <c r="F314" s="196"/>
      <c r="G314" s="196"/>
      <c r="H314" s="196"/>
      <c r="I314" s="196"/>
      <c r="J314" s="196"/>
      <c r="K314" s="196"/>
      <c r="L314" s="196"/>
      <c r="M314" s="196"/>
      <c r="N314" s="196"/>
      <c r="O314" s="196"/>
      <c r="P314" s="196"/>
      <c r="Q314" s="197"/>
      <c r="R314" s="197"/>
      <c r="S314" s="198"/>
      <c r="T314" s="2"/>
    </row>
    <row r="315" spans="1:20" s="1" customFormat="1" ht="32.1" customHeight="1" x14ac:dyDescent="0.2">
      <c r="A315" s="108"/>
      <c r="B315" s="194"/>
      <c r="C315" s="194"/>
      <c r="D315" s="195"/>
      <c r="E315" s="196"/>
      <c r="F315" s="196"/>
      <c r="G315" s="196"/>
      <c r="H315" s="196"/>
      <c r="I315" s="196"/>
      <c r="J315" s="196"/>
      <c r="K315" s="196"/>
      <c r="L315" s="196"/>
      <c r="M315" s="196"/>
      <c r="N315" s="196"/>
      <c r="O315" s="196"/>
      <c r="P315" s="196"/>
      <c r="Q315" s="197"/>
      <c r="R315" s="197"/>
      <c r="S315" s="198"/>
      <c r="T315" s="2"/>
    </row>
    <row r="316" spans="1:20" s="1" customFormat="1" ht="32.1" customHeight="1" x14ac:dyDescent="0.2">
      <c r="A316" s="108"/>
      <c r="B316" s="194"/>
      <c r="C316" s="194"/>
      <c r="D316" s="195"/>
      <c r="E316" s="196"/>
      <c r="F316" s="196"/>
      <c r="G316" s="196"/>
      <c r="H316" s="196"/>
      <c r="I316" s="196"/>
      <c r="J316" s="196"/>
      <c r="K316" s="196"/>
      <c r="L316" s="196"/>
      <c r="M316" s="196"/>
      <c r="N316" s="196"/>
      <c r="O316" s="199"/>
      <c r="P316" s="196"/>
      <c r="Q316" s="197"/>
      <c r="R316" s="197"/>
      <c r="S316" s="198"/>
      <c r="T316" s="2"/>
    </row>
    <row r="317" spans="1:20" s="1" customFormat="1" ht="32.1" customHeight="1" x14ac:dyDescent="0.2">
      <c r="A317" s="108"/>
      <c r="B317" s="194"/>
      <c r="C317" s="194"/>
      <c r="D317" s="195"/>
      <c r="E317" s="196"/>
      <c r="F317" s="196"/>
      <c r="G317" s="196"/>
      <c r="H317" s="196"/>
      <c r="I317" s="196"/>
      <c r="J317" s="196"/>
      <c r="K317" s="196"/>
      <c r="L317" s="196"/>
      <c r="M317" s="196"/>
      <c r="N317" s="196"/>
      <c r="O317" s="196"/>
      <c r="P317" s="196"/>
      <c r="Q317" s="197"/>
      <c r="R317" s="197"/>
      <c r="S317" s="198"/>
      <c r="T317" s="2"/>
    </row>
    <row r="318" spans="1:20" s="1" customFormat="1" ht="32.1" customHeight="1" x14ac:dyDescent="0.2">
      <c r="A318" s="108"/>
      <c r="B318" s="194"/>
      <c r="C318" s="194"/>
      <c r="D318" s="195"/>
      <c r="E318" s="196"/>
      <c r="F318" s="196"/>
      <c r="G318" s="196"/>
      <c r="H318" s="196"/>
      <c r="I318" s="196"/>
      <c r="J318" s="196"/>
      <c r="K318" s="196"/>
      <c r="L318" s="196"/>
      <c r="M318" s="196"/>
      <c r="N318" s="196"/>
      <c r="O318" s="196"/>
      <c r="P318" s="196"/>
      <c r="Q318" s="197"/>
      <c r="R318" s="197"/>
      <c r="S318" s="198"/>
      <c r="T318" s="2"/>
    </row>
    <row r="319" spans="1:20" s="1" customFormat="1" ht="32.1" customHeight="1" x14ac:dyDescent="0.2">
      <c r="A319" s="108"/>
      <c r="B319" s="194"/>
      <c r="C319" s="194"/>
      <c r="D319" s="195"/>
      <c r="E319" s="196"/>
      <c r="F319" s="196"/>
      <c r="G319" s="196"/>
      <c r="H319" s="196"/>
      <c r="I319" s="196"/>
      <c r="J319" s="196"/>
      <c r="K319" s="196"/>
      <c r="L319" s="196"/>
      <c r="M319" s="196"/>
      <c r="N319" s="196"/>
      <c r="O319" s="196"/>
      <c r="P319" s="196"/>
      <c r="Q319" s="197"/>
      <c r="R319" s="197"/>
      <c r="S319" s="198"/>
      <c r="T319" s="2"/>
    </row>
    <row r="320" spans="1:20" s="1" customFormat="1" ht="32.1" customHeight="1" x14ac:dyDescent="0.2">
      <c r="A320" s="108"/>
      <c r="B320" s="194"/>
      <c r="C320" s="194"/>
      <c r="D320" s="195"/>
      <c r="E320" s="196"/>
      <c r="F320" s="196"/>
      <c r="G320" s="196"/>
      <c r="H320" s="196"/>
      <c r="I320" s="196"/>
      <c r="J320" s="196"/>
      <c r="K320" s="196"/>
      <c r="L320" s="196"/>
      <c r="M320" s="196"/>
      <c r="N320" s="196"/>
      <c r="O320" s="196"/>
      <c r="P320" s="196"/>
      <c r="Q320" s="197"/>
      <c r="R320" s="197"/>
      <c r="S320" s="198"/>
      <c r="T320" s="2"/>
    </row>
    <row r="321" spans="1:20" s="1" customFormat="1" ht="32.1" customHeight="1" x14ac:dyDescent="0.2">
      <c r="A321" s="108"/>
      <c r="B321" s="194"/>
      <c r="C321" s="194"/>
      <c r="D321" s="195"/>
      <c r="E321" s="196"/>
      <c r="F321" s="196"/>
      <c r="G321" s="196"/>
      <c r="H321" s="196"/>
      <c r="I321" s="196"/>
      <c r="J321" s="196"/>
      <c r="K321" s="196"/>
      <c r="L321" s="196"/>
      <c r="M321" s="196"/>
      <c r="N321" s="196"/>
      <c r="O321" s="196"/>
      <c r="P321" s="196"/>
      <c r="Q321" s="197"/>
      <c r="R321" s="197"/>
      <c r="S321" s="198"/>
      <c r="T321" s="2"/>
    </row>
    <row r="322" spans="1:20" s="1" customFormat="1" ht="32.1" customHeight="1" x14ac:dyDescent="0.2">
      <c r="A322" s="108"/>
      <c r="B322" s="194"/>
      <c r="C322" s="194"/>
      <c r="D322" s="195"/>
      <c r="E322" s="196"/>
      <c r="F322" s="196"/>
      <c r="G322" s="196"/>
      <c r="H322" s="196"/>
      <c r="I322" s="196"/>
      <c r="J322" s="196"/>
      <c r="K322" s="196"/>
      <c r="L322" s="196"/>
      <c r="M322" s="196"/>
      <c r="N322" s="196"/>
      <c r="O322" s="196"/>
      <c r="P322" s="196"/>
      <c r="Q322" s="197"/>
      <c r="R322" s="197"/>
      <c r="S322" s="198"/>
      <c r="T322" s="2"/>
    </row>
    <row r="323" spans="1:20" s="1" customFormat="1" ht="32.1" customHeight="1" x14ac:dyDescent="0.2">
      <c r="A323" s="108"/>
      <c r="B323" s="194"/>
      <c r="C323" s="194"/>
      <c r="D323" s="195"/>
      <c r="E323" s="196"/>
      <c r="F323" s="196"/>
      <c r="G323" s="196"/>
      <c r="H323" s="196"/>
      <c r="I323" s="196"/>
      <c r="J323" s="196"/>
      <c r="K323" s="196"/>
      <c r="L323" s="196"/>
      <c r="M323" s="196"/>
      <c r="N323" s="196"/>
      <c r="O323" s="199"/>
      <c r="P323" s="196"/>
      <c r="Q323" s="197"/>
      <c r="R323" s="197"/>
      <c r="S323" s="198"/>
      <c r="T323" s="2"/>
    </row>
    <row r="324" spans="1:20" s="1" customFormat="1" ht="32.1" customHeight="1" x14ac:dyDescent="0.2">
      <c r="A324" s="108"/>
      <c r="B324" s="194"/>
      <c r="C324" s="194"/>
      <c r="D324" s="195"/>
      <c r="E324" s="196"/>
      <c r="F324" s="196"/>
      <c r="G324" s="199"/>
      <c r="H324" s="196"/>
      <c r="I324" s="196"/>
      <c r="J324" s="196"/>
      <c r="K324" s="196"/>
      <c r="L324" s="196"/>
      <c r="M324" s="196"/>
      <c r="N324" s="196"/>
      <c r="O324" s="196"/>
      <c r="P324" s="196"/>
      <c r="Q324" s="197"/>
      <c r="R324" s="197"/>
      <c r="S324" s="198"/>
      <c r="T324" s="2"/>
    </row>
    <row r="325" spans="1:20" s="1" customFormat="1" ht="32.1" customHeight="1" x14ac:dyDescent="0.2">
      <c r="A325" s="108"/>
      <c r="B325" s="194"/>
      <c r="C325" s="194"/>
      <c r="D325" s="195"/>
      <c r="E325" s="196"/>
      <c r="F325" s="196"/>
      <c r="G325" s="196"/>
      <c r="H325" s="196"/>
      <c r="I325" s="196"/>
      <c r="J325" s="196"/>
      <c r="K325" s="196"/>
      <c r="L325" s="196"/>
      <c r="M325" s="196"/>
      <c r="N325" s="196"/>
      <c r="O325" s="199"/>
      <c r="P325" s="196"/>
      <c r="Q325" s="197"/>
      <c r="R325" s="197"/>
      <c r="S325" s="198"/>
      <c r="T325" s="2"/>
    </row>
    <row r="326" spans="1:20" s="1" customFormat="1" ht="32.1" customHeight="1" x14ac:dyDescent="0.2">
      <c r="A326" s="108"/>
      <c r="B326" s="194"/>
      <c r="C326" s="194"/>
      <c r="D326" s="195"/>
      <c r="E326" s="196"/>
      <c r="F326" s="196"/>
      <c r="G326" s="196"/>
      <c r="H326" s="196"/>
      <c r="I326" s="196"/>
      <c r="J326" s="196"/>
      <c r="K326" s="196"/>
      <c r="L326" s="196"/>
      <c r="M326" s="196"/>
      <c r="N326" s="196"/>
      <c r="O326" s="196"/>
      <c r="P326" s="196"/>
      <c r="Q326" s="197"/>
      <c r="R326" s="197"/>
      <c r="S326" s="198"/>
      <c r="T326" s="2"/>
    </row>
    <row r="327" spans="1:20" s="1" customFormat="1" ht="32.1" customHeight="1" x14ac:dyDescent="0.2">
      <c r="A327" s="108"/>
      <c r="B327" s="194"/>
      <c r="C327" s="194"/>
      <c r="D327" s="195"/>
      <c r="E327" s="196"/>
      <c r="F327" s="196"/>
      <c r="G327" s="196"/>
      <c r="H327" s="196"/>
      <c r="I327" s="196"/>
      <c r="J327" s="196"/>
      <c r="K327" s="196"/>
      <c r="L327" s="196"/>
      <c r="M327" s="196"/>
      <c r="N327" s="196"/>
      <c r="O327" s="196"/>
      <c r="P327" s="196"/>
      <c r="Q327" s="197"/>
      <c r="R327" s="197"/>
      <c r="S327" s="198"/>
      <c r="T327" s="2"/>
    </row>
    <row r="328" spans="1:20" s="1" customFormat="1" ht="32.1" customHeight="1" x14ac:dyDescent="0.2">
      <c r="A328" s="108"/>
      <c r="B328" s="194"/>
      <c r="C328" s="194"/>
      <c r="D328" s="195"/>
      <c r="E328" s="196"/>
      <c r="F328" s="196"/>
      <c r="G328" s="196"/>
      <c r="H328" s="196"/>
      <c r="I328" s="196"/>
      <c r="J328" s="196"/>
      <c r="K328" s="196"/>
      <c r="L328" s="196"/>
      <c r="M328" s="196"/>
      <c r="N328" s="196"/>
      <c r="O328" s="196"/>
      <c r="P328" s="196"/>
      <c r="Q328" s="197"/>
      <c r="R328" s="197"/>
      <c r="S328" s="198"/>
      <c r="T328" s="2"/>
    </row>
    <row r="329" spans="1:20" s="1" customFormat="1" ht="32.1" customHeight="1" x14ac:dyDescent="0.2">
      <c r="A329" s="108"/>
      <c r="B329" s="194"/>
      <c r="C329" s="194"/>
      <c r="D329" s="195"/>
      <c r="E329" s="196"/>
      <c r="F329" s="196"/>
      <c r="G329" s="196"/>
      <c r="H329" s="196"/>
      <c r="I329" s="196"/>
      <c r="J329" s="196"/>
      <c r="K329" s="196"/>
      <c r="L329" s="196"/>
      <c r="M329" s="196"/>
      <c r="N329" s="196"/>
      <c r="O329" s="196"/>
      <c r="P329" s="196"/>
      <c r="Q329" s="197"/>
      <c r="R329" s="197"/>
      <c r="S329" s="198"/>
      <c r="T329" s="2"/>
    </row>
    <row r="330" spans="1:20" s="1" customFormat="1" ht="32.1" customHeight="1" x14ac:dyDescent="0.2">
      <c r="A330" s="108"/>
      <c r="B330" s="194"/>
      <c r="C330" s="194"/>
      <c r="D330" s="195"/>
      <c r="E330" s="196"/>
      <c r="F330" s="196"/>
      <c r="G330" s="196"/>
      <c r="H330" s="196"/>
      <c r="I330" s="196"/>
      <c r="J330" s="196"/>
      <c r="K330" s="196"/>
      <c r="L330" s="196"/>
      <c r="M330" s="196"/>
      <c r="N330" s="196"/>
      <c r="O330" s="199"/>
      <c r="P330" s="196"/>
      <c r="Q330" s="197"/>
      <c r="R330" s="197"/>
      <c r="S330" s="198"/>
      <c r="T330" s="2"/>
    </row>
    <row r="331" spans="1:20" s="1" customFormat="1" ht="32.1" customHeight="1" x14ac:dyDescent="0.2">
      <c r="A331" s="108"/>
      <c r="B331" s="194"/>
      <c r="C331" s="194"/>
      <c r="D331" s="195"/>
      <c r="E331" s="196"/>
      <c r="F331" s="196"/>
      <c r="G331" s="196"/>
      <c r="H331" s="196"/>
      <c r="I331" s="196"/>
      <c r="J331" s="196"/>
      <c r="K331" s="196"/>
      <c r="L331" s="196"/>
      <c r="M331" s="196"/>
      <c r="N331" s="196"/>
      <c r="O331" s="196"/>
      <c r="P331" s="196"/>
      <c r="Q331" s="197"/>
      <c r="R331" s="197"/>
      <c r="S331" s="198"/>
      <c r="T331" s="2"/>
    </row>
    <row r="332" spans="1:20" s="1" customFormat="1" ht="32.1" customHeight="1" x14ac:dyDescent="0.2">
      <c r="A332" s="108"/>
      <c r="B332" s="194"/>
      <c r="C332" s="194"/>
      <c r="D332" s="195"/>
      <c r="E332" s="196"/>
      <c r="F332" s="196"/>
      <c r="G332" s="196"/>
      <c r="H332" s="196"/>
      <c r="I332" s="196"/>
      <c r="J332" s="196"/>
      <c r="K332" s="196"/>
      <c r="L332" s="196"/>
      <c r="M332" s="196"/>
      <c r="N332" s="196"/>
      <c r="O332" s="196"/>
      <c r="P332" s="196"/>
      <c r="Q332" s="197"/>
      <c r="R332" s="197"/>
      <c r="S332" s="198"/>
      <c r="T332" s="2"/>
    </row>
    <row r="333" spans="1:20" s="1" customFormat="1" ht="32.1" customHeight="1" x14ac:dyDescent="0.2">
      <c r="A333" s="108"/>
      <c r="B333" s="194"/>
      <c r="C333" s="194"/>
      <c r="D333" s="195"/>
      <c r="E333" s="196"/>
      <c r="F333" s="196"/>
      <c r="G333" s="196"/>
      <c r="H333" s="196"/>
      <c r="I333" s="196"/>
      <c r="J333" s="196"/>
      <c r="K333" s="196"/>
      <c r="L333" s="196"/>
      <c r="M333" s="196"/>
      <c r="N333" s="196"/>
      <c r="O333" s="196"/>
      <c r="P333" s="196"/>
      <c r="Q333" s="197"/>
      <c r="R333" s="197"/>
      <c r="S333" s="198"/>
      <c r="T333" s="2"/>
    </row>
    <row r="334" spans="1:20" ht="32.1" hidden="1" customHeight="1" x14ac:dyDescent="0.2">
      <c r="A334" s="95" t="s">
        <v>3348</v>
      </c>
      <c r="B334" s="156" t="s">
        <v>3368</v>
      </c>
      <c r="C334" s="156" t="s">
        <v>3369</v>
      </c>
      <c r="D334" s="96">
        <v>102</v>
      </c>
      <c r="E334" s="104"/>
      <c r="F334" s="104"/>
      <c r="G334" s="104"/>
      <c r="H334" s="104"/>
      <c r="I334" s="168">
        <v>21</v>
      </c>
      <c r="J334" s="104"/>
      <c r="K334" s="104"/>
      <c r="L334" s="104"/>
      <c r="M334" s="104"/>
      <c r="N334" s="104"/>
      <c r="O334" s="104"/>
      <c r="P334" s="159">
        <v>0</v>
      </c>
      <c r="Q334" s="171">
        <f t="shared" ref="Q334:Q350" si="17">AVERAGE(E334:P334)</f>
        <v>10.5</v>
      </c>
      <c r="R334" s="163" t="str">
        <f t="shared" ref="R334:R367" si="18">IF(Q334&lt;5,"SI","NO")</f>
        <v>NO</v>
      </c>
      <c r="S334" s="172" t="str">
        <f t="shared" ref="S334:S350" si="19">IF(Q334&lt;5,"Sin Riesgo",IF(Q334 &lt;=14,"Bajo",IF(Q334&lt;=35,"Medio",IF(Q334&lt;=80,"Alto","Inviable Sanitariamente"))))</f>
        <v>Bajo</v>
      </c>
    </row>
    <row r="335" spans="1:20" ht="32.1" hidden="1" customHeight="1" x14ac:dyDescent="0.2">
      <c r="A335" s="95" t="s">
        <v>3348</v>
      </c>
      <c r="B335" s="156" t="s">
        <v>3370</v>
      </c>
      <c r="C335" s="156" t="s">
        <v>3371</v>
      </c>
      <c r="D335" s="99">
        <v>65</v>
      </c>
      <c r="E335" s="104"/>
      <c r="F335" s="104"/>
      <c r="G335" s="104"/>
      <c r="H335" s="104"/>
      <c r="I335" s="104"/>
      <c r="J335" s="104"/>
      <c r="K335" s="104"/>
      <c r="L335" s="158">
        <v>97.4</v>
      </c>
      <c r="M335" s="104"/>
      <c r="N335" s="104"/>
      <c r="O335" s="159"/>
      <c r="P335" s="104"/>
      <c r="Q335" s="162">
        <f t="shared" si="17"/>
        <v>97.4</v>
      </c>
      <c r="R335" s="163" t="str">
        <f t="shared" si="18"/>
        <v>NO</v>
      </c>
      <c r="S335" s="164" t="str">
        <f t="shared" si="19"/>
        <v>Inviable Sanitariamente</v>
      </c>
    </row>
    <row r="336" spans="1:20" ht="32.1" hidden="1" customHeight="1" x14ac:dyDescent="0.2">
      <c r="A336" s="95" t="s">
        <v>3348</v>
      </c>
      <c r="B336" s="156" t="s">
        <v>426</v>
      </c>
      <c r="C336" s="156" t="s">
        <v>3372</v>
      </c>
      <c r="D336" s="99">
        <v>15</v>
      </c>
      <c r="E336" s="104"/>
      <c r="F336" s="104"/>
      <c r="G336" s="104"/>
      <c r="H336" s="104"/>
      <c r="I336" s="104"/>
      <c r="J336" s="104"/>
      <c r="K336" s="104"/>
      <c r="L336" s="158">
        <v>97.4</v>
      </c>
      <c r="M336" s="168"/>
      <c r="N336" s="104"/>
      <c r="O336" s="104"/>
      <c r="P336" s="104"/>
      <c r="Q336" s="162">
        <f t="shared" si="17"/>
        <v>97.4</v>
      </c>
      <c r="R336" s="163" t="str">
        <f t="shared" si="18"/>
        <v>NO</v>
      </c>
      <c r="S336" s="164" t="str">
        <f t="shared" si="19"/>
        <v>Inviable Sanitariamente</v>
      </c>
    </row>
    <row r="337" spans="1:19" ht="32.1" hidden="1" customHeight="1" x14ac:dyDescent="0.2">
      <c r="A337" s="95" t="s">
        <v>3348</v>
      </c>
      <c r="B337" s="156" t="s">
        <v>2945</v>
      </c>
      <c r="C337" s="156" t="s">
        <v>2946</v>
      </c>
      <c r="D337" s="96">
        <v>32</v>
      </c>
      <c r="E337" s="104"/>
      <c r="F337" s="104"/>
      <c r="G337" s="104"/>
      <c r="H337" s="104"/>
      <c r="I337" s="104"/>
      <c r="J337" s="104"/>
      <c r="K337" s="104"/>
      <c r="L337" s="165">
        <v>53.1</v>
      </c>
      <c r="M337" s="104"/>
      <c r="N337" s="104"/>
      <c r="O337" s="104"/>
      <c r="P337" s="104"/>
      <c r="Q337" s="166">
        <f t="shared" si="17"/>
        <v>53.1</v>
      </c>
      <c r="R337" s="163" t="str">
        <f t="shared" si="18"/>
        <v>NO</v>
      </c>
      <c r="S337" s="167" t="str">
        <f t="shared" si="19"/>
        <v>Alto</v>
      </c>
    </row>
    <row r="338" spans="1:19" ht="32.1" hidden="1" customHeight="1" x14ac:dyDescent="0.2">
      <c r="A338" s="95" t="s">
        <v>3348</v>
      </c>
      <c r="B338" s="156" t="s">
        <v>3373</v>
      </c>
      <c r="C338" s="156" t="s">
        <v>3374</v>
      </c>
      <c r="D338" s="99">
        <v>86</v>
      </c>
      <c r="E338" s="104"/>
      <c r="F338" s="159">
        <v>0</v>
      </c>
      <c r="G338" s="165">
        <v>70.8</v>
      </c>
      <c r="H338" s="159">
        <v>0</v>
      </c>
      <c r="I338" s="159">
        <v>0</v>
      </c>
      <c r="J338" s="104"/>
      <c r="K338" s="159">
        <v>0</v>
      </c>
      <c r="L338" s="104"/>
      <c r="M338" s="104"/>
      <c r="N338" s="104"/>
      <c r="O338" s="165">
        <v>55.94</v>
      </c>
      <c r="P338" s="159">
        <v>0</v>
      </c>
      <c r="Q338" s="169">
        <f t="shared" si="17"/>
        <v>18.105714285714285</v>
      </c>
      <c r="R338" s="163" t="str">
        <f t="shared" si="18"/>
        <v>NO</v>
      </c>
      <c r="S338" s="170" t="str">
        <f t="shared" si="19"/>
        <v>Medio</v>
      </c>
    </row>
    <row r="339" spans="1:19" ht="32.1" hidden="1" customHeight="1" x14ac:dyDescent="0.2">
      <c r="A339" s="95" t="s">
        <v>3348</v>
      </c>
      <c r="B339" s="156" t="s">
        <v>3375</v>
      </c>
      <c r="C339" s="156" t="s">
        <v>3376</v>
      </c>
      <c r="D339" s="99">
        <v>93</v>
      </c>
      <c r="E339" s="158">
        <v>97.4</v>
      </c>
      <c r="F339" s="104"/>
      <c r="G339" s="104"/>
      <c r="H339" s="104"/>
      <c r="I339" s="104"/>
      <c r="J339" s="104"/>
      <c r="K339" s="104"/>
      <c r="L339" s="104"/>
      <c r="M339" s="104"/>
      <c r="N339" s="104"/>
      <c r="O339" s="104"/>
      <c r="P339" s="104"/>
      <c r="Q339" s="162">
        <f t="shared" si="17"/>
        <v>97.4</v>
      </c>
      <c r="R339" s="163" t="str">
        <f t="shared" si="18"/>
        <v>NO</v>
      </c>
      <c r="S339" s="164" t="str">
        <f t="shared" si="19"/>
        <v>Inviable Sanitariamente</v>
      </c>
    </row>
    <row r="340" spans="1:19" ht="32.1" hidden="1" customHeight="1" x14ac:dyDescent="0.2">
      <c r="A340" s="95" t="s">
        <v>3348</v>
      </c>
      <c r="B340" s="156" t="s">
        <v>3377</v>
      </c>
      <c r="C340" s="156" t="s">
        <v>3378</v>
      </c>
      <c r="D340" s="99">
        <v>55</v>
      </c>
      <c r="E340" s="104"/>
      <c r="F340" s="104"/>
      <c r="G340" s="104"/>
      <c r="H340" s="104"/>
      <c r="I340" s="104"/>
      <c r="J340" s="104"/>
      <c r="K340" s="104"/>
      <c r="L340" s="104"/>
      <c r="M340" s="104"/>
      <c r="N340" s="104"/>
      <c r="O340" s="104"/>
      <c r="P340" s="104"/>
      <c r="Q340" s="130" t="e">
        <f t="shared" si="17"/>
        <v>#DIV/0!</v>
      </c>
      <c r="R340" s="131" t="e">
        <f t="shared" si="18"/>
        <v>#DIV/0!</v>
      </c>
      <c r="S340" s="132" t="e">
        <f t="shared" si="19"/>
        <v>#DIV/0!</v>
      </c>
    </row>
    <row r="341" spans="1:19" ht="32.1" hidden="1" customHeight="1" x14ac:dyDescent="0.2">
      <c r="A341" s="95" t="s">
        <v>3348</v>
      </c>
      <c r="B341" s="156" t="s">
        <v>3379</v>
      </c>
      <c r="C341" s="156" t="s">
        <v>3380</v>
      </c>
      <c r="D341" s="99">
        <v>30</v>
      </c>
      <c r="E341" s="104"/>
      <c r="F341" s="104"/>
      <c r="G341" s="157"/>
      <c r="H341" s="104"/>
      <c r="I341" s="104"/>
      <c r="J341" s="104"/>
      <c r="K341" s="104"/>
      <c r="L341" s="158">
        <v>97.4</v>
      </c>
      <c r="M341" s="104"/>
      <c r="N341" s="104"/>
      <c r="O341" s="165"/>
      <c r="P341" s="104"/>
      <c r="Q341" s="162">
        <f t="shared" si="17"/>
        <v>97.4</v>
      </c>
      <c r="R341" s="163" t="str">
        <f t="shared" si="18"/>
        <v>NO</v>
      </c>
      <c r="S341" s="164" t="str">
        <f t="shared" si="19"/>
        <v>Inviable Sanitariamente</v>
      </c>
    </row>
    <row r="342" spans="1:19" ht="32.1" hidden="1" customHeight="1" x14ac:dyDescent="0.2">
      <c r="A342" s="95" t="s">
        <v>3348</v>
      </c>
      <c r="B342" s="156" t="s">
        <v>3381</v>
      </c>
      <c r="C342" s="156" t="s">
        <v>3382</v>
      </c>
      <c r="D342" s="99">
        <v>15</v>
      </c>
      <c r="E342" s="104"/>
      <c r="F342" s="104"/>
      <c r="G342" s="104"/>
      <c r="H342" s="104"/>
      <c r="I342" s="104"/>
      <c r="J342" s="104"/>
      <c r="K342" s="104"/>
      <c r="L342" s="104"/>
      <c r="M342" s="104"/>
      <c r="N342" s="165">
        <v>53.1</v>
      </c>
      <c r="O342" s="104"/>
      <c r="P342" s="104"/>
      <c r="Q342" s="166">
        <f t="shared" si="17"/>
        <v>53.1</v>
      </c>
      <c r="R342" s="163" t="str">
        <f t="shared" si="18"/>
        <v>NO</v>
      </c>
      <c r="S342" s="167" t="str">
        <f t="shared" si="19"/>
        <v>Alto</v>
      </c>
    </row>
    <row r="343" spans="1:19" ht="32.1" hidden="1" customHeight="1" x14ac:dyDescent="0.2">
      <c r="A343" s="95" t="s">
        <v>3348</v>
      </c>
      <c r="B343" s="156" t="s">
        <v>3287</v>
      </c>
      <c r="C343" s="156" t="s">
        <v>3383</v>
      </c>
      <c r="D343" s="99"/>
      <c r="E343" s="104"/>
      <c r="F343" s="159">
        <v>0</v>
      </c>
      <c r="G343" s="159">
        <v>0</v>
      </c>
      <c r="H343" s="159">
        <v>0</v>
      </c>
      <c r="I343" s="159">
        <v>0</v>
      </c>
      <c r="J343" s="159">
        <v>0</v>
      </c>
      <c r="K343" s="104"/>
      <c r="L343" s="104"/>
      <c r="M343" s="104"/>
      <c r="N343" s="104"/>
      <c r="O343" s="104"/>
      <c r="P343" s="159">
        <v>0</v>
      </c>
      <c r="Q343" s="160">
        <f t="shared" si="17"/>
        <v>0</v>
      </c>
      <c r="R343" s="131" t="str">
        <f t="shared" si="18"/>
        <v>SI</v>
      </c>
      <c r="S343" s="161" t="str">
        <f t="shared" si="19"/>
        <v>Sin Riesgo</v>
      </c>
    </row>
    <row r="344" spans="1:19" ht="32.1" hidden="1" customHeight="1" x14ac:dyDescent="0.2">
      <c r="A344" s="95" t="s">
        <v>3348</v>
      </c>
      <c r="B344" s="156" t="s">
        <v>3384</v>
      </c>
      <c r="C344" s="156" t="s">
        <v>3385</v>
      </c>
      <c r="D344" s="99">
        <v>118</v>
      </c>
      <c r="E344" s="104"/>
      <c r="F344" s="104"/>
      <c r="G344" s="104"/>
      <c r="H344" s="104"/>
      <c r="I344" s="104"/>
      <c r="J344" s="104"/>
      <c r="K344" s="158">
        <v>97.35</v>
      </c>
      <c r="L344" s="104"/>
      <c r="M344" s="104"/>
      <c r="N344" s="104"/>
      <c r="O344" s="104"/>
      <c r="P344" s="104"/>
      <c r="Q344" s="160">
        <f t="shared" si="17"/>
        <v>97.35</v>
      </c>
      <c r="R344" s="163" t="str">
        <f t="shared" si="18"/>
        <v>NO</v>
      </c>
      <c r="S344" s="164" t="str">
        <f t="shared" si="19"/>
        <v>Inviable Sanitariamente</v>
      </c>
    </row>
    <row r="345" spans="1:19" ht="32.1" hidden="1" customHeight="1" x14ac:dyDescent="0.2">
      <c r="A345" s="95" t="s">
        <v>3348</v>
      </c>
      <c r="B345" s="156" t="s">
        <v>3386</v>
      </c>
      <c r="C345" s="156" t="s">
        <v>3387</v>
      </c>
      <c r="D345" s="99">
        <v>271</v>
      </c>
      <c r="E345" s="104"/>
      <c r="F345" s="104"/>
      <c r="G345" s="159">
        <v>0</v>
      </c>
      <c r="H345" s="104"/>
      <c r="I345" s="104"/>
      <c r="J345" s="104"/>
      <c r="K345" s="104"/>
      <c r="L345" s="104"/>
      <c r="M345" s="104"/>
      <c r="N345" s="104"/>
      <c r="O345" s="159">
        <v>0</v>
      </c>
      <c r="P345" s="159">
        <v>0</v>
      </c>
      <c r="Q345" s="160">
        <f t="shared" si="17"/>
        <v>0</v>
      </c>
      <c r="R345" s="131" t="str">
        <f t="shared" si="18"/>
        <v>SI</v>
      </c>
      <c r="S345" s="161" t="str">
        <f t="shared" si="19"/>
        <v>Sin Riesgo</v>
      </c>
    </row>
    <row r="346" spans="1:19" ht="32.1" hidden="1" customHeight="1" x14ac:dyDescent="0.2">
      <c r="A346" s="95" t="s">
        <v>3348</v>
      </c>
      <c r="B346" s="156" t="s">
        <v>3388</v>
      </c>
      <c r="C346" s="156" t="s">
        <v>3389</v>
      </c>
      <c r="D346" s="99">
        <v>380</v>
      </c>
      <c r="E346" s="158">
        <v>97.4</v>
      </c>
      <c r="F346" s="104"/>
      <c r="G346" s="104"/>
      <c r="H346" s="104"/>
      <c r="I346" s="104"/>
      <c r="J346" s="104"/>
      <c r="K346" s="104"/>
      <c r="L346" s="104"/>
      <c r="M346" s="104"/>
      <c r="N346" s="104"/>
      <c r="O346" s="104"/>
      <c r="P346" s="104"/>
      <c r="Q346" s="162">
        <f t="shared" si="17"/>
        <v>97.4</v>
      </c>
      <c r="R346" s="163" t="str">
        <f t="shared" si="18"/>
        <v>NO</v>
      </c>
      <c r="S346" s="164" t="str">
        <f t="shared" si="19"/>
        <v>Inviable Sanitariamente</v>
      </c>
    </row>
    <row r="347" spans="1:19" ht="32.1" hidden="1" customHeight="1" x14ac:dyDescent="0.2">
      <c r="A347" s="95" t="s">
        <v>3348</v>
      </c>
      <c r="B347" s="156" t="s">
        <v>1028</v>
      </c>
      <c r="C347" s="156" t="s">
        <v>3390</v>
      </c>
      <c r="D347" s="99">
        <v>260</v>
      </c>
      <c r="E347" s="159">
        <v>0</v>
      </c>
      <c r="F347" s="159">
        <v>0</v>
      </c>
      <c r="G347" s="159">
        <v>0</v>
      </c>
      <c r="H347" s="159">
        <v>0</v>
      </c>
      <c r="I347" s="159">
        <v>0</v>
      </c>
      <c r="J347" s="159">
        <v>0</v>
      </c>
      <c r="K347" s="104"/>
      <c r="L347" s="104"/>
      <c r="M347" s="104"/>
      <c r="N347" s="104"/>
      <c r="O347" s="104"/>
      <c r="P347" s="159">
        <v>0</v>
      </c>
      <c r="Q347" s="160">
        <f t="shared" si="17"/>
        <v>0</v>
      </c>
      <c r="R347" s="131" t="str">
        <f t="shared" si="18"/>
        <v>SI</v>
      </c>
      <c r="S347" s="161" t="str">
        <f t="shared" si="19"/>
        <v>Sin Riesgo</v>
      </c>
    </row>
    <row r="348" spans="1:19" ht="32.1" hidden="1" customHeight="1" x14ac:dyDescent="0.2">
      <c r="A348" s="95" t="s">
        <v>3348</v>
      </c>
      <c r="B348" s="156" t="s">
        <v>3391</v>
      </c>
      <c r="C348" s="156" t="s">
        <v>3392</v>
      </c>
      <c r="D348" s="99">
        <v>1103</v>
      </c>
      <c r="E348" s="104"/>
      <c r="F348" s="159">
        <v>0</v>
      </c>
      <c r="G348" s="159">
        <v>0</v>
      </c>
      <c r="H348" s="159">
        <v>0</v>
      </c>
      <c r="I348" s="159">
        <v>0</v>
      </c>
      <c r="J348" s="159">
        <v>0</v>
      </c>
      <c r="K348" s="104"/>
      <c r="L348" s="104"/>
      <c r="M348" s="104"/>
      <c r="N348" s="104"/>
      <c r="O348" s="104"/>
      <c r="P348" s="159">
        <v>0</v>
      </c>
      <c r="Q348" s="160">
        <f t="shared" si="17"/>
        <v>0</v>
      </c>
      <c r="R348" s="131" t="str">
        <f t="shared" si="18"/>
        <v>SI</v>
      </c>
      <c r="S348" s="161" t="str">
        <f t="shared" si="19"/>
        <v>Sin Riesgo</v>
      </c>
    </row>
    <row r="349" spans="1:19" ht="32.1" hidden="1" customHeight="1" x14ac:dyDescent="0.2">
      <c r="A349" s="95" t="s">
        <v>3348</v>
      </c>
      <c r="B349" s="156" t="s">
        <v>3393</v>
      </c>
      <c r="C349" s="156" t="s">
        <v>3394</v>
      </c>
      <c r="D349" s="99"/>
      <c r="E349" s="159">
        <v>0</v>
      </c>
      <c r="F349" s="159">
        <v>0</v>
      </c>
      <c r="G349" s="159">
        <v>0</v>
      </c>
      <c r="H349" s="159">
        <v>0</v>
      </c>
      <c r="I349" s="159">
        <v>0</v>
      </c>
      <c r="J349" s="159">
        <v>0</v>
      </c>
      <c r="K349" s="104"/>
      <c r="L349" s="104"/>
      <c r="M349" s="104"/>
      <c r="N349" s="104"/>
      <c r="O349" s="104"/>
      <c r="P349" s="104"/>
      <c r="Q349" s="160">
        <f t="shared" si="17"/>
        <v>0</v>
      </c>
      <c r="R349" s="131" t="str">
        <f t="shared" si="18"/>
        <v>SI</v>
      </c>
      <c r="S349" s="161" t="str">
        <f t="shared" si="19"/>
        <v>Sin Riesgo</v>
      </c>
    </row>
    <row r="350" spans="1:19" ht="32.1" hidden="1" customHeight="1" x14ac:dyDescent="0.2">
      <c r="A350" s="95" t="s">
        <v>3348</v>
      </c>
      <c r="B350" s="122" t="s">
        <v>3395</v>
      </c>
      <c r="C350" s="122" t="s">
        <v>3396</v>
      </c>
      <c r="D350" s="99">
        <v>40</v>
      </c>
      <c r="E350" s="104"/>
      <c r="F350" s="104"/>
      <c r="G350" s="104"/>
      <c r="H350" s="104"/>
      <c r="I350" s="104"/>
      <c r="J350" s="104"/>
      <c r="K350" s="104"/>
      <c r="L350" s="104"/>
      <c r="M350" s="104"/>
      <c r="N350" s="104"/>
      <c r="O350" s="158">
        <v>97.4</v>
      </c>
      <c r="P350" s="104"/>
      <c r="Q350" s="162">
        <f t="shared" si="17"/>
        <v>97.4</v>
      </c>
      <c r="R350" s="163" t="str">
        <f t="shared" si="18"/>
        <v>NO</v>
      </c>
      <c r="S350" s="164" t="str">
        <f t="shared" si="19"/>
        <v>Inviable Sanitariamente</v>
      </c>
    </row>
    <row r="351" spans="1:19" ht="32.1" hidden="1" customHeight="1" x14ac:dyDescent="0.2">
      <c r="A351" s="100" t="s">
        <v>3397</v>
      </c>
      <c r="B351" s="156" t="s">
        <v>3398</v>
      </c>
      <c r="C351" s="156" t="s">
        <v>3399</v>
      </c>
      <c r="D351" s="99">
        <v>17</v>
      </c>
      <c r="E351" s="104"/>
      <c r="F351" s="158">
        <v>97.34</v>
      </c>
      <c r="G351" s="104"/>
      <c r="H351" s="104"/>
      <c r="I351" s="104"/>
      <c r="J351" s="104"/>
      <c r="K351" s="104"/>
      <c r="L351" s="104"/>
      <c r="M351" s="104"/>
      <c r="N351" s="104"/>
      <c r="O351" s="104"/>
      <c r="P351" s="104"/>
      <c r="Q351" s="162">
        <f>AVERAGE(E351:P351)</f>
        <v>97.34</v>
      </c>
      <c r="R351" s="173" t="str">
        <f t="shared" si="18"/>
        <v>NO</v>
      </c>
      <c r="S351" s="164" t="str">
        <f>IF(Q351&lt;5,"Sin Riesgo",IF(Q351 &lt;=14,"Bajo",IF(Q351&lt;=35,"Medio",IF(Q351&lt;=80,"Alto","Inviable Sanitariamente"))))</f>
        <v>Inviable Sanitariamente</v>
      </c>
    </row>
    <row r="352" spans="1:19" ht="32.1" hidden="1" customHeight="1" x14ac:dyDescent="0.2">
      <c r="A352" s="100" t="s">
        <v>3397</v>
      </c>
      <c r="B352" s="156" t="s">
        <v>3400</v>
      </c>
      <c r="C352" s="156" t="s">
        <v>3401</v>
      </c>
      <c r="D352" s="99">
        <v>26</v>
      </c>
      <c r="E352" s="104"/>
      <c r="F352" s="104"/>
      <c r="G352" s="104"/>
      <c r="H352" s="104"/>
      <c r="I352" s="158">
        <v>97.34</v>
      </c>
      <c r="J352" s="104"/>
      <c r="K352" s="104"/>
      <c r="L352" s="104"/>
      <c r="M352" s="104"/>
      <c r="N352" s="104"/>
      <c r="O352" s="104"/>
      <c r="P352" s="104"/>
      <c r="Q352" s="162">
        <f t="shared" ref="Q352:Q367" si="20">AVERAGE(E352:P352)</f>
        <v>97.34</v>
      </c>
      <c r="R352" s="173" t="str">
        <f t="shared" si="18"/>
        <v>NO</v>
      </c>
      <c r="S352" s="164" t="str">
        <f>IF(Q352&lt;5,"Sin Riesgo",IF(Q352 &lt;=14,"Bajo",IF(Q352&lt;=35,"Medio",IF(Q352&lt;=80,"Alto","Inviable Sanitariamente"))))</f>
        <v>Inviable Sanitariamente</v>
      </c>
    </row>
    <row r="353" spans="1:19" ht="32.1" hidden="1" customHeight="1" x14ac:dyDescent="0.2">
      <c r="A353" s="100" t="s">
        <v>3397</v>
      </c>
      <c r="B353" s="156" t="s">
        <v>3402</v>
      </c>
      <c r="C353" s="156" t="s">
        <v>3403</v>
      </c>
      <c r="D353" s="99">
        <v>67</v>
      </c>
      <c r="E353" s="104"/>
      <c r="F353" s="104"/>
      <c r="G353" s="104"/>
      <c r="H353" s="158">
        <v>97.34</v>
      </c>
      <c r="I353" s="104"/>
      <c r="J353" s="104"/>
      <c r="K353" s="104"/>
      <c r="L353" s="104"/>
      <c r="M353" s="104"/>
      <c r="N353" s="104"/>
      <c r="O353" s="104"/>
      <c r="P353" s="104"/>
      <c r="Q353" s="162">
        <f t="shared" si="20"/>
        <v>97.34</v>
      </c>
      <c r="R353" s="173" t="str">
        <f t="shared" si="18"/>
        <v>NO</v>
      </c>
      <c r="S353" s="164" t="str">
        <f t="shared" ref="S353:S367" si="21">IF(Q353&lt;5,"Sin Riesgo",IF(Q353 &lt;=14,"Bajo",IF(Q353&lt;=35,"Medio",IF(Q353&lt;=80,"Alto","Inviable Sanitariamente"))))</f>
        <v>Inviable Sanitariamente</v>
      </c>
    </row>
    <row r="354" spans="1:19" ht="32.1" hidden="1" customHeight="1" x14ac:dyDescent="0.2">
      <c r="A354" s="100" t="s">
        <v>3397</v>
      </c>
      <c r="B354" s="156" t="s">
        <v>3404</v>
      </c>
      <c r="C354" s="156" t="s">
        <v>3405</v>
      </c>
      <c r="D354" s="99">
        <v>42</v>
      </c>
      <c r="E354" s="104"/>
      <c r="F354" s="104"/>
      <c r="G354" s="104"/>
      <c r="H354" s="104"/>
      <c r="I354" s="158">
        <v>97.34</v>
      </c>
      <c r="J354" s="104"/>
      <c r="K354" s="104"/>
      <c r="L354" s="104"/>
      <c r="M354" s="104"/>
      <c r="N354" s="104"/>
      <c r="O354" s="104"/>
      <c r="P354" s="104"/>
      <c r="Q354" s="162">
        <f t="shared" si="20"/>
        <v>97.34</v>
      </c>
      <c r="R354" s="173" t="str">
        <f t="shared" si="18"/>
        <v>NO</v>
      </c>
      <c r="S354" s="164" t="str">
        <f t="shared" si="21"/>
        <v>Inviable Sanitariamente</v>
      </c>
    </row>
    <row r="355" spans="1:19" ht="32.1" hidden="1" customHeight="1" x14ac:dyDescent="0.2">
      <c r="A355" s="100" t="s">
        <v>3397</v>
      </c>
      <c r="B355" s="156" t="s">
        <v>2791</v>
      </c>
      <c r="C355" s="156" t="s">
        <v>3406</v>
      </c>
      <c r="D355" s="99">
        <v>120</v>
      </c>
      <c r="E355" s="104"/>
      <c r="F355" s="104"/>
      <c r="G355" s="104"/>
      <c r="H355" s="104"/>
      <c r="I355" s="104"/>
      <c r="J355" s="104"/>
      <c r="K355" s="104"/>
      <c r="L355" s="104"/>
      <c r="M355" s="158">
        <v>97.34</v>
      </c>
      <c r="N355" s="104"/>
      <c r="O355" s="104"/>
      <c r="P355" s="104"/>
      <c r="Q355" s="162">
        <f t="shared" si="20"/>
        <v>97.34</v>
      </c>
      <c r="R355" s="173" t="str">
        <f t="shared" si="18"/>
        <v>NO</v>
      </c>
      <c r="S355" s="164" t="str">
        <f t="shared" si="21"/>
        <v>Inviable Sanitariamente</v>
      </c>
    </row>
    <row r="356" spans="1:19" ht="32.1" hidden="1" customHeight="1" x14ac:dyDescent="0.2">
      <c r="A356" s="100" t="s">
        <v>3397</v>
      </c>
      <c r="B356" s="156" t="s">
        <v>647</v>
      </c>
      <c r="C356" s="156" t="s">
        <v>3407</v>
      </c>
      <c r="D356" s="99">
        <v>34</v>
      </c>
      <c r="E356" s="104"/>
      <c r="F356" s="158">
        <v>97.34</v>
      </c>
      <c r="G356" s="104"/>
      <c r="H356" s="104"/>
      <c r="I356" s="104"/>
      <c r="J356" s="104"/>
      <c r="K356" s="104"/>
      <c r="L356" s="104"/>
      <c r="M356" s="104"/>
      <c r="N356" s="104"/>
      <c r="O356" s="104"/>
      <c r="P356" s="104"/>
      <c r="Q356" s="162">
        <f t="shared" si="20"/>
        <v>97.34</v>
      </c>
      <c r="R356" s="173" t="str">
        <f t="shared" si="18"/>
        <v>NO</v>
      </c>
      <c r="S356" s="164" t="str">
        <f t="shared" si="21"/>
        <v>Inviable Sanitariamente</v>
      </c>
    </row>
    <row r="357" spans="1:19" ht="32.1" hidden="1" customHeight="1" x14ac:dyDescent="0.2">
      <c r="A357" s="100" t="s">
        <v>3397</v>
      </c>
      <c r="B357" s="156" t="s">
        <v>1386</v>
      </c>
      <c r="C357" s="156" t="s">
        <v>3408</v>
      </c>
      <c r="D357" s="99">
        <v>7</v>
      </c>
      <c r="E357" s="104"/>
      <c r="F357" s="158">
        <v>97.34</v>
      </c>
      <c r="G357" s="104"/>
      <c r="H357" s="104"/>
      <c r="I357" s="104"/>
      <c r="J357" s="104"/>
      <c r="K357" s="104"/>
      <c r="L357" s="104"/>
      <c r="M357" s="104"/>
      <c r="N357" s="104"/>
      <c r="O357" s="104"/>
      <c r="P357" s="104"/>
      <c r="Q357" s="162">
        <f t="shared" si="20"/>
        <v>97.34</v>
      </c>
      <c r="R357" s="173" t="str">
        <f t="shared" si="18"/>
        <v>NO</v>
      </c>
      <c r="S357" s="164" t="str">
        <f t="shared" si="21"/>
        <v>Inviable Sanitariamente</v>
      </c>
    </row>
    <row r="358" spans="1:19" ht="32.1" hidden="1" customHeight="1" x14ac:dyDescent="0.2">
      <c r="A358" s="100" t="s">
        <v>3397</v>
      </c>
      <c r="B358" s="156" t="s">
        <v>2077</v>
      </c>
      <c r="C358" s="156" t="s">
        <v>3409</v>
      </c>
      <c r="D358" s="96">
        <v>40</v>
      </c>
      <c r="E358" s="104"/>
      <c r="F358" s="104"/>
      <c r="G358" s="104"/>
      <c r="H358" s="158">
        <v>97.34</v>
      </c>
      <c r="I358" s="104"/>
      <c r="J358" s="104"/>
      <c r="K358" s="104"/>
      <c r="L358" s="104"/>
      <c r="M358" s="104"/>
      <c r="N358" s="104"/>
      <c r="O358" s="104"/>
      <c r="P358" s="104"/>
      <c r="Q358" s="162">
        <f t="shared" si="20"/>
        <v>97.34</v>
      </c>
      <c r="R358" s="173" t="str">
        <f t="shared" si="18"/>
        <v>NO</v>
      </c>
      <c r="S358" s="164" t="str">
        <f t="shared" si="21"/>
        <v>Inviable Sanitariamente</v>
      </c>
    </row>
    <row r="359" spans="1:19" ht="32.1" hidden="1" customHeight="1" x14ac:dyDescent="0.2">
      <c r="A359" s="100" t="s">
        <v>3397</v>
      </c>
      <c r="B359" s="156" t="s">
        <v>3410</v>
      </c>
      <c r="C359" s="156" t="s">
        <v>3411</v>
      </c>
      <c r="D359" s="99">
        <v>12</v>
      </c>
      <c r="E359" s="104"/>
      <c r="F359" s="104"/>
      <c r="G359" s="104"/>
      <c r="H359" s="104"/>
      <c r="I359" s="158">
        <v>97.34</v>
      </c>
      <c r="J359" s="104"/>
      <c r="K359" s="104"/>
      <c r="L359" s="104"/>
      <c r="M359" s="104"/>
      <c r="N359" s="104"/>
      <c r="O359" s="104"/>
      <c r="P359" s="104"/>
      <c r="Q359" s="162">
        <f t="shared" si="20"/>
        <v>97.34</v>
      </c>
      <c r="R359" s="173" t="str">
        <f t="shared" si="18"/>
        <v>NO</v>
      </c>
      <c r="S359" s="164" t="str">
        <f t="shared" si="21"/>
        <v>Inviable Sanitariamente</v>
      </c>
    </row>
    <row r="360" spans="1:19" ht="32.1" hidden="1" customHeight="1" x14ac:dyDescent="0.2">
      <c r="A360" s="100" t="s">
        <v>3397</v>
      </c>
      <c r="B360" s="156" t="s">
        <v>3412</v>
      </c>
      <c r="C360" s="156" t="s">
        <v>3413</v>
      </c>
      <c r="D360" s="99" t="s">
        <v>3414</v>
      </c>
      <c r="E360" s="104"/>
      <c r="F360" s="104"/>
      <c r="G360" s="104"/>
      <c r="H360" s="104"/>
      <c r="I360" s="104"/>
      <c r="J360" s="104"/>
      <c r="K360" s="104"/>
      <c r="L360" s="104"/>
      <c r="M360" s="104"/>
      <c r="N360" s="104"/>
      <c r="O360" s="104"/>
      <c r="P360" s="104"/>
      <c r="Q360" s="130" t="e">
        <f t="shared" si="20"/>
        <v>#DIV/0!</v>
      </c>
      <c r="R360" s="131" t="e">
        <f t="shared" si="18"/>
        <v>#DIV/0!</v>
      </c>
      <c r="S360" s="132" t="e">
        <f t="shared" si="21"/>
        <v>#DIV/0!</v>
      </c>
    </row>
    <row r="361" spans="1:19" ht="32.1" hidden="1" customHeight="1" x14ac:dyDescent="0.2">
      <c r="A361" s="100" t="s">
        <v>3397</v>
      </c>
      <c r="B361" s="156" t="s">
        <v>8</v>
      </c>
      <c r="C361" s="156" t="s">
        <v>3415</v>
      </c>
      <c r="D361" s="96">
        <v>20</v>
      </c>
      <c r="E361" s="104"/>
      <c r="F361" s="104"/>
      <c r="G361" s="104"/>
      <c r="H361" s="104"/>
      <c r="I361" s="104"/>
      <c r="J361" s="104"/>
      <c r="K361" s="104"/>
      <c r="L361" s="104"/>
      <c r="M361" s="158">
        <v>97.34</v>
      </c>
      <c r="N361" s="104"/>
      <c r="O361" s="104"/>
      <c r="P361" s="104"/>
      <c r="Q361" s="162">
        <f t="shared" si="20"/>
        <v>97.34</v>
      </c>
      <c r="R361" s="173" t="str">
        <f t="shared" si="18"/>
        <v>NO</v>
      </c>
      <c r="S361" s="164" t="str">
        <f t="shared" si="21"/>
        <v>Inviable Sanitariamente</v>
      </c>
    </row>
    <row r="362" spans="1:19" ht="32.1" hidden="1" customHeight="1" x14ac:dyDescent="0.2">
      <c r="A362" s="100" t="s">
        <v>3397</v>
      </c>
      <c r="B362" s="156" t="s">
        <v>52</v>
      </c>
      <c r="C362" s="156" t="s">
        <v>3416</v>
      </c>
      <c r="D362" s="99">
        <v>28</v>
      </c>
      <c r="E362" s="104"/>
      <c r="F362" s="104"/>
      <c r="G362" s="158">
        <v>97.34</v>
      </c>
      <c r="H362" s="104"/>
      <c r="I362" s="104"/>
      <c r="J362" s="104"/>
      <c r="K362" s="104"/>
      <c r="L362" s="104"/>
      <c r="M362" s="104"/>
      <c r="N362" s="104"/>
      <c r="O362" s="104"/>
      <c r="P362" s="104"/>
      <c r="Q362" s="162">
        <f t="shared" si="20"/>
        <v>97.34</v>
      </c>
      <c r="R362" s="173" t="str">
        <f t="shared" si="18"/>
        <v>NO</v>
      </c>
      <c r="S362" s="164" t="str">
        <f t="shared" si="21"/>
        <v>Inviable Sanitariamente</v>
      </c>
    </row>
    <row r="363" spans="1:19" ht="32.1" hidden="1" customHeight="1" x14ac:dyDescent="0.2">
      <c r="A363" s="100" t="s">
        <v>3397</v>
      </c>
      <c r="B363" s="156" t="s">
        <v>3417</v>
      </c>
      <c r="C363" s="156" t="s">
        <v>3418</v>
      </c>
      <c r="D363" s="99">
        <v>28</v>
      </c>
      <c r="E363" s="104"/>
      <c r="F363" s="104"/>
      <c r="G363" s="104"/>
      <c r="H363" s="104"/>
      <c r="I363" s="158">
        <v>97.34</v>
      </c>
      <c r="J363" s="104"/>
      <c r="K363" s="104"/>
      <c r="L363" s="104"/>
      <c r="M363" s="104"/>
      <c r="N363" s="104"/>
      <c r="O363" s="104"/>
      <c r="P363" s="104"/>
      <c r="Q363" s="162">
        <f t="shared" si="20"/>
        <v>97.34</v>
      </c>
      <c r="R363" s="173" t="str">
        <f t="shared" si="18"/>
        <v>NO</v>
      </c>
      <c r="S363" s="164" t="str">
        <f t="shared" si="21"/>
        <v>Inviable Sanitariamente</v>
      </c>
    </row>
    <row r="364" spans="1:19" ht="32.1" hidden="1" customHeight="1" x14ac:dyDescent="0.2">
      <c r="A364" s="100" t="s">
        <v>3397</v>
      </c>
      <c r="B364" s="156" t="s">
        <v>3419</v>
      </c>
      <c r="C364" s="156" t="s">
        <v>3420</v>
      </c>
      <c r="D364" s="96">
        <v>16</v>
      </c>
      <c r="E364" s="104"/>
      <c r="F364" s="104"/>
      <c r="G364" s="104"/>
      <c r="H364" s="104"/>
      <c r="I364" s="158">
        <v>97.34</v>
      </c>
      <c r="J364" s="104"/>
      <c r="K364" s="104"/>
      <c r="L364" s="104"/>
      <c r="M364" s="104"/>
      <c r="N364" s="104"/>
      <c r="O364" s="104"/>
      <c r="P364" s="104"/>
      <c r="Q364" s="162">
        <f t="shared" si="20"/>
        <v>97.34</v>
      </c>
      <c r="R364" s="173" t="str">
        <f t="shared" si="18"/>
        <v>NO</v>
      </c>
      <c r="S364" s="164" t="str">
        <f t="shared" si="21"/>
        <v>Inviable Sanitariamente</v>
      </c>
    </row>
    <row r="365" spans="1:19" ht="32.1" hidden="1" customHeight="1" x14ac:dyDescent="0.2">
      <c r="A365" s="100" t="s">
        <v>3397</v>
      </c>
      <c r="B365" s="156" t="s">
        <v>3421</v>
      </c>
      <c r="C365" s="156" t="s">
        <v>3422</v>
      </c>
      <c r="D365" s="99">
        <v>25</v>
      </c>
      <c r="E365" s="104"/>
      <c r="F365" s="104"/>
      <c r="G365" s="104"/>
      <c r="H365" s="104"/>
      <c r="I365" s="158">
        <v>97.34</v>
      </c>
      <c r="J365" s="104"/>
      <c r="K365" s="104"/>
      <c r="L365" s="104"/>
      <c r="M365" s="104"/>
      <c r="N365" s="104"/>
      <c r="O365" s="104"/>
      <c r="P365" s="104"/>
      <c r="Q365" s="162">
        <f t="shared" si="20"/>
        <v>97.34</v>
      </c>
      <c r="R365" s="173" t="str">
        <f t="shared" si="18"/>
        <v>NO</v>
      </c>
      <c r="S365" s="164" t="str">
        <f t="shared" si="21"/>
        <v>Inviable Sanitariamente</v>
      </c>
    </row>
    <row r="366" spans="1:19" ht="32.1" hidden="1" customHeight="1" x14ac:dyDescent="0.2">
      <c r="A366" s="100" t="s">
        <v>3397</v>
      </c>
      <c r="B366" s="156" t="s">
        <v>1472</v>
      </c>
      <c r="C366" s="156" t="s">
        <v>3423</v>
      </c>
      <c r="D366" s="99">
        <v>42</v>
      </c>
      <c r="E366" s="104"/>
      <c r="F366" s="104"/>
      <c r="G366" s="158">
        <v>97.34</v>
      </c>
      <c r="H366" s="104"/>
      <c r="I366" s="104"/>
      <c r="J366" s="104"/>
      <c r="K366" s="104"/>
      <c r="L366" s="104"/>
      <c r="M366" s="104"/>
      <c r="N366" s="104"/>
      <c r="O366" s="104"/>
      <c r="P366" s="104"/>
      <c r="Q366" s="162">
        <f t="shared" si="20"/>
        <v>97.34</v>
      </c>
      <c r="R366" s="173" t="str">
        <f t="shared" si="18"/>
        <v>NO</v>
      </c>
      <c r="S366" s="164" t="str">
        <f t="shared" si="21"/>
        <v>Inviable Sanitariamente</v>
      </c>
    </row>
    <row r="367" spans="1:19" ht="32.1" hidden="1" customHeight="1" x14ac:dyDescent="0.2">
      <c r="A367" s="100" t="s">
        <v>3397</v>
      </c>
      <c r="B367" s="156" t="s">
        <v>3424</v>
      </c>
      <c r="C367" s="156" t="s">
        <v>3425</v>
      </c>
      <c r="D367" s="99">
        <v>32</v>
      </c>
      <c r="E367" s="104"/>
      <c r="F367" s="104"/>
      <c r="G367" s="157"/>
      <c r="H367" s="104"/>
      <c r="I367" s="104"/>
      <c r="J367" s="104"/>
      <c r="K367" s="104"/>
      <c r="L367" s="104"/>
      <c r="M367" s="104"/>
      <c r="N367" s="158">
        <v>97.34</v>
      </c>
      <c r="O367" s="104"/>
      <c r="P367" s="104"/>
      <c r="Q367" s="162">
        <f t="shared" si="20"/>
        <v>97.34</v>
      </c>
      <c r="R367" s="173" t="str">
        <f t="shared" si="18"/>
        <v>NO</v>
      </c>
      <c r="S367" s="164" t="str">
        <f t="shared" si="21"/>
        <v>Inviable Sanitariamente</v>
      </c>
    </row>
    <row r="368" spans="1:19" ht="32.1" hidden="1" customHeight="1" x14ac:dyDescent="0.2">
      <c r="A368" s="178"/>
      <c r="B368" s="178"/>
      <c r="C368" s="178"/>
      <c r="D368" s="178"/>
    </row>
    <row r="369" spans="1:4" ht="32.1" hidden="1" customHeight="1" x14ac:dyDescent="0.2">
      <c r="A369" s="178"/>
      <c r="B369" s="178"/>
      <c r="C369" s="178"/>
      <c r="D369" s="178"/>
    </row>
    <row r="370" spans="1:4" ht="32.1" hidden="1" customHeight="1" x14ac:dyDescent="0.2">
      <c r="A370" s="178"/>
      <c r="B370" s="178"/>
      <c r="C370" s="178"/>
      <c r="D370" s="178"/>
    </row>
    <row r="371" spans="1:4" ht="32.1" hidden="1" customHeight="1" x14ac:dyDescent="0.2">
      <c r="A371" s="178"/>
      <c r="B371" s="178"/>
      <c r="C371" s="178"/>
      <c r="D371" s="178"/>
    </row>
    <row r="372" spans="1:4" ht="32.1" hidden="1" customHeight="1" x14ac:dyDescent="0.2">
      <c r="A372" s="178"/>
      <c r="B372" s="178"/>
      <c r="C372" s="178"/>
      <c r="D372" s="178"/>
    </row>
    <row r="373" spans="1:4" ht="32.1" hidden="1" customHeight="1" x14ac:dyDescent="0.2">
      <c r="A373" s="178"/>
      <c r="B373" s="178"/>
      <c r="C373" s="178"/>
      <c r="D373" s="178"/>
    </row>
    <row r="374" spans="1:4" ht="32.1" hidden="1" customHeight="1" x14ac:dyDescent="0.2">
      <c r="A374" s="178"/>
      <c r="B374" s="178"/>
      <c r="C374" s="178"/>
      <c r="D374" s="178"/>
    </row>
    <row r="375" spans="1:4" ht="32.1" hidden="1" customHeight="1" x14ac:dyDescent="0.2">
      <c r="A375" s="178"/>
      <c r="B375" s="178"/>
      <c r="C375" s="178"/>
      <c r="D375" s="178"/>
    </row>
    <row r="376" spans="1:4" ht="32.1" hidden="1" customHeight="1" x14ac:dyDescent="0.2">
      <c r="A376" s="178"/>
      <c r="B376" s="178"/>
      <c r="C376" s="178"/>
      <c r="D376" s="178"/>
    </row>
    <row r="377" spans="1:4" ht="32.1" hidden="1" customHeight="1" x14ac:dyDescent="0.2">
      <c r="A377" s="178"/>
      <c r="B377" s="178"/>
      <c r="C377" s="178"/>
      <c r="D377" s="178"/>
    </row>
    <row r="378" spans="1:4" ht="32.1" hidden="1" customHeight="1" x14ac:dyDescent="0.2">
      <c r="A378" s="178"/>
      <c r="B378" s="178"/>
      <c r="C378" s="178"/>
      <c r="D378" s="178"/>
    </row>
    <row r="379" spans="1:4" ht="32.1" hidden="1" customHeight="1" x14ac:dyDescent="0.2">
      <c r="A379" s="178"/>
      <c r="B379" s="178"/>
      <c r="C379" s="178"/>
      <c r="D379" s="178"/>
    </row>
    <row r="380" spans="1:4" ht="32.1" hidden="1" customHeight="1" x14ac:dyDescent="0.2">
      <c r="A380" s="178"/>
      <c r="B380" s="178"/>
      <c r="C380" s="178"/>
      <c r="D380" s="178"/>
    </row>
    <row r="381" spans="1:4" ht="32.1" hidden="1" customHeight="1" x14ac:dyDescent="0.2">
      <c r="A381" s="178"/>
      <c r="B381" s="178"/>
      <c r="C381" s="178"/>
      <c r="D381" s="178"/>
    </row>
    <row r="382" spans="1:4" ht="32.1" hidden="1" customHeight="1" x14ac:dyDescent="0.2">
      <c r="A382" s="178"/>
      <c r="B382" s="178"/>
      <c r="C382" s="178"/>
      <c r="D382" s="178"/>
    </row>
    <row r="383" spans="1:4" ht="32.1" hidden="1" customHeight="1" x14ac:dyDescent="0.2">
      <c r="A383" s="178"/>
      <c r="B383" s="178"/>
      <c r="C383" s="178"/>
      <c r="D383" s="178"/>
    </row>
    <row r="384" spans="1:4" ht="32.1" hidden="1" customHeight="1" x14ac:dyDescent="0.2">
      <c r="A384" s="178"/>
      <c r="B384" s="178"/>
      <c r="C384" s="178"/>
      <c r="D384" s="178"/>
    </row>
    <row r="385" spans="1:4" ht="32.1" hidden="1" customHeight="1" x14ac:dyDescent="0.2">
      <c r="A385" s="178"/>
      <c r="B385" s="178"/>
      <c r="C385" s="178"/>
      <c r="D385" s="178"/>
    </row>
    <row r="386" spans="1:4" ht="32.1" hidden="1" customHeight="1" x14ac:dyDescent="0.2">
      <c r="A386" s="178"/>
      <c r="B386" s="178"/>
      <c r="C386" s="178"/>
      <c r="D386" s="178"/>
    </row>
    <row r="387" spans="1:4" ht="32.1" hidden="1" customHeight="1" x14ac:dyDescent="0.2">
      <c r="A387" s="178"/>
      <c r="B387" s="178"/>
      <c r="C387" s="178"/>
      <c r="D387" s="178"/>
    </row>
    <row r="388" spans="1:4" ht="32.1" hidden="1" customHeight="1" x14ac:dyDescent="0.2">
      <c r="A388" s="178"/>
      <c r="B388" s="178"/>
      <c r="C388" s="178"/>
      <c r="D388" s="178"/>
    </row>
    <row r="389" spans="1:4" ht="32.1" hidden="1" customHeight="1" x14ac:dyDescent="0.2">
      <c r="A389" s="178"/>
      <c r="B389" s="178"/>
      <c r="C389" s="178"/>
      <c r="D389" s="178"/>
    </row>
    <row r="390" spans="1:4" ht="32.1" hidden="1" customHeight="1" x14ac:dyDescent="0.2">
      <c r="A390" s="178"/>
      <c r="B390" s="178"/>
      <c r="C390" s="178"/>
      <c r="D390" s="178"/>
    </row>
    <row r="391" spans="1:4" ht="32.1" hidden="1" customHeight="1" x14ac:dyDescent="0.2">
      <c r="A391" s="178"/>
      <c r="B391" s="178"/>
      <c r="C391" s="178"/>
      <c r="D391" s="178"/>
    </row>
    <row r="392" spans="1:4" ht="32.1" hidden="1" customHeight="1" x14ac:dyDescent="0.2">
      <c r="A392" s="178"/>
      <c r="B392" s="178"/>
      <c r="C392" s="178"/>
      <c r="D392" s="178"/>
    </row>
    <row r="393" spans="1:4" ht="32.1" hidden="1" customHeight="1" x14ac:dyDescent="0.2">
      <c r="A393" s="178"/>
      <c r="B393" s="178"/>
      <c r="C393" s="178"/>
      <c r="D393" s="178"/>
    </row>
    <row r="394" spans="1:4" ht="32.1" hidden="1" customHeight="1" x14ac:dyDescent="0.2">
      <c r="A394" s="178"/>
      <c r="B394" s="178"/>
      <c r="C394" s="178"/>
      <c r="D394" s="178"/>
    </row>
    <row r="395" spans="1:4" ht="32.1" hidden="1" customHeight="1" x14ac:dyDescent="0.2">
      <c r="A395" s="178"/>
      <c r="B395" s="178"/>
      <c r="C395" s="178"/>
      <c r="D395" s="178"/>
    </row>
    <row r="396" spans="1:4" ht="32.1" hidden="1" customHeight="1" x14ac:dyDescent="0.2">
      <c r="A396" s="178"/>
      <c r="B396" s="178"/>
      <c r="C396" s="178"/>
      <c r="D396" s="178"/>
    </row>
    <row r="397" spans="1:4" ht="32.1" hidden="1" customHeight="1" x14ac:dyDescent="0.2">
      <c r="A397" s="178"/>
      <c r="B397" s="178"/>
      <c r="C397" s="178"/>
      <c r="D397" s="178"/>
    </row>
    <row r="398" spans="1:4" ht="32.1" hidden="1" customHeight="1" x14ac:dyDescent="0.2">
      <c r="A398" s="178"/>
      <c r="B398" s="178"/>
      <c r="C398" s="178"/>
      <c r="D398" s="178"/>
    </row>
    <row r="399" spans="1:4" ht="32.1" hidden="1" customHeight="1" x14ac:dyDescent="0.2">
      <c r="A399" s="178"/>
      <c r="B399" s="178"/>
      <c r="C399" s="178"/>
      <c r="D399" s="178"/>
    </row>
    <row r="400" spans="1:4" ht="32.1" hidden="1" customHeight="1" x14ac:dyDescent="0.2">
      <c r="A400" s="178"/>
      <c r="B400" s="178"/>
      <c r="C400" s="178"/>
      <c r="D400" s="178"/>
    </row>
    <row r="401" spans="1:4" ht="32.1" hidden="1" customHeight="1" x14ac:dyDescent="0.2">
      <c r="A401" s="178"/>
      <c r="B401" s="178"/>
      <c r="C401" s="178"/>
      <c r="D401" s="178"/>
    </row>
    <row r="402" spans="1:4" ht="32.1" hidden="1" customHeight="1" x14ac:dyDescent="0.2">
      <c r="A402" s="178"/>
      <c r="B402" s="178"/>
      <c r="C402" s="178"/>
      <c r="D402" s="178"/>
    </row>
    <row r="403" spans="1:4" ht="32.1" hidden="1" customHeight="1" x14ac:dyDescent="0.2">
      <c r="A403" s="178"/>
      <c r="B403" s="178"/>
      <c r="C403" s="178"/>
      <c r="D403" s="178"/>
    </row>
    <row r="404" spans="1:4" ht="32.1" hidden="1" customHeight="1" x14ac:dyDescent="0.2">
      <c r="A404" s="178"/>
      <c r="B404" s="178"/>
      <c r="C404" s="178"/>
      <c r="D404" s="178"/>
    </row>
    <row r="405" spans="1:4" ht="32.1" hidden="1" customHeight="1" x14ac:dyDescent="0.2">
      <c r="A405" s="178"/>
      <c r="B405" s="178"/>
      <c r="C405" s="178"/>
      <c r="D405" s="178"/>
    </row>
    <row r="406" spans="1:4" ht="32.1" hidden="1" customHeight="1" x14ac:dyDescent="0.2">
      <c r="A406" s="178"/>
      <c r="B406" s="178"/>
      <c r="C406" s="178"/>
      <c r="D406" s="178"/>
    </row>
    <row r="407" spans="1:4" ht="32.1" hidden="1" customHeight="1" x14ac:dyDescent="0.2">
      <c r="A407" s="178"/>
      <c r="B407" s="178"/>
      <c r="C407" s="178"/>
      <c r="D407" s="178"/>
    </row>
    <row r="408" spans="1:4" ht="32.1" hidden="1" customHeight="1" x14ac:dyDescent="0.2">
      <c r="A408" s="178"/>
      <c r="B408" s="178"/>
      <c r="C408" s="178"/>
      <c r="D408" s="178"/>
    </row>
    <row r="409" spans="1:4" ht="32.1" hidden="1" customHeight="1" x14ac:dyDescent="0.2">
      <c r="A409" s="178"/>
      <c r="B409" s="178"/>
      <c r="C409" s="178"/>
      <c r="D409" s="178"/>
    </row>
    <row r="410" spans="1:4" ht="32.1" hidden="1" customHeight="1" x14ac:dyDescent="0.2">
      <c r="A410" s="178"/>
      <c r="B410" s="178"/>
      <c r="C410" s="178"/>
      <c r="D410" s="178"/>
    </row>
    <row r="411" spans="1:4" ht="32.1" hidden="1" customHeight="1" x14ac:dyDescent="0.2">
      <c r="A411" s="178"/>
      <c r="B411" s="178"/>
      <c r="C411" s="178"/>
      <c r="D411" s="178"/>
    </row>
    <row r="412" spans="1:4" ht="32.1" hidden="1" customHeight="1" x14ac:dyDescent="0.2">
      <c r="A412" s="178"/>
      <c r="B412" s="178"/>
      <c r="C412" s="178"/>
      <c r="D412" s="178"/>
    </row>
    <row r="413" spans="1:4" ht="32.1" hidden="1" customHeight="1" x14ac:dyDescent="0.2">
      <c r="A413" s="178"/>
      <c r="B413" s="178"/>
      <c r="C413" s="178"/>
      <c r="D413" s="178"/>
    </row>
    <row r="414" spans="1:4" ht="32.1" hidden="1" customHeight="1" x14ac:dyDescent="0.2">
      <c r="A414" s="178"/>
      <c r="B414" s="178"/>
      <c r="C414" s="178"/>
      <c r="D414" s="178"/>
    </row>
    <row r="415" spans="1:4" ht="32.1" hidden="1" customHeight="1" x14ac:dyDescent="0.2">
      <c r="A415" s="178"/>
      <c r="B415" s="178"/>
      <c r="C415" s="178"/>
      <c r="D415" s="178"/>
    </row>
    <row r="416" spans="1:4" ht="32.1" hidden="1" customHeight="1" x14ac:dyDescent="0.2">
      <c r="A416" s="178"/>
      <c r="B416" s="178"/>
      <c r="C416" s="178"/>
      <c r="D416" s="178"/>
    </row>
    <row r="417" spans="1:4" ht="32.1" hidden="1" customHeight="1" x14ac:dyDescent="0.2">
      <c r="A417" s="178"/>
      <c r="B417" s="178"/>
      <c r="C417" s="178"/>
      <c r="D417" s="178"/>
    </row>
    <row r="418" spans="1:4" ht="32.1" hidden="1" customHeight="1" x14ac:dyDescent="0.2">
      <c r="A418" s="178"/>
      <c r="B418" s="178"/>
      <c r="C418" s="178"/>
      <c r="D418" s="178"/>
    </row>
    <row r="419" spans="1:4" ht="32.1" hidden="1" customHeight="1" x14ac:dyDescent="0.2">
      <c r="A419" s="178"/>
      <c r="B419" s="178"/>
      <c r="C419" s="178"/>
      <c r="D419" s="178"/>
    </row>
    <row r="420" spans="1:4" ht="32.1" hidden="1" customHeight="1" x14ac:dyDescent="0.2">
      <c r="A420" s="178"/>
      <c r="B420" s="178"/>
      <c r="C420" s="178"/>
      <c r="D420" s="178"/>
    </row>
    <row r="421" spans="1:4" ht="32.1" hidden="1" customHeight="1" x14ac:dyDescent="0.2">
      <c r="A421" s="178"/>
      <c r="B421" s="178"/>
      <c r="C421" s="178"/>
      <c r="D421" s="178"/>
    </row>
    <row r="422" spans="1:4" ht="32.1" hidden="1" customHeight="1" x14ac:dyDescent="0.2">
      <c r="A422" s="178"/>
      <c r="B422" s="178"/>
      <c r="C422" s="178"/>
      <c r="D422" s="178"/>
    </row>
    <row r="423" spans="1:4" ht="32.1" hidden="1" customHeight="1" x14ac:dyDescent="0.2">
      <c r="A423" s="178"/>
      <c r="B423" s="178"/>
      <c r="C423" s="178"/>
      <c r="D423" s="178"/>
    </row>
    <row r="424" spans="1:4" ht="32.1" hidden="1" customHeight="1" x14ac:dyDescent="0.2">
      <c r="A424" s="178"/>
      <c r="B424" s="178"/>
      <c r="C424" s="178"/>
      <c r="D424" s="178"/>
    </row>
    <row r="425" spans="1:4" ht="32.1" hidden="1" customHeight="1" x14ac:dyDescent="0.2">
      <c r="A425" s="178"/>
      <c r="B425" s="178"/>
      <c r="C425" s="178"/>
      <c r="D425" s="178"/>
    </row>
    <row r="426" spans="1:4" ht="32.1" hidden="1" customHeight="1" x14ac:dyDescent="0.2">
      <c r="A426" s="178"/>
      <c r="B426" s="178"/>
      <c r="C426" s="178"/>
      <c r="D426" s="178"/>
    </row>
    <row r="427" spans="1:4" ht="32.1" hidden="1" customHeight="1" x14ac:dyDescent="0.2">
      <c r="A427" s="178"/>
      <c r="B427" s="178"/>
      <c r="C427" s="178"/>
      <c r="D427" s="178"/>
    </row>
    <row r="428" spans="1:4" ht="32.1" hidden="1" customHeight="1" x14ac:dyDescent="0.2">
      <c r="A428" s="178"/>
      <c r="B428" s="178"/>
      <c r="C428" s="178"/>
      <c r="D428" s="178"/>
    </row>
    <row r="429" spans="1:4" ht="32.1" hidden="1" customHeight="1" x14ac:dyDescent="0.2">
      <c r="A429" s="178"/>
      <c r="B429" s="178"/>
      <c r="C429" s="178"/>
      <c r="D429" s="178"/>
    </row>
    <row r="430" spans="1:4" ht="32.1" hidden="1" customHeight="1" x14ac:dyDescent="0.2">
      <c r="A430" s="178"/>
      <c r="B430" s="178"/>
      <c r="C430" s="178"/>
      <c r="D430" s="178"/>
    </row>
    <row r="431" spans="1:4" ht="32.1" hidden="1" customHeight="1" x14ac:dyDescent="0.2">
      <c r="A431" s="178"/>
      <c r="B431" s="178"/>
      <c r="C431" s="178"/>
      <c r="D431" s="178"/>
    </row>
    <row r="432" spans="1:4" ht="32.1" hidden="1" customHeight="1" x14ac:dyDescent="0.2">
      <c r="A432" s="178"/>
      <c r="B432" s="178"/>
      <c r="C432" s="178"/>
      <c r="D432" s="178"/>
    </row>
    <row r="433" spans="1:4" ht="32.1" hidden="1" customHeight="1" x14ac:dyDescent="0.2">
      <c r="A433" s="178"/>
      <c r="B433" s="178"/>
      <c r="C433" s="178"/>
      <c r="D433" s="178"/>
    </row>
    <row r="434" spans="1:4" ht="32.1" hidden="1" customHeight="1" x14ac:dyDescent="0.2">
      <c r="A434" s="178"/>
      <c r="B434" s="178"/>
      <c r="C434" s="178"/>
      <c r="D434" s="178"/>
    </row>
    <row r="435" spans="1:4" ht="32.1" hidden="1" customHeight="1" x14ac:dyDescent="0.2">
      <c r="A435" s="178"/>
      <c r="B435" s="178"/>
      <c r="C435" s="178"/>
      <c r="D435" s="178"/>
    </row>
    <row r="436" spans="1:4" ht="32.1" hidden="1" customHeight="1" x14ac:dyDescent="0.2">
      <c r="A436" s="178"/>
      <c r="B436" s="178"/>
      <c r="C436" s="178"/>
      <c r="D436" s="178"/>
    </row>
    <row r="437" spans="1:4" ht="32.1" hidden="1" customHeight="1" x14ac:dyDescent="0.2">
      <c r="A437" s="178"/>
      <c r="B437" s="178"/>
      <c r="C437" s="178"/>
      <c r="D437" s="178"/>
    </row>
    <row r="438" spans="1:4" ht="32.1" hidden="1" customHeight="1" x14ac:dyDescent="0.2">
      <c r="A438" s="178"/>
      <c r="B438" s="178"/>
      <c r="C438" s="178"/>
      <c r="D438" s="178"/>
    </row>
    <row r="439" spans="1:4" ht="32.1" hidden="1" customHeight="1" x14ac:dyDescent="0.2">
      <c r="A439" s="178"/>
      <c r="B439" s="178"/>
      <c r="C439" s="178"/>
      <c r="D439" s="178"/>
    </row>
    <row r="440" spans="1:4" ht="32.1" hidden="1" customHeight="1" x14ac:dyDescent="0.2">
      <c r="A440" s="178"/>
      <c r="B440" s="178"/>
      <c r="C440" s="178"/>
      <c r="D440" s="178"/>
    </row>
    <row r="441" spans="1:4" ht="32.1" hidden="1" customHeight="1" x14ac:dyDescent="0.2">
      <c r="A441" s="178"/>
      <c r="B441" s="178"/>
      <c r="C441" s="178"/>
      <c r="D441" s="178"/>
    </row>
    <row r="442" spans="1:4" ht="32.1" hidden="1" customHeight="1" x14ac:dyDescent="0.2">
      <c r="A442" s="178"/>
      <c r="B442" s="178"/>
      <c r="C442" s="178"/>
      <c r="D442" s="178"/>
    </row>
    <row r="443" spans="1:4" ht="32.1" hidden="1" customHeight="1" x14ac:dyDescent="0.2">
      <c r="A443" s="178"/>
      <c r="B443" s="178"/>
      <c r="C443" s="178"/>
      <c r="D443" s="178"/>
    </row>
    <row r="444" spans="1:4" ht="32.1" hidden="1" customHeight="1" x14ac:dyDescent="0.2">
      <c r="A444" s="178"/>
      <c r="B444" s="178"/>
      <c r="C444" s="178"/>
      <c r="D444" s="178"/>
    </row>
    <row r="445" spans="1:4" ht="32.1" hidden="1" customHeight="1" x14ac:dyDescent="0.2">
      <c r="A445" s="178"/>
      <c r="B445" s="178"/>
      <c r="C445" s="178"/>
      <c r="D445" s="178"/>
    </row>
    <row r="446" spans="1:4" ht="32.1" hidden="1" customHeight="1" x14ac:dyDescent="0.2">
      <c r="A446" s="178"/>
      <c r="B446" s="178"/>
      <c r="C446" s="178"/>
      <c r="D446" s="178"/>
    </row>
    <row r="447" spans="1:4" ht="32.1" hidden="1" customHeight="1" x14ac:dyDescent="0.2">
      <c r="A447" s="178"/>
      <c r="B447" s="178"/>
      <c r="C447" s="178"/>
      <c r="D447" s="178"/>
    </row>
    <row r="448" spans="1:4" ht="32.1" hidden="1" customHeight="1" x14ac:dyDescent="0.2">
      <c r="A448" s="178"/>
      <c r="B448" s="178"/>
      <c r="C448" s="178"/>
      <c r="D448" s="178"/>
    </row>
    <row r="449" spans="1:4" ht="32.1" hidden="1" customHeight="1" x14ac:dyDescent="0.2">
      <c r="A449" s="178"/>
      <c r="B449" s="178"/>
      <c r="C449" s="178"/>
      <c r="D449" s="178"/>
    </row>
    <row r="450" spans="1:4" ht="32.1" hidden="1" customHeight="1" x14ac:dyDescent="0.2">
      <c r="A450" s="178"/>
      <c r="B450" s="178"/>
      <c r="C450" s="178"/>
      <c r="D450" s="178"/>
    </row>
    <row r="451" spans="1:4" ht="32.1" hidden="1" customHeight="1" x14ac:dyDescent="0.2">
      <c r="A451" s="178"/>
      <c r="B451" s="178"/>
      <c r="C451" s="178"/>
      <c r="D451" s="178"/>
    </row>
    <row r="452" spans="1:4" ht="32.1" hidden="1" customHeight="1" x14ac:dyDescent="0.2">
      <c r="A452" s="178"/>
      <c r="B452" s="178"/>
      <c r="C452" s="178"/>
      <c r="D452" s="178"/>
    </row>
    <row r="453" spans="1:4" ht="32.1" hidden="1" customHeight="1" x14ac:dyDescent="0.2">
      <c r="A453" s="178"/>
      <c r="B453" s="178"/>
      <c r="C453" s="178"/>
      <c r="D453" s="178"/>
    </row>
    <row r="454" spans="1:4" ht="32.1" hidden="1" customHeight="1" x14ac:dyDescent="0.2">
      <c r="A454" s="178"/>
      <c r="B454" s="178"/>
      <c r="C454" s="178"/>
      <c r="D454" s="178"/>
    </row>
    <row r="455" spans="1:4" ht="32.1" hidden="1" customHeight="1" x14ac:dyDescent="0.2">
      <c r="A455" s="178"/>
      <c r="B455" s="178"/>
      <c r="C455" s="178"/>
      <c r="D455" s="178"/>
    </row>
    <row r="456" spans="1:4" ht="32.1" hidden="1" customHeight="1" x14ac:dyDescent="0.2">
      <c r="A456" s="178"/>
      <c r="B456" s="178"/>
      <c r="C456" s="178"/>
      <c r="D456" s="178"/>
    </row>
    <row r="457" spans="1:4" ht="32.1" hidden="1" customHeight="1" x14ac:dyDescent="0.2">
      <c r="A457" s="178"/>
      <c r="B457" s="178"/>
      <c r="C457" s="178"/>
      <c r="D457" s="178"/>
    </row>
    <row r="458" spans="1:4" ht="32.1" hidden="1" customHeight="1" x14ac:dyDescent="0.2">
      <c r="A458" s="178"/>
      <c r="B458" s="178"/>
      <c r="C458" s="178"/>
      <c r="D458" s="178"/>
    </row>
    <row r="459" spans="1:4" ht="32.1" hidden="1" customHeight="1" x14ac:dyDescent="0.2">
      <c r="A459" s="178"/>
      <c r="B459" s="178"/>
      <c r="C459" s="178"/>
      <c r="D459" s="178"/>
    </row>
    <row r="460" spans="1:4" ht="32.1" hidden="1" customHeight="1" x14ac:dyDescent="0.2">
      <c r="A460" s="178"/>
      <c r="B460" s="178"/>
      <c r="C460" s="178"/>
      <c r="D460" s="178"/>
    </row>
    <row r="461" spans="1:4" ht="32.1" hidden="1" customHeight="1" x14ac:dyDescent="0.2">
      <c r="A461" s="178"/>
      <c r="B461" s="178"/>
      <c r="C461" s="178"/>
      <c r="D461" s="178"/>
    </row>
    <row r="462" spans="1:4" ht="32.1" hidden="1" customHeight="1" x14ac:dyDescent="0.2">
      <c r="A462" s="178"/>
      <c r="B462" s="178"/>
      <c r="C462" s="178"/>
      <c r="D462" s="178"/>
    </row>
    <row r="463" spans="1:4" ht="32.1" hidden="1" customHeight="1" x14ac:dyDescent="0.2">
      <c r="A463" s="178"/>
      <c r="B463" s="178"/>
      <c r="C463" s="178"/>
      <c r="D463" s="178"/>
    </row>
    <row r="464" spans="1:4" ht="32.1" hidden="1" customHeight="1" x14ac:dyDescent="0.2">
      <c r="A464" s="178"/>
      <c r="B464" s="178"/>
      <c r="C464" s="178"/>
      <c r="D464" s="178"/>
    </row>
    <row r="465" spans="1:4" ht="32.1" hidden="1" customHeight="1" x14ac:dyDescent="0.2">
      <c r="A465" s="178"/>
      <c r="B465" s="178"/>
      <c r="C465" s="178"/>
      <c r="D465" s="178"/>
    </row>
    <row r="466" spans="1:4" ht="32.1" hidden="1" customHeight="1" x14ac:dyDescent="0.2">
      <c r="A466" s="178"/>
      <c r="B466" s="178"/>
      <c r="C466" s="178"/>
      <c r="D466" s="178"/>
    </row>
    <row r="467" spans="1:4" ht="32.1" hidden="1" customHeight="1" x14ac:dyDescent="0.2">
      <c r="A467" s="178"/>
      <c r="B467" s="178"/>
      <c r="C467" s="178"/>
      <c r="D467" s="178"/>
    </row>
    <row r="468" spans="1:4" ht="32.1" hidden="1" customHeight="1" x14ac:dyDescent="0.2">
      <c r="A468" s="178"/>
      <c r="B468" s="178"/>
      <c r="C468" s="178"/>
      <c r="D468" s="178"/>
    </row>
    <row r="469" spans="1:4" ht="32.1" hidden="1" customHeight="1" x14ac:dyDescent="0.2">
      <c r="A469" s="178"/>
      <c r="B469" s="178"/>
      <c r="C469" s="178"/>
      <c r="D469" s="178"/>
    </row>
    <row r="470" spans="1:4" ht="32.1" hidden="1" customHeight="1" x14ac:dyDescent="0.2">
      <c r="A470" s="178"/>
      <c r="B470" s="178"/>
      <c r="C470" s="178"/>
      <c r="D470" s="178"/>
    </row>
    <row r="471" spans="1:4" ht="32.1" hidden="1" customHeight="1" x14ac:dyDescent="0.2">
      <c r="A471" s="178"/>
      <c r="B471" s="178"/>
      <c r="C471" s="178"/>
      <c r="D471" s="178"/>
    </row>
    <row r="472" spans="1:4" ht="32.1" hidden="1" customHeight="1" x14ac:dyDescent="0.2">
      <c r="A472" s="178"/>
      <c r="B472" s="178"/>
      <c r="C472" s="178"/>
      <c r="D472" s="178"/>
    </row>
    <row r="473" spans="1:4" ht="32.1" hidden="1" customHeight="1" x14ac:dyDescent="0.2">
      <c r="A473" s="178"/>
      <c r="B473" s="178"/>
      <c r="C473" s="178"/>
      <c r="D473" s="178"/>
    </row>
    <row r="474" spans="1:4" ht="32.1" hidden="1" customHeight="1" x14ac:dyDescent="0.2">
      <c r="A474" s="178"/>
      <c r="B474" s="178"/>
      <c r="C474" s="178"/>
      <c r="D474" s="178"/>
    </row>
    <row r="475" spans="1:4" ht="32.1" hidden="1" customHeight="1" x14ac:dyDescent="0.2">
      <c r="A475" s="178"/>
      <c r="B475" s="178"/>
      <c r="C475" s="178"/>
      <c r="D475" s="178"/>
    </row>
    <row r="476" spans="1:4" ht="32.1" hidden="1" customHeight="1" x14ac:dyDescent="0.2">
      <c r="A476" s="178"/>
      <c r="B476" s="178"/>
      <c r="C476" s="178"/>
      <c r="D476" s="178"/>
    </row>
    <row r="477" spans="1:4" ht="32.1" hidden="1" customHeight="1" x14ac:dyDescent="0.2">
      <c r="A477" s="178"/>
      <c r="B477" s="178"/>
      <c r="C477" s="178"/>
      <c r="D477" s="178"/>
    </row>
    <row r="478" spans="1:4" ht="32.1" hidden="1" customHeight="1" x14ac:dyDescent="0.2">
      <c r="A478" s="178"/>
      <c r="B478" s="178"/>
      <c r="C478" s="178"/>
      <c r="D478" s="178"/>
    </row>
    <row r="479" spans="1:4" ht="32.1" hidden="1" customHeight="1" x14ac:dyDescent="0.2">
      <c r="A479" s="178"/>
      <c r="B479" s="178"/>
      <c r="C479" s="178"/>
      <c r="D479" s="178"/>
    </row>
    <row r="480" spans="1:4" ht="32.1" hidden="1" customHeight="1" x14ac:dyDescent="0.2">
      <c r="A480" s="178"/>
      <c r="B480" s="178"/>
      <c r="C480" s="178"/>
      <c r="D480" s="178"/>
    </row>
    <row r="481" spans="1:4" ht="32.1" hidden="1" customHeight="1" x14ac:dyDescent="0.2">
      <c r="A481" s="178"/>
      <c r="B481" s="178"/>
      <c r="C481" s="178"/>
      <c r="D481" s="178"/>
    </row>
    <row r="482" spans="1:4" ht="32.1" hidden="1" customHeight="1" x14ac:dyDescent="0.2">
      <c r="A482" s="178"/>
      <c r="B482" s="178"/>
      <c r="C482" s="178"/>
      <c r="D482" s="178"/>
    </row>
    <row r="483" spans="1:4" ht="32.1" hidden="1" customHeight="1" x14ac:dyDescent="0.2">
      <c r="A483" s="178"/>
      <c r="B483" s="178"/>
      <c r="C483" s="178"/>
      <c r="D483" s="178"/>
    </row>
    <row r="484" spans="1:4" ht="32.1" hidden="1" customHeight="1" x14ac:dyDescent="0.2">
      <c r="A484" s="178"/>
      <c r="B484" s="178"/>
      <c r="C484" s="178"/>
      <c r="D484" s="178"/>
    </row>
    <row r="485" spans="1:4" ht="32.1" hidden="1" customHeight="1" x14ac:dyDescent="0.2">
      <c r="A485" s="178"/>
      <c r="B485" s="178"/>
      <c r="C485" s="178"/>
      <c r="D485" s="178"/>
    </row>
    <row r="486" spans="1:4" ht="32.1" hidden="1" customHeight="1" x14ac:dyDescent="0.2">
      <c r="A486" s="178"/>
      <c r="B486" s="178"/>
      <c r="C486" s="178"/>
      <c r="D486" s="178"/>
    </row>
    <row r="487" spans="1:4" ht="32.1" hidden="1" customHeight="1" x14ac:dyDescent="0.2">
      <c r="A487" s="178"/>
      <c r="B487" s="178"/>
      <c r="C487" s="178"/>
      <c r="D487" s="178"/>
    </row>
    <row r="488" spans="1:4" ht="32.1" hidden="1" customHeight="1" x14ac:dyDescent="0.2">
      <c r="A488" s="178"/>
      <c r="B488" s="178"/>
      <c r="C488" s="178"/>
      <c r="D488" s="178"/>
    </row>
    <row r="489" spans="1:4" ht="32.1" customHeight="1" x14ac:dyDescent="0.2">
      <c r="A489" s="178"/>
      <c r="B489" s="178"/>
      <c r="C489" s="178"/>
      <c r="D489" s="178"/>
    </row>
    <row r="490" spans="1:4" ht="32.1" customHeight="1" x14ac:dyDescent="0.2">
      <c r="A490" s="178"/>
      <c r="B490" s="178"/>
      <c r="C490" s="178"/>
      <c r="D490" s="178"/>
    </row>
    <row r="491" spans="1:4" ht="32.1" customHeight="1" x14ac:dyDescent="0.2">
      <c r="A491" s="178"/>
      <c r="B491" s="178"/>
      <c r="C491" s="178"/>
      <c r="D491" s="178"/>
    </row>
    <row r="492" spans="1:4" ht="32.1" customHeight="1" x14ac:dyDescent="0.2">
      <c r="A492" s="178"/>
      <c r="B492" s="178"/>
      <c r="C492" s="178"/>
      <c r="D492" s="178"/>
    </row>
    <row r="493" spans="1:4" ht="32.1" customHeight="1" x14ac:dyDescent="0.2">
      <c r="A493" s="178"/>
      <c r="B493" s="178"/>
      <c r="C493" s="178"/>
      <c r="D493" s="178"/>
    </row>
    <row r="494" spans="1:4" ht="32.1" customHeight="1" x14ac:dyDescent="0.2">
      <c r="A494" s="178"/>
      <c r="B494" s="178"/>
      <c r="C494" s="178"/>
      <c r="D494" s="178"/>
    </row>
    <row r="495" spans="1:4" ht="32.1" customHeight="1" x14ac:dyDescent="0.2">
      <c r="A495" s="178"/>
      <c r="B495" s="178"/>
      <c r="C495" s="178"/>
      <c r="D495" s="178"/>
    </row>
    <row r="496" spans="1:4" ht="32.1" customHeight="1" x14ac:dyDescent="0.2">
      <c r="A496" s="178"/>
      <c r="B496" s="178"/>
      <c r="C496" s="178"/>
      <c r="D496" s="178"/>
    </row>
    <row r="497" spans="1:4" ht="32.1" customHeight="1" x14ac:dyDescent="0.2">
      <c r="A497" s="178"/>
      <c r="B497" s="178"/>
      <c r="C497" s="178"/>
      <c r="D497" s="178"/>
    </row>
    <row r="498" spans="1:4" ht="32.1" customHeight="1" x14ac:dyDescent="0.2">
      <c r="A498" s="178"/>
      <c r="B498" s="178"/>
      <c r="C498" s="178"/>
      <c r="D498" s="178"/>
    </row>
    <row r="499" spans="1:4" ht="32.1" customHeight="1" x14ac:dyDescent="0.2">
      <c r="A499" s="178"/>
      <c r="B499" s="178"/>
      <c r="C499" s="178"/>
      <c r="D499" s="178"/>
    </row>
    <row r="500" spans="1:4" ht="32.1" customHeight="1" x14ac:dyDescent="0.2">
      <c r="A500" s="178"/>
      <c r="B500" s="178"/>
      <c r="C500" s="178"/>
      <c r="D500" s="178"/>
    </row>
    <row r="501" spans="1:4" ht="32.1" customHeight="1" x14ac:dyDescent="0.2">
      <c r="A501" s="178"/>
      <c r="B501" s="178"/>
      <c r="C501" s="178"/>
      <c r="D501" s="178"/>
    </row>
    <row r="502" spans="1:4" ht="32.1" customHeight="1" x14ac:dyDescent="0.2">
      <c r="A502" s="178"/>
      <c r="B502" s="178"/>
      <c r="C502" s="178"/>
      <c r="D502" s="178"/>
    </row>
    <row r="503" spans="1:4" ht="32.1" customHeight="1" x14ac:dyDescent="0.2">
      <c r="A503" s="178"/>
      <c r="B503" s="178"/>
      <c r="C503" s="178"/>
      <c r="D503" s="178"/>
    </row>
    <row r="504" spans="1:4" ht="32.1" customHeight="1" x14ac:dyDescent="0.2">
      <c r="A504" s="178"/>
      <c r="B504" s="178"/>
      <c r="C504" s="178"/>
      <c r="D504" s="178"/>
    </row>
    <row r="505" spans="1:4" ht="32.1" customHeight="1" x14ac:dyDescent="0.2">
      <c r="A505" s="178"/>
      <c r="B505" s="178"/>
      <c r="C505" s="178"/>
      <c r="D505" s="178"/>
    </row>
    <row r="506" spans="1:4" ht="32.1" customHeight="1" x14ac:dyDescent="0.2">
      <c r="A506" s="178"/>
      <c r="B506" s="178"/>
      <c r="C506" s="178"/>
      <c r="D506" s="178"/>
    </row>
    <row r="507" spans="1:4" ht="32.1" customHeight="1" x14ac:dyDescent="0.2">
      <c r="A507" s="178"/>
      <c r="B507" s="178"/>
      <c r="C507" s="178"/>
      <c r="D507" s="178"/>
    </row>
    <row r="508" spans="1:4" ht="32.1" customHeight="1" x14ac:dyDescent="0.2">
      <c r="A508" s="178"/>
      <c r="B508" s="178"/>
      <c r="C508" s="178"/>
      <c r="D508" s="178"/>
    </row>
    <row r="509" spans="1:4" x14ac:dyDescent="0.2">
      <c r="A509" s="178"/>
      <c r="B509" s="178"/>
      <c r="C509" s="178"/>
      <c r="D509" s="178"/>
    </row>
    <row r="510" spans="1:4" x14ac:dyDescent="0.2">
      <c r="A510" s="178"/>
      <c r="B510" s="178"/>
      <c r="C510" s="178"/>
      <c r="D510" s="178"/>
    </row>
    <row r="511" spans="1:4" x14ac:dyDescent="0.2">
      <c r="A511" s="178"/>
      <c r="B511" s="178"/>
      <c r="C511" s="178"/>
      <c r="D511" s="178"/>
    </row>
    <row r="512" spans="1:4" x14ac:dyDescent="0.2">
      <c r="A512" s="178"/>
      <c r="B512" s="178"/>
      <c r="C512" s="178"/>
      <c r="D512" s="178"/>
    </row>
    <row r="513" spans="1:4" x14ac:dyDescent="0.2">
      <c r="A513" s="178"/>
      <c r="B513" s="178"/>
      <c r="C513" s="178"/>
      <c r="D513" s="178"/>
    </row>
    <row r="514" spans="1:4" x14ac:dyDescent="0.2">
      <c r="A514" s="178"/>
      <c r="B514" s="178"/>
      <c r="C514" s="178"/>
      <c r="D514" s="178"/>
    </row>
    <row r="515" spans="1:4" x14ac:dyDescent="0.2"/>
    <row r="516" spans="1:4" x14ac:dyDescent="0.2"/>
    <row r="517" spans="1:4" x14ac:dyDescent="0.2"/>
    <row r="518" spans="1:4" x14ac:dyDescent="0.2"/>
    <row r="519" spans="1:4" x14ac:dyDescent="0.2"/>
    <row r="520" spans="1:4" x14ac:dyDescent="0.2"/>
    <row r="521" spans="1:4" x14ac:dyDescent="0.2"/>
    <row r="522" spans="1:4" x14ac:dyDescent="0.2"/>
    <row r="523" spans="1:4" x14ac:dyDescent="0.2"/>
    <row r="524" spans="1:4" x14ac:dyDescent="0.2"/>
    <row r="525" spans="1:4" x14ac:dyDescent="0.2"/>
    <row r="526" spans="1:4" x14ac:dyDescent="0.2"/>
    <row r="527" spans="1:4" x14ac:dyDescent="0.2"/>
    <row r="528" spans="1:4"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sheetData>
  <autoFilter ref="A10:W271">
    <sortState ref="A12:W266">
      <sortCondition ref="A9:A266"/>
    </sortState>
  </autoFilter>
  <customSheetViews>
    <customSheetView guid="{45C8AF51-29EC-46A5-AB7F-1F0634E55D82}" scale="60" showAutoFilter="1" hiddenRows="1" hiddenColumns="1">
      <pane xSplit="3" ySplit="9" topLeftCell="D271" activePane="bottomRight" state="frozenSplit"/>
      <selection pane="bottomRight" activeCell="B277" sqref="B277"/>
      <pageMargins left="0.28999999999999998" right="0.2" top="0.6692913385826772" bottom="0.9055118110236221" header="0.43" footer="0.59055118110236227"/>
      <printOptions horizontalCentered="1"/>
      <pageSetup paperSize="14" scale="75" orientation="landscape" r:id="rId1"/>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1:S264">
        <filterColumn colId="1" showButton="0"/>
        <filterColumn colId="2" showButton="0"/>
      </autoFilter>
    </customSheetView>
    <customSheetView guid="{FCC3B493-4306-43B2-9C73-76324485DD47}" scale="60" hiddenRows="1" hiddenColumns="1">
      <pane xSplit="3" ySplit="9" topLeftCell="D70" activePane="bottomRight" state="frozenSplit"/>
      <selection pane="bottomRight" activeCell="C72" sqref="C72"/>
      <pageMargins left="0.28999999999999998" right="0.2" top="0.6692913385826772" bottom="0.9055118110236221" header="0.43" footer="0.59055118110236227"/>
      <printOptions horizontalCentered="1"/>
      <pageSetup paperSize="14" scale="75" orientation="landscape" r:id="rId2"/>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customSheetView>
    <customSheetView guid="{AEDE1BDB-8710-4CDA-8488-31F49D423ACE}" scale="55" hiddenRows="1" hiddenColumns="1">
      <pane xSplit="3" ySplit="9" topLeftCell="S250" activePane="bottomRight" state="frozenSplit"/>
      <selection pane="bottomRight" activeCell="S270" sqref="S270"/>
      <pageMargins left="0.28999999999999998" right="0.2" top="0.6692913385826772" bottom="0.9055118110236221" header="0.43" footer="0.59055118110236227"/>
      <printOptions horizontalCentered="1"/>
      <pageSetup paperSize="14" scale="75" orientation="landscape" r:id="rId3"/>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customSheetView>
    <customSheetView guid="{75DD7674-E7DE-4BB1-A36D-76AA33452CB3}" scale="60" showAutoFilter="1" hiddenRows="1" hiddenColumns="1">
      <pane xSplit="3" ySplit="9" topLeftCell="E10" activePane="bottomRight" state="frozenSplit"/>
      <selection pane="bottomRight" activeCell="D268" sqref="D268"/>
      <pageMargins left="0.28999999999999998" right="0.2" top="0.6692913385826772" bottom="0.9055118110236221" header="0.43" footer="0.59055118110236227"/>
      <printOptions horizontalCentered="1"/>
      <pageSetup paperSize="14" scale="75" orientation="landscape" r:id="rId4"/>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9:W264">
        <sortState ref="A12:W264">
          <sortCondition ref="A9:A264"/>
        </sortState>
      </autoFilter>
    </customSheetView>
  </customSheetViews>
  <mergeCells count="22">
    <mergeCell ref="A7:B7"/>
    <mergeCell ref="H5:J6"/>
    <mergeCell ref="K5:M6"/>
    <mergeCell ref="N5:P6"/>
    <mergeCell ref="Q5:R6"/>
    <mergeCell ref="S5:S6"/>
    <mergeCell ref="B1:D1"/>
    <mergeCell ref="B2:D2"/>
    <mergeCell ref="B3:D3"/>
    <mergeCell ref="B5:D5"/>
    <mergeCell ref="E5:G6"/>
    <mergeCell ref="C274:S274"/>
    <mergeCell ref="C275:S275"/>
    <mergeCell ref="C276:S276"/>
    <mergeCell ref="R9:R10"/>
    <mergeCell ref="S9:S10"/>
    <mergeCell ref="A9:A10"/>
    <mergeCell ref="B9:B10"/>
    <mergeCell ref="C9:C10"/>
    <mergeCell ref="D9:D10"/>
    <mergeCell ref="E9:P9"/>
    <mergeCell ref="Q9:Q10"/>
  </mergeCells>
  <conditionalFormatting sqref="E97:P141 E228:P247 E142:J153 E61:P73 E156:P167 E169:P225">
    <cfRule type="containsBlanks" dxfId="6478" priority="1257" stopIfTrue="1">
      <formula>LEN(TRIM(E61))=0</formula>
    </cfRule>
    <cfRule type="cellIs" dxfId="6477" priority="1258" stopIfTrue="1" operator="between">
      <formula>79.1</formula>
      <formula>100</formula>
    </cfRule>
    <cfRule type="cellIs" dxfId="6476" priority="1259" stopIfTrue="1" operator="between">
      <formula>34.1</formula>
      <formula>79</formula>
    </cfRule>
    <cfRule type="cellIs" dxfId="6475" priority="1260" stopIfTrue="1" operator="between">
      <formula>13.1</formula>
      <formula>34</formula>
    </cfRule>
    <cfRule type="cellIs" dxfId="6474" priority="1261" stopIfTrue="1" operator="between">
      <formula>5.1</formula>
      <formula>13</formula>
    </cfRule>
    <cfRule type="cellIs" dxfId="6473" priority="1262" stopIfTrue="1" operator="between">
      <formula>0</formula>
      <formula>5</formula>
    </cfRule>
    <cfRule type="containsBlanks" dxfId="6472" priority="1263" stopIfTrue="1">
      <formula>LEN(TRIM(E61))=0</formula>
    </cfRule>
  </conditionalFormatting>
  <conditionalFormatting sqref="E227:P227 E251:P254 O248:P248 M250:P250 E257:P257 O255:P255 N256:P256 E260:P273 N258:P258 E154:P155 E333:Q333 Q149:Q167 E39:Q43 Q169:Q273 E277:P302 Q277:Q332">
    <cfRule type="containsBlanks" dxfId="6471" priority="1250" stopIfTrue="1">
      <formula>LEN(TRIM(E39))=0</formula>
    </cfRule>
    <cfRule type="cellIs" dxfId="6470" priority="1251" stopIfTrue="1" operator="between">
      <formula>80.1</formula>
      <formula>100</formula>
    </cfRule>
    <cfRule type="cellIs" dxfId="6469" priority="1252" stopIfTrue="1" operator="between">
      <formula>35.1</formula>
      <formula>80</formula>
    </cfRule>
    <cfRule type="cellIs" dxfId="6468" priority="1253" stopIfTrue="1" operator="between">
      <formula>14.1</formula>
      <formula>35</formula>
    </cfRule>
    <cfRule type="cellIs" dxfId="6467" priority="1254" stopIfTrue="1" operator="between">
      <formula>5.1</formula>
      <formula>14</formula>
    </cfRule>
    <cfRule type="cellIs" dxfId="6466" priority="1255" stopIfTrue="1" operator="between">
      <formula>0</formula>
      <formula>5</formula>
    </cfRule>
    <cfRule type="containsBlanks" dxfId="6465" priority="1256" stopIfTrue="1">
      <formula>LEN(TRIM(E39))=0</formula>
    </cfRule>
  </conditionalFormatting>
  <conditionalFormatting sqref="E226:P226">
    <cfRule type="containsBlanks" dxfId="6464" priority="1229" stopIfTrue="1">
      <formula>LEN(TRIM(E226))=0</formula>
    </cfRule>
    <cfRule type="cellIs" dxfId="6463" priority="1230" stopIfTrue="1" operator="between">
      <formula>79.1</formula>
      <formula>100</formula>
    </cfRule>
    <cfRule type="cellIs" dxfId="6462" priority="1231" stopIfTrue="1" operator="between">
      <formula>34.1</formula>
      <formula>79</formula>
    </cfRule>
    <cfRule type="cellIs" dxfId="6461" priority="1232" stopIfTrue="1" operator="between">
      <formula>13.1</formula>
      <formula>34</formula>
    </cfRule>
    <cfRule type="cellIs" dxfId="6460" priority="1233" stopIfTrue="1" operator="between">
      <formula>5.1</formula>
      <formula>13</formula>
    </cfRule>
    <cfRule type="cellIs" dxfId="6459" priority="1234" stopIfTrue="1" operator="between">
      <formula>0</formula>
      <formula>5</formula>
    </cfRule>
    <cfRule type="containsBlanks" dxfId="6458" priority="1235" stopIfTrue="1">
      <formula>LEN(TRIM(E226))=0</formula>
    </cfRule>
  </conditionalFormatting>
  <conditionalFormatting sqref="E142:P142 E150:P153">
    <cfRule type="containsBlanks" dxfId="6457" priority="1236" stopIfTrue="1">
      <formula>LEN(TRIM(E142))=0</formula>
    </cfRule>
    <cfRule type="cellIs" dxfId="6456" priority="1237" stopIfTrue="1" operator="between">
      <formula>79.1</formula>
      <formula>100</formula>
    </cfRule>
    <cfRule type="cellIs" dxfId="6455" priority="1238" stopIfTrue="1" operator="between">
      <formula>34.1</formula>
      <formula>79</formula>
    </cfRule>
    <cfRule type="cellIs" dxfId="6454" priority="1239" stopIfTrue="1" operator="between">
      <formula>13.1</formula>
      <formula>34</formula>
    </cfRule>
    <cfRule type="cellIs" dxfId="6453" priority="1240" stopIfTrue="1" operator="between">
      <formula>5.1</formula>
      <formula>13</formula>
    </cfRule>
    <cfRule type="cellIs" dxfId="6452" priority="1241" stopIfTrue="1" operator="between">
      <formula>0</formula>
      <formula>5</formula>
    </cfRule>
    <cfRule type="containsBlanks" dxfId="6451" priority="1242" stopIfTrue="1">
      <formula>LEN(TRIM(E142))=0</formula>
    </cfRule>
  </conditionalFormatting>
  <conditionalFormatting sqref="F143:P143">
    <cfRule type="containsBlanks" dxfId="6450" priority="1068" stopIfTrue="1">
      <formula>LEN(TRIM(F143))=0</formula>
    </cfRule>
    <cfRule type="cellIs" dxfId="6449" priority="1069" stopIfTrue="1" operator="between">
      <formula>80.1</formula>
      <formula>100</formula>
    </cfRule>
    <cfRule type="cellIs" dxfId="6448" priority="1070" stopIfTrue="1" operator="between">
      <formula>35.1</formula>
      <formula>80</formula>
    </cfRule>
    <cfRule type="cellIs" dxfId="6447" priority="1071" stopIfTrue="1" operator="between">
      <formula>14.1</formula>
      <formula>35</formula>
    </cfRule>
    <cfRule type="cellIs" dxfId="6446" priority="1072" stopIfTrue="1" operator="between">
      <formula>5.1</formula>
      <formula>14</formula>
    </cfRule>
    <cfRule type="cellIs" dxfId="6445" priority="1073" stopIfTrue="1" operator="between">
      <formula>0</formula>
      <formula>5</formula>
    </cfRule>
    <cfRule type="containsBlanks" dxfId="6444" priority="1074" stopIfTrue="1">
      <formula>LEN(TRIM(F143))=0</formula>
    </cfRule>
  </conditionalFormatting>
  <conditionalFormatting sqref="E143">
    <cfRule type="containsBlanks" dxfId="6443" priority="1061" stopIfTrue="1">
      <formula>LEN(TRIM(E143))=0</formula>
    </cfRule>
    <cfRule type="cellIs" dxfId="6442" priority="1062" stopIfTrue="1" operator="between">
      <formula>80.1</formula>
      <formula>100</formula>
    </cfRule>
    <cfRule type="cellIs" dxfId="6441" priority="1063" stopIfTrue="1" operator="between">
      <formula>35.1</formula>
      <formula>80</formula>
    </cfRule>
    <cfRule type="cellIs" dxfId="6440" priority="1064" stopIfTrue="1" operator="between">
      <formula>14.1</formula>
      <formula>35</formula>
    </cfRule>
    <cfRule type="cellIs" dxfId="6439" priority="1065" stopIfTrue="1" operator="between">
      <formula>5.1</formula>
      <formula>14</formula>
    </cfRule>
    <cfRule type="cellIs" dxfId="6438" priority="1066" stopIfTrue="1" operator="between">
      <formula>0</formula>
      <formula>5</formula>
    </cfRule>
    <cfRule type="containsBlanks" dxfId="6437" priority="1067" stopIfTrue="1">
      <formula>LEN(TRIM(E143))=0</formula>
    </cfRule>
  </conditionalFormatting>
  <conditionalFormatting sqref="F144:P144">
    <cfRule type="containsBlanks" dxfId="6436" priority="1054" stopIfTrue="1">
      <formula>LEN(TRIM(F144))=0</formula>
    </cfRule>
    <cfRule type="cellIs" dxfId="6435" priority="1055" stopIfTrue="1" operator="between">
      <formula>80.1</formula>
      <formula>100</formula>
    </cfRule>
    <cfRule type="cellIs" dxfId="6434" priority="1056" stopIfTrue="1" operator="between">
      <formula>35.1</formula>
      <formula>80</formula>
    </cfRule>
    <cfRule type="cellIs" dxfId="6433" priority="1057" stopIfTrue="1" operator="between">
      <formula>14.1</formula>
      <formula>35</formula>
    </cfRule>
    <cfRule type="cellIs" dxfId="6432" priority="1058" stopIfTrue="1" operator="between">
      <formula>5.1</formula>
      <formula>14</formula>
    </cfRule>
    <cfRule type="cellIs" dxfId="6431" priority="1059" stopIfTrue="1" operator="between">
      <formula>0</formula>
      <formula>5</formula>
    </cfRule>
    <cfRule type="containsBlanks" dxfId="6430" priority="1060" stopIfTrue="1">
      <formula>LEN(TRIM(F144))=0</formula>
    </cfRule>
  </conditionalFormatting>
  <conditionalFormatting sqref="E144">
    <cfRule type="containsBlanks" dxfId="6429" priority="1047" stopIfTrue="1">
      <formula>LEN(TRIM(E144))=0</formula>
    </cfRule>
    <cfRule type="cellIs" dxfId="6428" priority="1048" stopIfTrue="1" operator="between">
      <formula>80.1</formula>
      <formula>100</formula>
    </cfRule>
    <cfRule type="cellIs" dxfId="6427" priority="1049" stopIfTrue="1" operator="between">
      <formula>35.1</formula>
      <formula>80</formula>
    </cfRule>
    <cfRule type="cellIs" dxfId="6426" priority="1050" stopIfTrue="1" operator="between">
      <formula>14.1</formula>
      <formula>35</formula>
    </cfRule>
    <cfRule type="cellIs" dxfId="6425" priority="1051" stopIfTrue="1" operator="between">
      <formula>5.1</formula>
      <formula>14</formula>
    </cfRule>
    <cfRule type="cellIs" dxfId="6424" priority="1052" stopIfTrue="1" operator="between">
      <formula>0</formula>
      <formula>5</formula>
    </cfRule>
    <cfRule type="containsBlanks" dxfId="6423" priority="1053" stopIfTrue="1">
      <formula>LEN(TRIM(E144))=0</formula>
    </cfRule>
  </conditionalFormatting>
  <conditionalFormatting sqref="F145:P145">
    <cfRule type="containsBlanks" dxfId="6422" priority="1040" stopIfTrue="1">
      <formula>LEN(TRIM(F145))=0</formula>
    </cfRule>
    <cfRule type="cellIs" dxfId="6421" priority="1041" stopIfTrue="1" operator="between">
      <formula>80.1</formula>
      <formula>100</formula>
    </cfRule>
    <cfRule type="cellIs" dxfId="6420" priority="1042" stopIfTrue="1" operator="between">
      <formula>35.1</formula>
      <formula>80</formula>
    </cfRule>
    <cfRule type="cellIs" dxfId="6419" priority="1043" stopIfTrue="1" operator="between">
      <formula>14.1</formula>
      <formula>35</formula>
    </cfRule>
    <cfRule type="cellIs" dxfId="6418" priority="1044" stopIfTrue="1" operator="between">
      <formula>5.1</formula>
      <formula>14</formula>
    </cfRule>
    <cfRule type="cellIs" dxfId="6417" priority="1045" stopIfTrue="1" operator="between">
      <formula>0</formula>
      <formula>5</formula>
    </cfRule>
    <cfRule type="containsBlanks" dxfId="6416" priority="1046" stopIfTrue="1">
      <formula>LEN(TRIM(F145))=0</formula>
    </cfRule>
  </conditionalFormatting>
  <conditionalFormatting sqref="E145">
    <cfRule type="containsBlanks" dxfId="6415" priority="1033" stopIfTrue="1">
      <formula>LEN(TRIM(E145))=0</formula>
    </cfRule>
    <cfRule type="cellIs" dxfId="6414" priority="1034" stopIfTrue="1" operator="between">
      <formula>80.1</formula>
      <formula>100</formula>
    </cfRule>
    <cfRule type="cellIs" dxfId="6413" priority="1035" stopIfTrue="1" operator="between">
      <formula>35.1</formula>
      <formula>80</formula>
    </cfRule>
    <cfRule type="cellIs" dxfId="6412" priority="1036" stopIfTrue="1" operator="between">
      <formula>14.1</formula>
      <formula>35</formula>
    </cfRule>
    <cfRule type="cellIs" dxfId="6411" priority="1037" stopIfTrue="1" operator="between">
      <formula>5.1</formula>
      <formula>14</formula>
    </cfRule>
    <cfRule type="cellIs" dxfId="6410" priority="1038" stopIfTrue="1" operator="between">
      <formula>0</formula>
      <formula>5</formula>
    </cfRule>
    <cfRule type="containsBlanks" dxfId="6409" priority="1039" stopIfTrue="1">
      <formula>LEN(TRIM(E145))=0</formula>
    </cfRule>
  </conditionalFormatting>
  <conditionalFormatting sqref="F146:P146">
    <cfRule type="containsBlanks" dxfId="6408" priority="1026" stopIfTrue="1">
      <formula>LEN(TRIM(F146))=0</formula>
    </cfRule>
    <cfRule type="cellIs" dxfId="6407" priority="1027" stopIfTrue="1" operator="between">
      <formula>80.1</formula>
      <formula>100</formula>
    </cfRule>
    <cfRule type="cellIs" dxfId="6406" priority="1028" stopIfTrue="1" operator="between">
      <formula>35.1</formula>
      <formula>80</formula>
    </cfRule>
    <cfRule type="cellIs" dxfId="6405" priority="1029" stopIfTrue="1" operator="between">
      <formula>14.1</formula>
      <formula>35</formula>
    </cfRule>
    <cfRule type="cellIs" dxfId="6404" priority="1030" stopIfTrue="1" operator="between">
      <formula>5.1</formula>
      <formula>14</formula>
    </cfRule>
    <cfRule type="cellIs" dxfId="6403" priority="1031" stopIfTrue="1" operator="between">
      <formula>0</formula>
      <formula>5</formula>
    </cfRule>
    <cfRule type="containsBlanks" dxfId="6402" priority="1032" stopIfTrue="1">
      <formula>LEN(TRIM(F146))=0</formula>
    </cfRule>
  </conditionalFormatting>
  <conditionalFormatting sqref="E146">
    <cfRule type="containsBlanks" dxfId="6401" priority="1019" stopIfTrue="1">
      <formula>LEN(TRIM(E146))=0</formula>
    </cfRule>
    <cfRule type="cellIs" dxfId="6400" priority="1020" stopIfTrue="1" operator="between">
      <formula>80.1</formula>
      <formula>100</formula>
    </cfRule>
    <cfRule type="cellIs" dxfId="6399" priority="1021" stopIfTrue="1" operator="between">
      <formula>35.1</formula>
      <formula>80</formula>
    </cfRule>
    <cfRule type="cellIs" dxfId="6398" priority="1022" stopIfTrue="1" operator="between">
      <formula>14.1</formula>
      <formula>35</formula>
    </cfRule>
    <cfRule type="cellIs" dxfId="6397" priority="1023" stopIfTrue="1" operator="between">
      <formula>5.1</formula>
      <formula>14</formula>
    </cfRule>
    <cfRule type="cellIs" dxfId="6396" priority="1024" stopIfTrue="1" operator="between">
      <formula>0</formula>
      <formula>5</formula>
    </cfRule>
    <cfRule type="containsBlanks" dxfId="6395" priority="1025" stopIfTrue="1">
      <formula>LEN(TRIM(E146))=0</formula>
    </cfRule>
  </conditionalFormatting>
  <conditionalFormatting sqref="F147:P147">
    <cfRule type="containsBlanks" dxfId="6394" priority="1012" stopIfTrue="1">
      <formula>LEN(TRIM(F147))=0</formula>
    </cfRule>
    <cfRule type="cellIs" dxfId="6393" priority="1013" stopIfTrue="1" operator="between">
      <formula>80.1</formula>
      <formula>100</formula>
    </cfRule>
    <cfRule type="cellIs" dxfId="6392" priority="1014" stopIfTrue="1" operator="between">
      <formula>35.1</formula>
      <formula>80</formula>
    </cfRule>
    <cfRule type="cellIs" dxfId="6391" priority="1015" stopIfTrue="1" operator="between">
      <formula>14.1</formula>
      <formula>35</formula>
    </cfRule>
    <cfRule type="cellIs" dxfId="6390" priority="1016" stopIfTrue="1" operator="between">
      <formula>5.1</formula>
      <formula>14</formula>
    </cfRule>
    <cfRule type="cellIs" dxfId="6389" priority="1017" stopIfTrue="1" operator="between">
      <formula>0</formula>
      <formula>5</formula>
    </cfRule>
    <cfRule type="containsBlanks" dxfId="6388" priority="1018" stopIfTrue="1">
      <formula>LEN(TRIM(F147))=0</formula>
    </cfRule>
  </conditionalFormatting>
  <conditionalFormatting sqref="E147">
    <cfRule type="containsBlanks" dxfId="6387" priority="1005" stopIfTrue="1">
      <formula>LEN(TRIM(E147))=0</formula>
    </cfRule>
    <cfRule type="cellIs" dxfId="6386" priority="1006" stopIfTrue="1" operator="between">
      <formula>80.1</formula>
      <formula>100</formula>
    </cfRule>
    <cfRule type="cellIs" dxfId="6385" priority="1007" stopIfTrue="1" operator="between">
      <formula>35.1</formula>
      <formula>80</formula>
    </cfRule>
    <cfRule type="cellIs" dxfId="6384" priority="1008" stopIfTrue="1" operator="between">
      <formula>14.1</formula>
      <formula>35</formula>
    </cfRule>
    <cfRule type="cellIs" dxfId="6383" priority="1009" stopIfTrue="1" operator="between">
      <formula>5.1</formula>
      <formula>14</formula>
    </cfRule>
    <cfRule type="cellIs" dxfId="6382" priority="1010" stopIfTrue="1" operator="between">
      <formula>0</formula>
      <formula>5</formula>
    </cfRule>
    <cfRule type="containsBlanks" dxfId="6381" priority="1011" stopIfTrue="1">
      <formula>LEN(TRIM(E147))=0</formula>
    </cfRule>
  </conditionalFormatting>
  <conditionalFormatting sqref="F149:P149">
    <cfRule type="containsBlanks" dxfId="6380" priority="998" stopIfTrue="1">
      <formula>LEN(TRIM(F149))=0</formula>
    </cfRule>
    <cfRule type="cellIs" dxfId="6379" priority="999" stopIfTrue="1" operator="between">
      <formula>80.1</formula>
      <formula>100</formula>
    </cfRule>
    <cfRule type="cellIs" dxfId="6378" priority="1000" stopIfTrue="1" operator="between">
      <formula>35.1</formula>
      <formula>80</formula>
    </cfRule>
    <cfRule type="cellIs" dxfId="6377" priority="1001" stopIfTrue="1" operator="between">
      <formula>14.1</formula>
      <formula>35</formula>
    </cfRule>
    <cfRule type="cellIs" dxfId="6376" priority="1002" stopIfTrue="1" operator="between">
      <formula>5.1</formula>
      <formula>14</formula>
    </cfRule>
    <cfRule type="cellIs" dxfId="6375" priority="1003" stopIfTrue="1" operator="between">
      <formula>0</formula>
      <formula>5</formula>
    </cfRule>
    <cfRule type="containsBlanks" dxfId="6374" priority="1004" stopIfTrue="1">
      <formula>LEN(TRIM(F149))=0</formula>
    </cfRule>
  </conditionalFormatting>
  <conditionalFormatting sqref="E149">
    <cfRule type="containsBlanks" dxfId="6373" priority="991" stopIfTrue="1">
      <formula>LEN(TRIM(E149))=0</formula>
    </cfRule>
    <cfRule type="cellIs" dxfId="6372" priority="992" stopIfTrue="1" operator="between">
      <formula>80.1</formula>
      <formula>100</formula>
    </cfRule>
    <cfRule type="cellIs" dxfId="6371" priority="993" stopIfTrue="1" operator="between">
      <formula>35.1</formula>
      <formula>80</formula>
    </cfRule>
    <cfRule type="cellIs" dxfId="6370" priority="994" stopIfTrue="1" operator="between">
      <formula>14.1</formula>
      <formula>35</formula>
    </cfRule>
    <cfRule type="cellIs" dxfId="6369" priority="995" stopIfTrue="1" operator="between">
      <formula>5.1</formula>
      <formula>14</formula>
    </cfRule>
    <cfRule type="cellIs" dxfId="6368" priority="996" stopIfTrue="1" operator="between">
      <formula>0</formula>
      <formula>5</formula>
    </cfRule>
    <cfRule type="containsBlanks" dxfId="6367" priority="997" stopIfTrue="1">
      <formula>LEN(TRIM(E149))=0</formula>
    </cfRule>
  </conditionalFormatting>
  <conditionalFormatting sqref="F148:P148">
    <cfRule type="containsBlanks" dxfId="6366" priority="984" stopIfTrue="1">
      <formula>LEN(TRIM(F148))=0</formula>
    </cfRule>
    <cfRule type="cellIs" dxfId="6365" priority="985" stopIfTrue="1" operator="between">
      <formula>80.1</formula>
      <formula>100</formula>
    </cfRule>
    <cfRule type="cellIs" dxfId="6364" priority="986" stopIfTrue="1" operator="between">
      <formula>35.1</formula>
      <formula>80</formula>
    </cfRule>
    <cfRule type="cellIs" dxfId="6363" priority="987" stopIfTrue="1" operator="between">
      <formula>14.1</formula>
      <formula>35</formula>
    </cfRule>
    <cfRule type="cellIs" dxfId="6362" priority="988" stopIfTrue="1" operator="between">
      <formula>5.1</formula>
      <formula>14</formula>
    </cfRule>
    <cfRule type="cellIs" dxfId="6361" priority="989" stopIfTrue="1" operator="between">
      <formula>0</formula>
      <formula>5</formula>
    </cfRule>
    <cfRule type="containsBlanks" dxfId="6360" priority="990" stopIfTrue="1">
      <formula>LEN(TRIM(F148))=0</formula>
    </cfRule>
  </conditionalFormatting>
  <conditionalFormatting sqref="E148">
    <cfRule type="containsBlanks" dxfId="6359" priority="977" stopIfTrue="1">
      <formula>LEN(TRIM(E148))=0</formula>
    </cfRule>
    <cfRule type="cellIs" dxfId="6358" priority="978" stopIfTrue="1" operator="between">
      <formula>80.1</formula>
      <formula>100</formula>
    </cfRule>
    <cfRule type="cellIs" dxfId="6357" priority="979" stopIfTrue="1" operator="between">
      <formula>35.1</formula>
      <formula>80</formula>
    </cfRule>
    <cfRule type="cellIs" dxfId="6356" priority="980" stopIfTrue="1" operator="between">
      <formula>14.1</formula>
      <formula>35</formula>
    </cfRule>
    <cfRule type="cellIs" dxfId="6355" priority="981" stopIfTrue="1" operator="between">
      <formula>5.1</formula>
      <formula>14</formula>
    </cfRule>
    <cfRule type="cellIs" dxfId="6354" priority="982" stopIfTrue="1" operator="between">
      <formula>0</formula>
      <formula>5</formula>
    </cfRule>
    <cfRule type="containsBlanks" dxfId="6353" priority="983" stopIfTrue="1">
      <formula>LEN(TRIM(E148))=0</formula>
    </cfRule>
  </conditionalFormatting>
  <conditionalFormatting sqref="E57:P59">
    <cfRule type="containsBlanks" dxfId="6352" priority="914" stopIfTrue="1">
      <formula>LEN(TRIM(E57))=0</formula>
    </cfRule>
    <cfRule type="cellIs" dxfId="6351" priority="915" stopIfTrue="1" operator="between">
      <formula>79.1</formula>
      <formula>100</formula>
    </cfRule>
    <cfRule type="cellIs" dxfId="6350" priority="916" stopIfTrue="1" operator="between">
      <formula>34.1</formula>
      <formula>79</formula>
    </cfRule>
    <cfRule type="cellIs" dxfId="6349" priority="917" stopIfTrue="1" operator="between">
      <formula>13.1</formula>
      <formula>34</formula>
    </cfRule>
    <cfRule type="cellIs" dxfId="6348" priority="918" stopIfTrue="1" operator="between">
      <formula>5.1</formula>
      <formula>13</formula>
    </cfRule>
    <cfRule type="cellIs" dxfId="6347" priority="919" stopIfTrue="1" operator="between">
      <formula>0</formula>
      <formula>5</formula>
    </cfRule>
    <cfRule type="containsBlanks" dxfId="6346" priority="920" stopIfTrue="1">
      <formula>LEN(TRIM(E57))=0</formula>
    </cfRule>
  </conditionalFormatting>
  <conditionalFormatting sqref="E60:P60">
    <cfRule type="containsBlanks" dxfId="6345" priority="907" stopIfTrue="1">
      <formula>LEN(TRIM(E60))=0</formula>
    </cfRule>
    <cfRule type="cellIs" dxfId="6344" priority="908" stopIfTrue="1" operator="between">
      <formula>79.1</formula>
      <formula>100</formula>
    </cfRule>
    <cfRule type="cellIs" dxfId="6343" priority="909" stopIfTrue="1" operator="between">
      <formula>34.1</formula>
      <formula>79</formula>
    </cfRule>
    <cfRule type="cellIs" dxfId="6342" priority="910" stopIfTrue="1" operator="between">
      <formula>13.1</formula>
      <formula>34</formula>
    </cfRule>
    <cfRule type="cellIs" dxfId="6341" priority="911" stopIfTrue="1" operator="between">
      <formula>5.1</formula>
      <formula>13</formula>
    </cfRule>
    <cfRule type="cellIs" dxfId="6340" priority="912" stopIfTrue="1" operator="between">
      <formula>0</formula>
      <formula>5</formula>
    </cfRule>
    <cfRule type="containsBlanks" dxfId="6339" priority="913" stopIfTrue="1">
      <formula>LEN(TRIM(E60))=0</formula>
    </cfRule>
  </conditionalFormatting>
  <conditionalFormatting sqref="N317">
    <cfRule type="containsBlanks" dxfId="6338" priority="837" stopIfTrue="1">
      <formula>LEN(TRIM(N317))=0</formula>
    </cfRule>
    <cfRule type="cellIs" dxfId="6337" priority="838" stopIfTrue="1" operator="between">
      <formula>79.1</formula>
      <formula>100</formula>
    </cfRule>
    <cfRule type="cellIs" dxfId="6336" priority="839" stopIfTrue="1" operator="between">
      <formula>34.1</formula>
      <formula>79</formula>
    </cfRule>
    <cfRule type="cellIs" dxfId="6335" priority="840" stopIfTrue="1" operator="between">
      <formula>13.1</formula>
      <formula>34</formula>
    </cfRule>
    <cfRule type="cellIs" dxfId="6334" priority="841" stopIfTrue="1" operator="between">
      <formula>5.1</formula>
      <formula>13</formula>
    </cfRule>
    <cfRule type="cellIs" dxfId="6333" priority="842" stopIfTrue="1" operator="between">
      <formula>0</formula>
      <formula>5</formula>
    </cfRule>
    <cfRule type="containsBlanks" dxfId="6332" priority="843" stopIfTrue="1">
      <formula>LEN(TRIM(N317))=0</formula>
    </cfRule>
  </conditionalFormatting>
  <conditionalFormatting sqref="E330 E303:P303 M304:P304 E304:K304 E312:H312 E315:H315 E321:H322 E323:I323 E324:G325 I324:J325 E316:F317 O317:P317 G317:M317 K323:P325 E326:P329 H316:P316 J312:P312 G330:P330 J321:P322 J315:P315 E313:P314 E305:P311 E331:P332 E318:P320">
    <cfRule type="containsBlanks" dxfId="6331" priority="879" stopIfTrue="1">
      <formula>LEN(TRIM(E303))=0</formula>
    </cfRule>
    <cfRule type="cellIs" dxfId="6330" priority="880" stopIfTrue="1" operator="between">
      <formula>79.1</formula>
      <formula>100</formula>
    </cfRule>
    <cfRule type="cellIs" dxfId="6329" priority="881" stopIfTrue="1" operator="between">
      <formula>34.1</formula>
      <formula>79</formula>
    </cfRule>
    <cfRule type="cellIs" dxfId="6328" priority="882" stopIfTrue="1" operator="between">
      <formula>13.1</formula>
      <formula>34</formula>
    </cfRule>
    <cfRule type="cellIs" dxfId="6327" priority="883" stopIfTrue="1" operator="between">
      <formula>5.1</formula>
      <formula>13</formula>
    </cfRule>
    <cfRule type="cellIs" dxfId="6326" priority="884" stopIfTrue="1" operator="between">
      <formula>0</formula>
      <formula>5</formula>
    </cfRule>
    <cfRule type="containsBlanks" dxfId="6325" priority="885" stopIfTrue="1">
      <formula>LEN(TRIM(E303))=0</formula>
    </cfRule>
  </conditionalFormatting>
  <conditionalFormatting sqref="J323">
    <cfRule type="containsBlanks" dxfId="6324" priority="872" stopIfTrue="1">
      <formula>LEN(TRIM(J323))=0</formula>
    </cfRule>
    <cfRule type="cellIs" dxfId="6323" priority="873" stopIfTrue="1" operator="between">
      <formula>79.1</formula>
      <formula>100</formula>
    </cfRule>
    <cfRule type="cellIs" dxfId="6322" priority="874" stopIfTrue="1" operator="between">
      <formula>34.1</formula>
      <formula>79</formula>
    </cfRule>
    <cfRule type="cellIs" dxfId="6321" priority="875" stopIfTrue="1" operator="between">
      <formula>13.1</formula>
      <formula>34</formula>
    </cfRule>
    <cfRule type="cellIs" dxfId="6320" priority="876" stopIfTrue="1" operator="between">
      <formula>5.1</formula>
      <formula>13</formula>
    </cfRule>
    <cfRule type="cellIs" dxfId="6319" priority="877" stopIfTrue="1" operator="between">
      <formula>0</formula>
      <formula>5</formula>
    </cfRule>
    <cfRule type="containsBlanks" dxfId="6318" priority="878" stopIfTrue="1">
      <formula>LEN(TRIM(J323))=0</formula>
    </cfRule>
  </conditionalFormatting>
  <conditionalFormatting sqref="I321">
    <cfRule type="containsBlanks" dxfId="6317" priority="865" stopIfTrue="1">
      <formula>LEN(TRIM(I321))=0</formula>
    </cfRule>
    <cfRule type="cellIs" dxfId="6316" priority="866" stopIfTrue="1" operator="between">
      <formula>79.1</formula>
      <formula>100</formula>
    </cfRule>
    <cfRule type="cellIs" dxfId="6315" priority="867" stopIfTrue="1" operator="between">
      <formula>34.1</formula>
      <formula>79</formula>
    </cfRule>
    <cfRule type="cellIs" dxfId="6314" priority="868" stopIfTrue="1" operator="between">
      <formula>13.1</formula>
      <formula>34</formula>
    </cfRule>
    <cfRule type="cellIs" dxfId="6313" priority="869" stopIfTrue="1" operator="between">
      <formula>5.1</formula>
      <formula>13</formula>
    </cfRule>
    <cfRule type="cellIs" dxfId="6312" priority="870" stopIfTrue="1" operator="between">
      <formula>0</formula>
      <formula>5</formula>
    </cfRule>
    <cfRule type="containsBlanks" dxfId="6311" priority="871" stopIfTrue="1">
      <formula>LEN(TRIM(I321))=0</formula>
    </cfRule>
  </conditionalFormatting>
  <conditionalFormatting sqref="H324">
    <cfRule type="containsBlanks" dxfId="6310" priority="858" stopIfTrue="1">
      <formula>LEN(TRIM(H324))=0</formula>
    </cfRule>
    <cfRule type="cellIs" dxfId="6309" priority="859" stopIfTrue="1" operator="between">
      <formula>79.1</formula>
      <formula>100</formula>
    </cfRule>
    <cfRule type="cellIs" dxfId="6308" priority="860" stopIfTrue="1" operator="between">
      <formula>34.1</formula>
      <formula>79</formula>
    </cfRule>
    <cfRule type="cellIs" dxfId="6307" priority="861" stopIfTrue="1" operator="between">
      <formula>13.1</formula>
      <formula>34</formula>
    </cfRule>
    <cfRule type="cellIs" dxfId="6306" priority="862" stopIfTrue="1" operator="between">
      <formula>5.1</formula>
      <formula>13</formula>
    </cfRule>
    <cfRule type="cellIs" dxfId="6305" priority="863" stopIfTrue="1" operator="between">
      <formula>0</formula>
      <formula>5</formula>
    </cfRule>
    <cfRule type="containsBlanks" dxfId="6304" priority="864" stopIfTrue="1">
      <formula>LEN(TRIM(H324))=0</formula>
    </cfRule>
  </conditionalFormatting>
  <conditionalFormatting sqref="I312">
    <cfRule type="containsBlanks" dxfId="6303" priority="851" stopIfTrue="1">
      <formula>LEN(TRIM(I312))=0</formula>
    </cfRule>
    <cfRule type="cellIs" dxfId="6302" priority="852" stopIfTrue="1" operator="between">
      <formula>79.1</formula>
      <formula>100</formula>
    </cfRule>
    <cfRule type="cellIs" dxfId="6301" priority="853" stopIfTrue="1" operator="between">
      <formula>34.1</formula>
      <formula>79</formula>
    </cfRule>
    <cfRule type="cellIs" dxfId="6300" priority="854" stopIfTrue="1" operator="between">
      <formula>13.1</formula>
      <formula>34</formula>
    </cfRule>
    <cfRule type="cellIs" dxfId="6299" priority="855" stopIfTrue="1" operator="between">
      <formula>5.1</formula>
      <formula>13</formula>
    </cfRule>
    <cfRule type="cellIs" dxfId="6298" priority="856" stopIfTrue="1" operator="between">
      <formula>0</formula>
      <formula>5</formula>
    </cfRule>
    <cfRule type="containsBlanks" dxfId="6297" priority="857" stopIfTrue="1">
      <formula>LEN(TRIM(I312))=0</formula>
    </cfRule>
  </conditionalFormatting>
  <conditionalFormatting sqref="L304">
    <cfRule type="containsBlanks" dxfId="6296" priority="844" stopIfTrue="1">
      <formula>LEN(TRIM(L304))=0</formula>
    </cfRule>
    <cfRule type="cellIs" dxfId="6295" priority="845" stopIfTrue="1" operator="between">
      <formula>79.1</formula>
      <formula>100</formula>
    </cfRule>
    <cfRule type="cellIs" dxfId="6294" priority="846" stopIfTrue="1" operator="between">
      <formula>34.1</formula>
      <formula>79</formula>
    </cfRule>
    <cfRule type="cellIs" dxfId="6293" priority="847" stopIfTrue="1" operator="between">
      <formula>13.1</formula>
      <formula>34</formula>
    </cfRule>
    <cfRule type="cellIs" dxfId="6292" priority="848" stopIfTrue="1" operator="between">
      <formula>5.1</formula>
      <formula>13</formula>
    </cfRule>
    <cfRule type="cellIs" dxfId="6291" priority="849" stopIfTrue="1" operator="between">
      <formula>0</formula>
      <formula>5</formula>
    </cfRule>
    <cfRule type="containsBlanks" dxfId="6290" priority="850" stopIfTrue="1">
      <formula>LEN(TRIM(L304))=0</formula>
    </cfRule>
  </conditionalFormatting>
  <conditionalFormatting sqref="E248 I248:N248">
    <cfRule type="containsBlanks" dxfId="6289" priority="235" stopIfTrue="1">
      <formula>LEN(TRIM(E248))=0</formula>
    </cfRule>
    <cfRule type="cellIs" dxfId="6288" priority="236" stopIfTrue="1" operator="between">
      <formula>80.1</formula>
      <formula>100</formula>
    </cfRule>
    <cfRule type="cellIs" dxfId="6287" priority="237" stopIfTrue="1" operator="between">
      <formula>35.1</formula>
      <formula>80</formula>
    </cfRule>
    <cfRule type="cellIs" dxfId="6286" priority="238" stopIfTrue="1" operator="between">
      <formula>14.1</formula>
      <formula>35</formula>
    </cfRule>
    <cfRule type="cellIs" dxfId="6285" priority="239" stopIfTrue="1" operator="between">
      <formula>5.1</formula>
      <formula>14</formula>
    </cfRule>
    <cfRule type="cellIs" dxfId="6284" priority="240" stopIfTrue="1" operator="between">
      <formula>0</formula>
      <formula>5</formula>
    </cfRule>
    <cfRule type="containsBlanks" dxfId="6283" priority="241" stopIfTrue="1">
      <formula>LEN(TRIM(E248))=0</formula>
    </cfRule>
  </conditionalFormatting>
  <conditionalFormatting sqref="F248:H248">
    <cfRule type="containsBlanks" dxfId="6282" priority="228" stopIfTrue="1">
      <formula>LEN(TRIM(F248))=0</formula>
    </cfRule>
    <cfRule type="cellIs" dxfId="6281" priority="229" stopIfTrue="1" operator="between">
      <formula>80.1</formula>
      <formula>100</formula>
    </cfRule>
    <cfRule type="cellIs" dxfId="6280" priority="230" stopIfTrue="1" operator="between">
      <formula>35.1</formula>
      <formula>80</formula>
    </cfRule>
    <cfRule type="cellIs" dxfId="6279" priority="231" stopIfTrue="1" operator="between">
      <formula>14.1</formula>
      <formula>35</formula>
    </cfRule>
    <cfRule type="cellIs" dxfId="6278" priority="232" stopIfTrue="1" operator="between">
      <formula>5.1</formula>
      <formula>14</formula>
    </cfRule>
    <cfRule type="cellIs" dxfId="6277" priority="233" stopIfTrue="1" operator="between">
      <formula>0</formula>
      <formula>5</formula>
    </cfRule>
    <cfRule type="containsBlanks" dxfId="6276" priority="234" stopIfTrue="1">
      <formula>LEN(TRIM(F248))=0</formula>
    </cfRule>
  </conditionalFormatting>
  <conditionalFormatting sqref="E249 I249:P249">
    <cfRule type="containsBlanks" dxfId="6275" priority="221" stopIfTrue="1">
      <formula>LEN(TRIM(E249))=0</formula>
    </cfRule>
    <cfRule type="cellIs" dxfId="6274" priority="222" stopIfTrue="1" operator="between">
      <formula>80.1</formula>
      <formula>100</formula>
    </cfRule>
    <cfRule type="cellIs" dxfId="6273" priority="223" stopIfTrue="1" operator="between">
      <formula>35.1</formula>
      <formula>80</formula>
    </cfRule>
    <cfRule type="cellIs" dxfId="6272" priority="224" stopIfTrue="1" operator="between">
      <formula>14.1</formula>
      <formula>35</formula>
    </cfRule>
    <cfRule type="cellIs" dxfId="6271" priority="225" stopIfTrue="1" operator="between">
      <formula>5.1</formula>
      <formula>14</formula>
    </cfRule>
    <cfRule type="cellIs" dxfId="6270" priority="226" stopIfTrue="1" operator="between">
      <formula>0</formula>
      <formula>5</formula>
    </cfRule>
    <cfRule type="containsBlanks" dxfId="6269" priority="227" stopIfTrue="1">
      <formula>LEN(TRIM(E249))=0</formula>
    </cfRule>
  </conditionalFormatting>
  <conditionalFormatting sqref="F249:H249">
    <cfRule type="containsBlanks" dxfId="6268" priority="214" stopIfTrue="1">
      <formula>LEN(TRIM(F249))=0</formula>
    </cfRule>
    <cfRule type="cellIs" dxfId="6267" priority="215" stopIfTrue="1" operator="between">
      <formula>80.1</formula>
      <formula>100</formula>
    </cfRule>
    <cfRule type="cellIs" dxfId="6266" priority="216" stopIfTrue="1" operator="between">
      <formula>35.1</formula>
      <formula>80</formula>
    </cfRule>
    <cfRule type="cellIs" dxfId="6265" priority="217" stopIfTrue="1" operator="between">
      <formula>14.1</formula>
      <formula>35</formula>
    </cfRule>
    <cfRule type="cellIs" dxfId="6264" priority="218" stopIfTrue="1" operator="between">
      <formula>5.1</formula>
      <formula>14</formula>
    </cfRule>
    <cfRule type="cellIs" dxfId="6263" priority="219" stopIfTrue="1" operator="between">
      <formula>0</formula>
      <formula>5</formula>
    </cfRule>
    <cfRule type="containsBlanks" dxfId="6262" priority="220" stopIfTrue="1">
      <formula>LEN(TRIM(F249))=0</formula>
    </cfRule>
  </conditionalFormatting>
  <conditionalFormatting sqref="E250:L250">
    <cfRule type="containsBlanks" dxfId="6261" priority="207" stopIfTrue="1">
      <formula>LEN(TRIM(E250))=0</formula>
    </cfRule>
    <cfRule type="cellIs" dxfId="6260" priority="208" stopIfTrue="1" operator="between">
      <formula>80.1</formula>
      <formula>100</formula>
    </cfRule>
    <cfRule type="cellIs" dxfId="6259" priority="209" stopIfTrue="1" operator="between">
      <formula>35.1</formula>
      <formula>80</formula>
    </cfRule>
    <cfRule type="cellIs" dxfId="6258" priority="210" stopIfTrue="1" operator="between">
      <formula>14.1</formula>
      <formula>35</formula>
    </cfRule>
    <cfRule type="cellIs" dxfId="6257" priority="211" stopIfTrue="1" operator="between">
      <formula>5.1</formula>
      <formula>14</formula>
    </cfRule>
    <cfRule type="cellIs" dxfId="6256" priority="212" stopIfTrue="1" operator="between">
      <formula>0</formula>
      <formula>5</formula>
    </cfRule>
    <cfRule type="containsBlanks" dxfId="6255" priority="213" stopIfTrue="1">
      <formula>LEN(TRIM(E250))=0</formula>
    </cfRule>
  </conditionalFormatting>
  <conditionalFormatting sqref="E259:P259">
    <cfRule type="containsBlanks" dxfId="6254" priority="179" stopIfTrue="1">
      <formula>LEN(TRIM(E259))=0</formula>
    </cfRule>
    <cfRule type="cellIs" dxfId="6253" priority="180" stopIfTrue="1" operator="between">
      <formula>80.1</formula>
      <formula>100</formula>
    </cfRule>
    <cfRule type="cellIs" dxfId="6252" priority="181" stopIfTrue="1" operator="between">
      <formula>35.1</formula>
      <formula>80</formula>
    </cfRule>
    <cfRule type="cellIs" dxfId="6251" priority="182" stopIfTrue="1" operator="between">
      <formula>14.1</formula>
      <formula>35</formula>
    </cfRule>
    <cfRule type="cellIs" dxfId="6250" priority="183" stopIfTrue="1" operator="between">
      <formula>5.1</formula>
      <formula>14</formula>
    </cfRule>
    <cfRule type="cellIs" dxfId="6249" priority="184" stopIfTrue="1" operator="between">
      <formula>0</formula>
      <formula>5</formula>
    </cfRule>
    <cfRule type="containsBlanks" dxfId="6248" priority="185" stopIfTrue="1">
      <formula>LEN(TRIM(E259))=0</formula>
    </cfRule>
  </conditionalFormatting>
  <conditionalFormatting sqref="E255:N255">
    <cfRule type="containsBlanks" dxfId="6247" priority="200" stopIfTrue="1">
      <formula>LEN(TRIM(E255))=0</formula>
    </cfRule>
    <cfRule type="cellIs" dxfId="6246" priority="201" stopIfTrue="1" operator="between">
      <formula>80.1</formula>
      <formula>100</formula>
    </cfRule>
    <cfRule type="cellIs" dxfId="6245" priority="202" stopIfTrue="1" operator="between">
      <formula>35.1</formula>
      <formula>80</formula>
    </cfRule>
    <cfRule type="cellIs" dxfId="6244" priority="203" stopIfTrue="1" operator="between">
      <formula>14.1</formula>
      <formula>35</formula>
    </cfRule>
    <cfRule type="cellIs" dxfId="6243" priority="204" stopIfTrue="1" operator="between">
      <formula>5.1</formula>
      <formula>14</formula>
    </cfRule>
    <cfRule type="cellIs" dxfId="6242" priority="205" stopIfTrue="1" operator="between">
      <formula>0</formula>
      <formula>5</formula>
    </cfRule>
    <cfRule type="containsBlanks" dxfId="6241" priority="206" stopIfTrue="1">
      <formula>LEN(TRIM(E255))=0</formula>
    </cfRule>
  </conditionalFormatting>
  <conditionalFormatting sqref="E256:M256">
    <cfRule type="containsBlanks" dxfId="6240" priority="193" stopIfTrue="1">
      <formula>LEN(TRIM(E256))=0</formula>
    </cfRule>
    <cfRule type="cellIs" dxfId="6239" priority="194" stopIfTrue="1" operator="between">
      <formula>80.1</formula>
      <formula>100</formula>
    </cfRule>
    <cfRule type="cellIs" dxfId="6238" priority="195" stopIfTrue="1" operator="between">
      <formula>35.1</formula>
      <formula>80</formula>
    </cfRule>
    <cfRule type="cellIs" dxfId="6237" priority="196" stopIfTrue="1" operator="between">
      <formula>14.1</formula>
      <formula>35</formula>
    </cfRule>
    <cfRule type="cellIs" dxfId="6236" priority="197" stopIfTrue="1" operator="between">
      <formula>5.1</formula>
      <formula>14</formula>
    </cfRule>
    <cfRule type="cellIs" dxfId="6235" priority="198" stopIfTrue="1" operator="between">
      <formula>0</formula>
      <formula>5</formula>
    </cfRule>
    <cfRule type="containsBlanks" dxfId="6234" priority="199" stopIfTrue="1">
      <formula>LEN(TRIM(E256))=0</formula>
    </cfRule>
  </conditionalFormatting>
  <conditionalFormatting sqref="E258:M258">
    <cfRule type="containsBlanks" dxfId="6233" priority="186" stopIfTrue="1">
      <formula>LEN(TRIM(E258))=0</formula>
    </cfRule>
    <cfRule type="cellIs" dxfId="6232" priority="187" stopIfTrue="1" operator="between">
      <formula>80.1</formula>
      <formula>100</formula>
    </cfRule>
    <cfRule type="cellIs" dxfId="6231" priority="188" stopIfTrue="1" operator="between">
      <formula>35.1</formula>
      <formula>80</formula>
    </cfRule>
    <cfRule type="cellIs" dxfId="6230" priority="189" stopIfTrue="1" operator="between">
      <formula>14.1</formula>
      <formula>35</formula>
    </cfRule>
    <cfRule type="cellIs" dxfId="6229" priority="190" stopIfTrue="1" operator="between">
      <formula>5.1</formula>
      <formula>14</formula>
    </cfRule>
    <cfRule type="cellIs" dxfId="6228" priority="191" stopIfTrue="1" operator="between">
      <formula>0</formula>
      <formula>5</formula>
    </cfRule>
    <cfRule type="containsBlanks" dxfId="6227" priority="192" stopIfTrue="1">
      <formula>LEN(TRIM(E258))=0</formula>
    </cfRule>
  </conditionalFormatting>
  <conditionalFormatting sqref="R149:R167 R35:R43 R169:R273 R277:R333">
    <cfRule type="cellIs" dxfId="6226" priority="178" stopIfTrue="1" operator="equal">
      <formula>"NO"</formula>
    </cfRule>
  </conditionalFormatting>
  <conditionalFormatting sqref="S272:S273 S277:S333">
    <cfRule type="cellIs" dxfId="6225" priority="177" stopIfTrue="1" operator="equal">
      <formula>"INVIABLE SANITARIAMENTE"</formula>
    </cfRule>
  </conditionalFormatting>
  <conditionalFormatting sqref="S272:S273 S277:S333">
    <cfRule type="containsText" dxfId="6224" priority="172" stopIfTrue="1" operator="containsText" text="INVIABLE SANITARIAMENTE">
      <formula>NOT(ISERROR(SEARCH("INVIABLE SANITARIAMENTE",S272)))</formula>
    </cfRule>
    <cfRule type="containsText" dxfId="6223" priority="173" stopIfTrue="1" operator="containsText" text="ALTO">
      <formula>NOT(ISERROR(SEARCH("ALTO",S272)))</formula>
    </cfRule>
    <cfRule type="containsText" dxfId="6222" priority="174" stopIfTrue="1" operator="containsText" text="MEDIO">
      <formula>NOT(ISERROR(SEARCH("MEDIO",S272)))</formula>
    </cfRule>
    <cfRule type="containsText" dxfId="6221" priority="175" stopIfTrue="1" operator="containsText" text="BAJO">
      <formula>NOT(ISERROR(SEARCH("BAJO",S272)))</formula>
    </cfRule>
    <cfRule type="containsText" dxfId="6220" priority="176" stopIfTrue="1" operator="containsText" text="SIN RIESGO">
      <formula>NOT(ISERROR(SEARCH("SIN RIESGO",S272)))</formula>
    </cfRule>
  </conditionalFormatting>
  <conditionalFormatting sqref="S272:S273 S277:S333">
    <cfRule type="containsText" dxfId="6219" priority="171" stopIfTrue="1" operator="containsText" text="SIN RIESGO">
      <formula>NOT(ISERROR(SEARCH("SIN RIESGO",S272)))</formula>
    </cfRule>
  </conditionalFormatting>
  <conditionalFormatting sqref="Q57:Q73 Q97:Q148">
    <cfRule type="containsBlanks" dxfId="6218" priority="149" stopIfTrue="1">
      <formula>LEN(TRIM(Q57))=0</formula>
    </cfRule>
    <cfRule type="cellIs" dxfId="6217" priority="150" stopIfTrue="1" operator="between">
      <formula>80.1</formula>
      <formula>100</formula>
    </cfRule>
    <cfRule type="cellIs" dxfId="6216" priority="151" stopIfTrue="1" operator="between">
      <formula>35.1</formula>
      <formula>80</formula>
    </cfRule>
    <cfRule type="cellIs" dxfId="6215" priority="152" stopIfTrue="1" operator="between">
      <formula>14.1</formula>
      <formula>35</formula>
    </cfRule>
    <cfRule type="cellIs" dxfId="6214" priority="153" stopIfTrue="1" operator="between">
      <formula>5.1</formula>
      <formula>14</formula>
    </cfRule>
    <cfRule type="cellIs" dxfId="6213" priority="154" stopIfTrue="1" operator="between">
      <formula>0</formula>
      <formula>5</formula>
    </cfRule>
    <cfRule type="containsBlanks" dxfId="6212" priority="155" stopIfTrue="1">
      <formula>LEN(TRIM(Q57))=0</formula>
    </cfRule>
  </conditionalFormatting>
  <conditionalFormatting sqref="R57:R73 R97:R148">
    <cfRule type="cellIs" dxfId="6211" priority="148" stopIfTrue="1" operator="equal">
      <formula>"NO"</formula>
    </cfRule>
  </conditionalFormatting>
  <conditionalFormatting sqref="R11:R34">
    <cfRule type="cellIs" dxfId="6210" priority="140" stopIfTrue="1" operator="equal">
      <formula>"NO"</formula>
    </cfRule>
  </conditionalFormatting>
  <conditionalFormatting sqref="E11:Q27 H28:Q28 E28:F28 E30:Q34 Q29">
    <cfRule type="containsBlanks" dxfId="6209" priority="132" stopIfTrue="1">
      <formula>LEN(TRIM(E11))=0</formula>
    </cfRule>
    <cfRule type="cellIs" dxfId="6208" priority="133" stopIfTrue="1" operator="between">
      <formula>80.1</formula>
      <formula>100</formula>
    </cfRule>
    <cfRule type="cellIs" dxfId="6207" priority="134" stopIfTrue="1" operator="between">
      <formula>35.1</formula>
      <formula>80</formula>
    </cfRule>
    <cfRule type="cellIs" dxfId="6206" priority="135" stopIfTrue="1" operator="between">
      <formula>14.1</formula>
      <formula>35</formula>
    </cfRule>
    <cfRule type="cellIs" dxfId="6205" priority="136" stopIfTrue="1" operator="between">
      <formula>5.1</formula>
      <formula>14</formula>
    </cfRule>
    <cfRule type="cellIs" dxfId="6204" priority="137" stopIfTrue="1" operator="between">
      <formula>0</formula>
      <formula>5</formula>
    </cfRule>
    <cfRule type="containsBlanks" dxfId="6203" priority="138" stopIfTrue="1">
      <formula>LEN(TRIM(E11))=0</formula>
    </cfRule>
  </conditionalFormatting>
  <conditionalFormatting sqref="E29:P29">
    <cfRule type="containsBlanks" dxfId="6202" priority="119" stopIfTrue="1">
      <formula>LEN(TRIM(E29))=0</formula>
    </cfRule>
    <cfRule type="cellIs" dxfId="6201" priority="120" stopIfTrue="1" operator="between">
      <formula>80.1</formula>
      <formula>100</formula>
    </cfRule>
    <cfRule type="cellIs" dxfId="6200" priority="121" stopIfTrue="1" operator="between">
      <formula>35.1</formula>
      <formula>80</formula>
    </cfRule>
    <cfRule type="cellIs" dxfId="6199" priority="122" stopIfTrue="1" operator="between">
      <formula>14.1</formula>
      <formula>35</formula>
    </cfRule>
    <cfRule type="cellIs" dxfId="6198" priority="123" stopIfTrue="1" operator="between">
      <formula>5.1</formula>
      <formula>14</formula>
    </cfRule>
    <cfRule type="cellIs" dxfId="6197" priority="124" stopIfTrue="1" operator="between">
      <formula>0</formula>
      <formula>5</formula>
    </cfRule>
    <cfRule type="containsBlanks" dxfId="6196" priority="125" stopIfTrue="1">
      <formula>LEN(TRIM(E29))=0</formula>
    </cfRule>
  </conditionalFormatting>
  <conditionalFormatting sqref="E35:Q37 O38:Q38 E38:M38">
    <cfRule type="containsBlanks" dxfId="6195" priority="110" stopIfTrue="1">
      <formula>LEN(TRIM(E35))=0</formula>
    </cfRule>
    <cfRule type="cellIs" dxfId="6194" priority="111" stopIfTrue="1" operator="between">
      <formula>80.1</formula>
      <formula>100</formula>
    </cfRule>
    <cfRule type="cellIs" dxfId="6193" priority="112" stopIfTrue="1" operator="between">
      <formula>35.1</formula>
      <formula>80</formula>
    </cfRule>
    <cfRule type="cellIs" dxfId="6192" priority="113" stopIfTrue="1" operator="between">
      <formula>14.1</formula>
      <formula>35</formula>
    </cfRule>
    <cfRule type="cellIs" dxfId="6191" priority="114" stopIfTrue="1" operator="between">
      <formula>5.1</formula>
      <formula>14</formula>
    </cfRule>
    <cfRule type="cellIs" dxfId="6190" priority="115" stopIfTrue="1" operator="between">
      <formula>0</formula>
      <formula>5</formula>
    </cfRule>
    <cfRule type="containsBlanks" dxfId="6189" priority="116" stopIfTrue="1">
      <formula>LEN(TRIM(E35))=0</formula>
    </cfRule>
  </conditionalFormatting>
  <conditionalFormatting sqref="R44:R56">
    <cfRule type="cellIs" dxfId="6188" priority="103" stopIfTrue="1" operator="equal">
      <formula>"NO"</formula>
    </cfRule>
  </conditionalFormatting>
  <conditionalFormatting sqref="E44:Q44 E46:Q46 E45:H45 J45:Q45 E47:H47 J47:Q47 E48:Q56">
    <cfRule type="containsBlanks" dxfId="6187" priority="95" stopIfTrue="1">
      <formula>LEN(TRIM(E44))=0</formula>
    </cfRule>
    <cfRule type="cellIs" dxfId="6186" priority="96" stopIfTrue="1" operator="between">
      <formula>80.1</formula>
      <formula>100</formula>
    </cfRule>
    <cfRule type="cellIs" dxfId="6185" priority="97" stopIfTrue="1" operator="between">
      <formula>35.1</formula>
      <formula>80</formula>
    </cfRule>
    <cfRule type="cellIs" dxfId="6184" priority="98" stopIfTrue="1" operator="between">
      <formula>14.1</formula>
      <formula>35</formula>
    </cfRule>
    <cfRule type="cellIs" dxfId="6183" priority="99" stopIfTrue="1" operator="between">
      <formula>5.1</formula>
      <formula>14</formula>
    </cfRule>
    <cfRule type="cellIs" dxfId="6182" priority="100" stopIfTrue="1" operator="between">
      <formula>0</formula>
      <formula>5</formula>
    </cfRule>
    <cfRule type="containsBlanks" dxfId="6181" priority="101" stopIfTrue="1">
      <formula>LEN(TRIM(E44))=0</formula>
    </cfRule>
  </conditionalFormatting>
  <conditionalFormatting sqref="I45">
    <cfRule type="containsBlanks" dxfId="6180" priority="82" stopIfTrue="1">
      <formula>LEN(TRIM(I45))=0</formula>
    </cfRule>
    <cfRule type="cellIs" dxfId="6179" priority="83" stopIfTrue="1" operator="between">
      <formula>80.1</formula>
      <formula>100</formula>
    </cfRule>
    <cfRule type="cellIs" dxfId="6178" priority="84" stopIfTrue="1" operator="between">
      <formula>35.1</formula>
      <formula>80</formula>
    </cfRule>
    <cfRule type="cellIs" dxfId="6177" priority="85" stopIfTrue="1" operator="between">
      <formula>14.1</formula>
      <formula>35</formula>
    </cfRule>
    <cfRule type="cellIs" dxfId="6176" priority="86" stopIfTrue="1" operator="between">
      <formula>5.1</formula>
      <formula>14</formula>
    </cfRule>
    <cfRule type="cellIs" dxfId="6175" priority="87" stopIfTrue="1" operator="between">
      <formula>0</formula>
      <formula>5</formula>
    </cfRule>
    <cfRule type="containsBlanks" dxfId="6174" priority="88" stopIfTrue="1">
      <formula>LEN(TRIM(I45))=0</formula>
    </cfRule>
  </conditionalFormatting>
  <conditionalFormatting sqref="I47">
    <cfRule type="containsBlanks" dxfId="6173" priority="75" stopIfTrue="1">
      <formula>LEN(TRIM(I47))=0</formula>
    </cfRule>
    <cfRule type="cellIs" dxfId="6172" priority="76" stopIfTrue="1" operator="between">
      <formula>80.1</formula>
      <formula>100</formula>
    </cfRule>
    <cfRule type="cellIs" dxfId="6171" priority="77" stopIfTrue="1" operator="between">
      <formula>35.1</formula>
      <formula>80</formula>
    </cfRule>
    <cfRule type="cellIs" dxfId="6170" priority="78" stopIfTrue="1" operator="between">
      <formula>14.1</formula>
      <formula>35</formula>
    </cfRule>
    <cfRule type="cellIs" dxfId="6169" priority="79" stopIfTrue="1" operator="between">
      <formula>5.1</formula>
      <formula>14</formula>
    </cfRule>
    <cfRule type="cellIs" dxfId="6168" priority="80" stopIfTrue="1" operator="between">
      <formula>0</formula>
      <formula>5</formula>
    </cfRule>
    <cfRule type="containsBlanks" dxfId="6167" priority="81" stopIfTrue="1">
      <formula>LEN(TRIM(I47))=0</formula>
    </cfRule>
  </conditionalFormatting>
  <conditionalFormatting sqref="R74:R80">
    <cfRule type="cellIs" dxfId="6166" priority="74" stopIfTrue="1" operator="equal">
      <formula>"NO"</formula>
    </cfRule>
  </conditionalFormatting>
  <conditionalFormatting sqref="E74:Q80">
    <cfRule type="containsBlanks" dxfId="6165" priority="66" stopIfTrue="1">
      <formula>LEN(TRIM(E74))=0</formula>
    </cfRule>
    <cfRule type="cellIs" dxfId="6164" priority="67" stopIfTrue="1" operator="between">
      <formula>80.1</formula>
      <formula>100</formula>
    </cfRule>
    <cfRule type="cellIs" dxfId="6163" priority="68" stopIfTrue="1" operator="between">
      <formula>35.1</formula>
      <formula>80</formula>
    </cfRule>
    <cfRule type="cellIs" dxfId="6162" priority="69" stopIfTrue="1" operator="between">
      <formula>14.1</formula>
      <formula>35</formula>
    </cfRule>
    <cfRule type="cellIs" dxfId="6161" priority="70" stopIfTrue="1" operator="between">
      <formula>5.1</formula>
      <formula>14</formula>
    </cfRule>
    <cfRule type="cellIs" dxfId="6160" priority="71" stopIfTrue="1" operator="between">
      <formula>0</formula>
      <formula>5</formula>
    </cfRule>
    <cfRule type="containsBlanks" dxfId="6159" priority="72" stopIfTrue="1">
      <formula>LEN(TRIM(E74))=0</formula>
    </cfRule>
  </conditionalFormatting>
  <conditionalFormatting sqref="R81:R85">
    <cfRule type="cellIs" dxfId="6158" priority="59" stopIfTrue="1" operator="equal">
      <formula>"NO"</formula>
    </cfRule>
  </conditionalFormatting>
  <conditionalFormatting sqref="E81:Q85">
    <cfRule type="containsBlanks" dxfId="6157" priority="51" stopIfTrue="1">
      <formula>LEN(TRIM(E81))=0</formula>
    </cfRule>
    <cfRule type="cellIs" dxfId="6156" priority="52" stopIfTrue="1" operator="between">
      <formula>80.1</formula>
      <formula>100</formula>
    </cfRule>
    <cfRule type="cellIs" dxfId="6155" priority="53" stopIfTrue="1" operator="between">
      <formula>35.1</formula>
      <formula>80</formula>
    </cfRule>
    <cfRule type="cellIs" dxfId="6154" priority="54" stopIfTrue="1" operator="between">
      <formula>14.1</formula>
      <formula>35</formula>
    </cfRule>
    <cfRule type="cellIs" dxfId="6153" priority="55" stopIfTrue="1" operator="between">
      <formula>5.1</formula>
      <formula>14</formula>
    </cfRule>
    <cfRule type="cellIs" dxfId="6152" priority="56" stopIfTrue="1" operator="between">
      <formula>0</formula>
      <formula>5</formula>
    </cfRule>
    <cfRule type="containsBlanks" dxfId="6151" priority="57" stopIfTrue="1">
      <formula>LEN(TRIM(E81))=0</formula>
    </cfRule>
  </conditionalFormatting>
  <conditionalFormatting sqref="R86:R96">
    <cfRule type="cellIs" dxfId="6150" priority="44" stopIfTrue="1" operator="equal">
      <formula>"NO"</formula>
    </cfRule>
  </conditionalFormatting>
  <conditionalFormatting sqref="E86:Q96">
    <cfRule type="containsBlanks" dxfId="6149" priority="36" stopIfTrue="1">
      <formula>LEN(TRIM(E86))=0</formula>
    </cfRule>
    <cfRule type="cellIs" dxfId="6148" priority="37" stopIfTrue="1" operator="between">
      <formula>80.1</formula>
      <formula>100</formula>
    </cfRule>
    <cfRule type="cellIs" dxfId="6147" priority="38" stopIfTrue="1" operator="between">
      <formula>35.1</formula>
      <formula>80</formula>
    </cfRule>
    <cfRule type="cellIs" dxfId="6146" priority="39" stopIfTrue="1" operator="between">
      <formula>14.1</formula>
      <formula>35</formula>
    </cfRule>
    <cfRule type="cellIs" dxfId="6145" priority="40" stopIfTrue="1" operator="between">
      <formula>5.1</formula>
      <formula>14</formula>
    </cfRule>
    <cfRule type="cellIs" dxfId="6144" priority="41" stopIfTrue="1" operator="between">
      <formula>0</formula>
      <formula>5</formula>
    </cfRule>
    <cfRule type="containsBlanks" dxfId="6143" priority="42" stopIfTrue="1">
      <formula>LEN(TRIM(E86))=0</formula>
    </cfRule>
  </conditionalFormatting>
  <conditionalFormatting sqref="E168:P168">
    <cfRule type="containsBlanks" dxfId="6142" priority="23" stopIfTrue="1">
      <formula>LEN(TRIM(E168))=0</formula>
    </cfRule>
    <cfRule type="cellIs" dxfId="6141" priority="24" stopIfTrue="1" operator="between">
      <formula>79.1</formula>
      <formula>100</formula>
    </cfRule>
    <cfRule type="cellIs" dxfId="6140" priority="25" stopIfTrue="1" operator="between">
      <formula>34.1</formula>
      <formula>79</formula>
    </cfRule>
    <cfRule type="cellIs" dxfId="6139" priority="26" stopIfTrue="1" operator="between">
      <formula>13.1</formula>
      <formula>34</formula>
    </cfRule>
    <cfRule type="cellIs" dxfId="6138" priority="27" stopIfTrue="1" operator="between">
      <formula>5.1</formula>
      <formula>13</formula>
    </cfRule>
    <cfRule type="cellIs" dxfId="6137" priority="28" stopIfTrue="1" operator="between">
      <formula>0</formula>
      <formula>5</formula>
    </cfRule>
    <cfRule type="containsBlanks" dxfId="6136" priority="29" stopIfTrue="1">
      <formula>LEN(TRIM(E168))=0</formula>
    </cfRule>
  </conditionalFormatting>
  <conditionalFormatting sqref="Q168">
    <cfRule type="containsBlanks" dxfId="6135" priority="16" stopIfTrue="1">
      <formula>LEN(TRIM(Q168))=0</formula>
    </cfRule>
    <cfRule type="cellIs" dxfId="6134" priority="17" stopIfTrue="1" operator="between">
      <formula>80.1</formula>
      <formula>100</formula>
    </cfRule>
    <cfRule type="cellIs" dxfId="6133" priority="18" stopIfTrue="1" operator="between">
      <formula>35.1</formula>
      <formula>80</formula>
    </cfRule>
    <cfRule type="cellIs" dxfId="6132" priority="19" stopIfTrue="1" operator="between">
      <formula>14.1</formula>
      <formula>35</formula>
    </cfRule>
    <cfRule type="cellIs" dxfId="6131" priority="20" stopIfTrue="1" operator="between">
      <formula>5.1</formula>
      <formula>14</formula>
    </cfRule>
    <cfRule type="cellIs" dxfId="6130" priority="21" stopIfTrue="1" operator="between">
      <formula>0</formula>
      <formula>5</formula>
    </cfRule>
    <cfRule type="containsBlanks" dxfId="6129" priority="22" stopIfTrue="1">
      <formula>LEN(TRIM(Q168))=0</formula>
    </cfRule>
  </conditionalFormatting>
  <conditionalFormatting sqref="R168">
    <cfRule type="cellIs" dxfId="6128" priority="15" stopIfTrue="1" operator="equal">
      <formula>"NO"</formula>
    </cfRule>
  </conditionalFormatting>
  <conditionalFormatting sqref="S11:S271">
    <cfRule type="cellIs" dxfId="6127" priority="7" stopIfTrue="1" operator="equal">
      <formula>"INVIABLE SANITARIAMENTE"</formula>
    </cfRule>
  </conditionalFormatting>
  <conditionalFormatting sqref="S11:S271">
    <cfRule type="containsText" dxfId="6126" priority="2" stopIfTrue="1" operator="containsText" text="INVIABLE SANITARIAMENTE">
      <formula>NOT(ISERROR(SEARCH("INVIABLE SANITARIAMENTE",S11)))</formula>
    </cfRule>
    <cfRule type="containsText" dxfId="6125" priority="3" stopIfTrue="1" operator="containsText" text="ALTO">
      <formula>NOT(ISERROR(SEARCH("ALTO",S11)))</formula>
    </cfRule>
    <cfRule type="containsText" dxfId="6124" priority="4" stopIfTrue="1" operator="containsText" text="MEDIO">
      <formula>NOT(ISERROR(SEARCH("MEDIO",S11)))</formula>
    </cfRule>
    <cfRule type="containsText" dxfId="6123" priority="5" stopIfTrue="1" operator="containsText" text="BAJO">
      <formula>NOT(ISERROR(SEARCH("BAJO",S11)))</formula>
    </cfRule>
    <cfRule type="containsText" dxfId="6122" priority="6" stopIfTrue="1" operator="containsText" text="SIN RIESGO">
      <formula>NOT(ISERROR(SEARCH("SIN RIESGO",S11)))</formula>
    </cfRule>
  </conditionalFormatting>
  <conditionalFormatting sqref="S11:S271">
    <cfRule type="containsText" dxfId="6121" priority="1" stopIfTrue="1" operator="containsText" text="SIN RIESGO">
      <formula>NOT(ISERROR(SEARCH("SIN RIESGO",S11)))</formula>
    </cfRule>
  </conditionalFormatting>
  <printOptions horizontalCentered="1"/>
  <pageMargins left="0.28999999999999998" right="0.2" top="0.6692913385826772" bottom="0.9055118110236221" header="0.43" footer="0.59055118110236227"/>
  <pageSetup paperSize="14" scale="75" orientation="landscape" r:id="rId5"/>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drawing r:id="rId6"/>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0"/>
  </sheetPr>
  <dimension ref="A1:W765"/>
  <sheetViews>
    <sheetView zoomScale="70" zoomScaleNormal="70" workbookViewId="0">
      <pane xSplit="3" ySplit="10" topLeftCell="D11" activePane="bottomRight" state="frozenSplit"/>
      <selection pane="topRight" activeCell="D1" sqref="D1"/>
      <selection pane="bottomLeft" activeCell="A10" sqref="A10"/>
      <selection pane="bottomRight" activeCell="A11" sqref="A11"/>
    </sheetView>
  </sheetViews>
  <sheetFormatPr baseColWidth="10" defaultColWidth="0" defaultRowHeight="12.75" zeroHeight="1" x14ac:dyDescent="0.2"/>
  <cols>
    <col min="1" max="1" width="34.5703125" style="35" customWidth="1"/>
    <col min="2" max="2" width="39.5703125" style="188" customWidth="1"/>
    <col min="3" max="3" width="63" style="188" customWidth="1"/>
    <col min="4" max="4" width="27.28515625" style="188" customWidth="1"/>
    <col min="5" max="18" width="10.7109375" style="187" customWidth="1"/>
    <col min="19" max="19" width="33.5703125" style="187" customWidth="1"/>
    <col min="20" max="20" width="9.85546875" style="187" hidden="1" customWidth="1"/>
    <col min="21" max="16384" width="11.42578125" style="187" hidden="1"/>
  </cols>
  <sheetData>
    <row r="1" spans="1:23" s="7" customFormat="1" ht="18" customHeight="1" x14ac:dyDescent="0.2">
      <c r="A1" s="108"/>
      <c r="B1" s="326" t="s">
        <v>254</v>
      </c>
      <c r="C1" s="326"/>
      <c r="D1" s="326"/>
      <c r="E1" s="86"/>
      <c r="F1" s="86"/>
      <c r="G1" s="86"/>
      <c r="H1" s="86"/>
      <c r="I1" s="86"/>
      <c r="J1" s="86"/>
      <c r="K1" s="86"/>
      <c r="L1" s="86"/>
      <c r="M1" s="86"/>
      <c r="N1" s="86"/>
      <c r="O1" s="86"/>
      <c r="P1" s="86"/>
      <c r="Q1" s="86"/>
      <c r="R1" s="87"/>
      <c r="S1" s="39" t="s">
        <v>492</v>
      </c>
      <c r="T1" s="3"/>
      <c r="U1" s="5"/>
      <c r="V1" s="6"/>
      <c r="W1" s="6"/>
    </row>
    <row r="2" spans="1:23" s="9" customFormat="1" ht="18" customHeight="1" x14ac:dyDescent="0.2">
      <c r="A2" s="108"/>
      <c r="B2" s="326" t="s">
        <v>4587</v>
      </c>
      <c r="C2" s="326"/>
      <c r="D2" s="326"/>
      <c r="E2" s="310"/>
      <c r="F2" s="310"/>
      <c r="G2" s="310"/>
      <c r="H2" s="310"/>
      <c r="I2" s="310"/>
      <c r="J2" s="310"/>
      <c r="K2" s="310"/>
      <c r="L2" s="310"/>
      <c r="M2" s="310"/>
      <c r="N2" s="310"/>
      <c r="O2" s="310"/>
      <c r="P2" s="310"/>
      <c r="Q2" s="310"/>
      <c r="R2" s="88"/>
      <c r="S2" s="40" t="s">
        <v>255</v>
      </c>
      <c r="T2" s="3"/>
      <c r="U2" s="8"/>
      <c r="V2" s="6"/>
      <c r="W2" s="6"/>
    </row>
    <row r="3" spans="1:23" s="7" customFormat="1" ht="18" customHeight="1" x14ac:dyDescent="0.2">
      <c r="A3" s="108"/>
      <c r="B3" s="327" t="s">
        <v>4588</v>
      </c>
      <c r="C3" s="327"/>
      <c r="D3" s="327"/>
      <c r="E3" s="309"/>
      <c r="F3" s="309"/>
      <c r="G3" s="309"/>
      <c r="H3" s="309"/>
      <c r="I3" s="309"/>
      <c r="J3" s="309"/>
      <c r="K3" s="309"/>
      <c r="L3" s="309"/>
      <c r="M3" s="309"/>
      <c r="N3" s="309"/>
      <c r="O3" s="309"/>
      <c r="P3" s="309"/>
      <c r="Q3" s="309"/>
      <c r="R3" s="89"/>
      <c r="S3" s="40" t="s">
        <v>493</v>
      </c>
      <c r="T3" s="3"/>
      <c r="U3" s="5"/>
      <c r="V3" s="6"/>
      <c r="W3" s="6"/>
    </row>
    <row r="4" spans="1:23" s="7" customFormat="1" ht="18" customHeight="1" x14ac:dyDescent="0.25">
      <c r="A4" s="108"/>
      <c r="B4" s="60" t="s">
        <v>4119</v>
      </c>
      <c r="C4" s="309"/>
      <c r="D4" s="309"/>
      <c r="E4" s="37"/>
      <c r="F4" s="37"/>
      <c r="G4" s="37"/>
      <c r="H4" s="37"/>
      <c r="I4" s="37"/>
      <c r="J4" s="37"/>
      <c r="K4" s="37"/>
      <c r="L4" s="37"/>
      <c r="M4" s="37"/>
      <c r="N4" s="37"/>
      <c r="O4" s="37"/>
      <c r="P4" s="37"/>
      <c r="Q4" s="37"/>
      <c r="R4" s="38"/>
      <c r="S4" s="40" t="s">
        <v>256</v>
      </c>
      <c r="T4" s="3"/>
      <c r="U4" s="5"/>
      <c r="V4" s="6"/>
      <c r="W4" s="6"/>
    </row>
    <row r="5" spans="1:23" s="32" customFormat="1" ht="15" customHeight="1" x14ac:dyDescent="0.2">
      <c r="A5" s="109"/>
      <c r="B5" s="326" t="s">
        <v>4291</v>
      </c>
      <c r="C5" s="326"/>
      <c r="D5" s="326"/>
      <c r="E5" s="319" t="s">
        <v>251</v>
      </c>
      <c r="F5" s="319"/>
      <c r="G5" s="319"/>
      <c r="H5" s="314" t="s">
        <v>258</v>
      </c>
      <c r="I5" s="314"/>
      <c r="J5" s="314"/>
      <c r="K5" s="321" t="s">
        <v>491</v>
      </c>
      <c r="L5" s="321"/>
      <c r="M5" s="321"/>
      <c r="N5" s="318" t="s">
        <v>422</v>
      </c>
      <c r="O5" s="318"/>
      <c r="P5" s="318"/>
      <c r="Q5" s="334" t="s">
        <v>259</v>
      </c>
      <c r="R5" s="334"/>
      <c r="S5" s="313" t="s">
        <v>261</v>
      </c>
    </row>
    <row r="6" spans="1:23" s="32" customFormat="1" ht="16.5" customHeight="1" x14ac:dyDescent="0.2">
      <c r="A6" s="109"/>
      <c r="B6" s="174"/>
      <c r="C6" s="360"/>
      <c r="D6" s="359" t="s">
        <v>260</v>
      </c>
      <c r="E6" s="319"/>
      <c r="F6" s="319"/>
      <c r="G6" s="319"/>
      <c r="H6" s="314"/>
      <c r="I6" s="314"/>
      <c r="J6" s="314"/>
      <c r="K6" s="321"/>
      <c r="L6" s="321"/>
      <c r="M6" s="321"/>
      <c r="N6" s="318"/>
      <c r="O6" s="318"/>
      <c r="P6" s="318"/>
      <c r="Q6" s="334"/>
      <c r="R6" s="334"/>
      <c r="S6" s="313"/>
    </row>
    <row r="7" spans="1:23" s="32" customFormat="1" ht="12" customHeight="1" x14ac:dyDescent="0.2">
      <c r="A7" s="329"/>
      <c r="B7" s="329"/>
      <c r="C7" s="42"/>
      <c r="D7" s="92"/>
      <c r="E7" s="43"/>
      <c r="F7" s="43"/>
      <c r="G7" s="43"/>
      <c r="H7" s="43"/>
      <c r="I7" s="43"/>
      <c r="J7" s="43"/>
      <c r="K7" s="43"/>
      <c r="L7" s="43"/>
      <c r="M7" s="43"/>
      <c r="N7" s="43"/>
      <c r="O7" s="43"/>
      <c r="P7" s="43"/>
      <c r="Q7" s="43"/>
      <c r="R7" s="43"/>
      <c r="S7" s="41"/>
    </row>
    <row r="8" spans="1:23" s="182" customFormat="1" ht="27" customHeight="1" x14ac:dyDescent="0.2">
      <c r="A8" s="504" t="s">
        <v>4623</v>
      </c>
      <c r="B8" s="102"/>
      <c r="C8" s="98"/>
      <c r="D8" s="98"/>
      <c r="E8" s="98"/>
      <c r="F8" s="98"/>
      <c r="G8" s="98"/>
      <c r="H8" s="98"/>
      <c r="I8" s="98"/>
      <c r="J8" s="98"/>
      <c r="K8" s="98"/>
      <c r="L8" s="98"/>
      <c r="M8" s="98"/>
      <c r="N8" s="98"/>
      <c r="O8" s="98"/>
      <c r="P8" s="98"/>
      <c r="Q8" s="98"/>
      <c r="R8" s="98"/>
      <c r="S8" s="103"/>
    </row>
    <row r="9" spans="1:23" s="183" customFormat="1" ht="18" customHeight="1" x14ac:dyDescent="0.2">
      <c r="A9" s="330" t="s">
        <v>37</v>
      </c>
      <c r="B9" s="328" t="s">
        <v>38</v>
      </c>
      <c r="C9" s="328" t="s">
        <v>257</v>
      </c>
      <c r="D9" s="337" t="s">
        <v>419</v>
      </c>
      <c r="E9" s="315" t="s">
        <v>33</v>
      </c>
      <c r="F9" s="315"/>
      <c r="G9" s="315"/>
      <c r="H9" s="315"/>
      <c r="I9" s="315"/>
      <c r="J9" s="315"/>
      <c r="K9" s="315"/>
      <c r="L9" s="315"/>
      <c r="M9" s="315"/>
      <c r="N9" s="315"/>
      <c r="O9" s="315"/>
      <c r="P9" s="315"/>
      <c r="Q9" s="335" t="s">
        <v>34</v>
      </c>
      <c r="R9" s="335" t="s">
        <v>36</v>
      </c>
      <c r="S9" s="328" t="s">
        <v>35</v>
      </c>
      <c r="T9" s="11"/>
    </row>
    <row r="10" spans="1:23" s="183" customFormat="1" ht="24" customHeight="1" x14ac:dyDescent="0.2">
      <c r="A10" s="340"/>
      <c r="B10" s="337"/>
      <c r="C10" s="337"/>
      <c r="D10" s="338"/>
      <c r="E10" s="180" t="s">
        <v>21</v>
      </c>
      <c r="F10" s="180" t="s">
        <v>22</v>
      </c>
      <c r="G10" s="180" t="s">
        <v>23</v>
      </c>
      <c r="H10" s="180" t="s">
        <v>24</v>
      </c>
      <c r="I10" s="180" t="s">
        <v>25</v>
      </c>
      <c r="J10" s="180" t="s">
        <v>26</v>
      </c>
      <c r="K10" s="180" t="s">
        <v>27</v>
      </c>
      <c r="L10" s="180" t="s">
        <v>28</v>
      </c>
      <c r="M10" s="180" t="s">
        <v>29</v>
      </c>
      <c r="N10" s="180" t="s">
        <v>30</v>
      </c>
      <c r="O10" s="180" t="s">
        <v>31</v>
      </c>
      <c r="P10" s="180" t="s">
        <v>32</v>
      </c>
      <c r="Q10" s="341"/>
      <c r="R10" s="344"/>
      <c r="S10" s="339"/>
      <c r="T10" s="11"/>
    </row>
    <row r="11" spans="1:23" s="183" customFormat="1" ht="32.1" customHeight="1" x14ac:dyDescent="0.2">
      <c r="A11" s="361" t="s">
        <v>3940</v>
      </c>
      <c r="B11" s="361" t="s">
        <v>2608</v>
      </c>
      <c r="C11" s="392" t="s">
        <v>2609</v>
      </c>
      <c r="D11" s="377">
        <v>56</v>
      </c>
      <c r="E11" s="405"/>
      <c r="F11" s="405"/>
      <c r="G11" s="405"/>
      <c r="H11" s="405"/>
      <c r="I11" s="405"/>
      <c r="J11" s="405"/>
      <c r="K11" s="405"/>
      <c r="L11" s="405"/>
      <c r="M11" s="405"/>
      <c r="N11" s="405"/>
      <c r="O11" s="405">
        <v>97.3</v>
      </c>
      <c r="P11" s="405"/>
      <c r="Q11" s="382">
        <f t="shared" ref="Q11:Q33" si="0">AVERAGE(E11:P11)</f>
        <v>97.3</v>
      </c>
      <c r="R11" s="382" t="str">
        <f t="shared" ref="R11:R74" si="1">IF(Q11&lt;5,"SI","NO")</f>
        <v>NO</v>
      </c>
      <c r="S11" s="382" t="str">
        <f>IF(Q11&lt;=5,"Sin Riesgo",IF(Q11 &lt;=14,"Bajo",IF(Q11&lt;=35,"Medio",IF(Q11&lt;=80,"Alto","Inviable Sanitariamente"))))</f>
        <v>Inviable Sanitariamente</v>
      </c>
      <c r="T11" s="11"/>
    </row>
    <row r="12" spans="1:23" s="181" customFormat="1" ht="32.1" customHeight="1" x14ac:dyDescent="0.2">
      <c r="A12" s="361" t="s">
        <v>3940</v>
      </c>
      <c r="B12" s="361" t="s">
        <v>2610</v>
      </c>
      <c r="C12" s="392" t="s">
        <v>2611</v>
      </c>
      <c r="D12" s="377">
        <v>50</v>
      </c>
      <c r="E12" s="405"/>
      <c r="F12" s="405"/>
      <c r="G12" s="405"/>
      <c r="H12" s="405"/>
      <c r="I12" s="405">
        <v>97.3</v>
      </c>
      <c r="J12" s="405"/>
      <c r="K12" s="405"/>
      <c r="L12" s="405"/>
      <c r="M12" s="405"/>
      <c r="N12" s="405"/>
      <c r="O12" s="405"/>
      <c r="P12" s="405"/>
      <c r="Q12" s="382">
        <f t="shared" si="0"/>
        <v>97.3</v>
      </c>
      <c r="R12" s="48" t="str">
        <f t="shared" si="1"/>
        <v>NO</v>
      </c>
      <c r="S12" s="382" t="str">
        <f t="shared" ref="S12:S75" si="2">IF(Q12&lt;=5,"Sin Riesgo",IF(Q12 &lt;=14,"Bajo",IF(Q12&lt;=35,"Medio",IF(Q12&lt;=80,"Alto","Inviable Sanitariamente"))))</f>
        <v>Inviable Sanitariamente</v>
      </c>
    </row>
    <row r="13" spans="1:23" s="181" customFormat="1" ht="32.1" customHeight="1" x14ac:dyDescent="0.2">
      <c r="A13" s="361" t="s">
        <v>3940</v>
      </c>
      <c r="B13" s="361" t="s">
        <v>1307</v>
      </c>
      <c r="C13" s="392" t="s">
        <v>2612</v>
      </c>
      <c r="D13" s="377">
        <v>24</v>
      </c>
      <c r="E13" s="405"/>
      <c r="F13" s="405"/>
      <c r="G13" s="405"/>
      <c r="H13" s="405"/>
      <c r="I13" s="405"/>
      <c r="J13" s="405"/>
      <c r="K13" s="405">
        <v>97.3</v>
      </c>
      <c r="L13" s="405"/>
      <c r="M13" s="405"/>
      <c r="N13" s="405"/>
      <c r="O13" s="405"/>
      <c r="P13" s="405"/>
      <c r="Q13" s="382">
        <f t="shared" si="0"/>
        <v>97.3</v>
      </c>
      <c r="R13" s="48" t="str">
        <f t="shared" si="1"/>
        <v>NO</v>
      </c>
      <c r="S13" s="382" t="str">
        <f t="shared" si="2"/>
        <v>Inviable Sanitariamente</v>
      </c>
    </row>
    <row r="14" spans="1:23" s="181" customFormat="1" ht="32.1" customHeight="1" x14ac:dyDescent="0.2">
      <c r="A14" s="361" t="s">
        <v>3940</v>
      </c>
      <c r="B14" s="361" t="s">
        <v>2613</v>
      </c>
      <c r="C14" s="392" t="s">
        <v>2614</v>
      </c>
      <c r="D14" s="377">
        <v>12</v>
      </c>
      <c r="E14" s="405"/>
      <c r="F14" s="405"/>
      <c r="G14" s="405"/>
      <c r="H14" s="405"/>
      <c r="I14" s="405"/>
      <c r="J14" s="405"/>
      <c r="K14" s="405"/>
      <c r="L14" s="405"/>
      <c r="M14" s="405">
        <v>97.3</v>
      </c>
      <c r="N14" s="405"/>
      <c r="O14" s="405"/>
      <c r="P14" s="405"/>
      <c r="Q14" s="382">
        <f t="shared" si="0"/>
        <v>97.3</v>
      </c>
      <c r="R14" s="48" t="str">
        <f t="shared" si="1"/>
        <v>NO</v>
      </c>
      <c r="S14" s="382" t="str">
        <f t="shared" si="2"/>
        <v>Inviable Sanitariamente</v>
      </c>
    </row>
    <row r="15" spans="1:23" s="181" customFormat="1" ht="32.1" customHeight="1" x14ac:dyDescent="0.2">
      <c r="A15" s="361" t="s">
        <v>3940</v>
      </c>
      <c r="B15" s="361" t="s">
        <v>2615</v>
      </c>
      <c r="C15" s="392" t="s">
        <v>2616</v>
      </c>
      <c r="D15" s="377">
        <v>39</v>
      </c>
      <c r="E15" s="405"/>
      <c r="F15" s="405"/>
      <c r="G15" s="405"/>
      <c r="H15" s="405"/>
      <c r="I15" s="405"/>
      <c r="J15" s="405"/>
      <c r="K15" s="405">
        <v>97.3</v>
      </c>
      <c r="L15" s="405"/>
      <c r="M15" s="405"/>
      <c r="N15" s="405"/>
      <c r="O15" s="405"/>
      <c r="P15" s="405"/>
      <c r="Q15" s="382">
        <f t="shared" si="0"/>
        <v>97.3</v>
      </c>
      <c r="R15" s="48" t="str">
        <f t="shared" si="1"/>
        <v>NO</v>
      </c>
      <c r="S15" s="382" t="str">
        <f t="shared" si="2"/>
        <v>Inviable Sanitariamente</v>
      </c>
    </row>
    <row r="16" spans="1:23" s="181" customFormat="1" ht="32.1" customHeight="1" x14ac:dyDescent="0.2">
      <c r="A16" s="361" t="s">
        <v>3940</v>
      </c>
      <c r="B16" s="361" t="s">
        <v>2617</v>
      </c>
      <c r="C16" s="392" t="s">
        <v>2618</v>
      </c>
      <c r="D16" s="377">
        <v>31</v>
      </c>
      <c r="E16" s="405"/>
      <c r="F16" s="405"/>
      <c r="G16" s="405"/>
      <c r="H16" s="405"/>
      <c r="I16" s="405"/>
      <c r="J16" s="405">
        <v>97.3</v>
      </c>
      <c r="K16" s="405"/>
      <c r="L16" s="405"/>
      <c r="M16" s="405"/>
      <c r="N16" s="405"/>
      <c r="O16" s="405"/>
      <c r="P16" s="405"/>
      <c r="Q16" s="382">
        <f t="shared" si="0"/>
        <v>97.3</v>
      </c>
      <c r="R16" s="48" t="str">
        <f t="shared" si="1"/>
        <v>NO</v>
      </c>
      <c r="S16" s="382" t="str">
        <f t="shared" si="2"/>
        <v>Inviable Sanitariamente</v>
      </c>
    </row>
    <row r="17" spans="1:19" s="181" customFormat="1" ht="32.1" customHeight="1" x14ac:dyDescent="0.2">
      <c r="A17" s="361" t="s">
        <v>3940</v>
      </c>
      <c r="B17" s="361" t="s">
        <v>1047</v>
      </c>
      <c r="C17" s="392" t="s">
        <v>2619</v>
      </c>
      <c r="D17" s="377">
        <v>15</v>
      </c>
      <c r="E17" s="405"/>
      <c r="F17" s="405"/>
      <c r="G17" s="405"/>
      <c r="H17" s="405">
        <v>97.3</v>
      </c>
      <c r="I17" s="405"/>
      <c r="J17" s="405"/>
      <c r="K17" s="405"/>
      <c r="L17" s="405"/>
      <c r="M17" s="405"/>
      <c r="N17" s="405"/>
      <c r="O17" s="405"/>
      <c r="P17" s="405"/>
      <c r="Q17" s="382">
        <f t="shared" si="0"/>
        <v>97.3</v>
      </c>
      <c r="R17" s="48" t="str">
        <f t="shared" si="1"/>
        <v>NO</v>
      </c>
      <c r="S17" s="382" t="str">
        <f t="shared" si="2"/>
        <v>Inviable Sanitariamente</v>
      </c>
    </row>
    <row r="18" spans="1:19" s="181" customFormat="1" ht="32.1" customHeight="1" x14ac:dyDescent="0.2">
      <c r="A18" s="361" t="s">
        <v>3941</v>
      </c>
      <c r="B18" s="361" t="s">
        <v>2620</v>
      </c>
      <c r="C18" s="392" t="s">
        <v>2621</v>
      </c>
      <c r="D18" s="364">
        <v>70</v>
      </c>
      <c r="E18" s="405"/>
      <c r="F18" s="405"/>
      <c r="G18" s="405">
        <v>97</v>
      </c>
      <c r="H18" s="405"/>
      <c r="I18" s="405"/>
      <c r="J18" s="405"/>
      <c r="K18" s="405"/>
      <c r="L18" s="405"/>
      <c r="M18" s="405"/>
      <c r="N18" s="405"/>
      <c r="O18" s="405"/>
      <c r="P18" s="405"/>
      <c r="Q18" s="382">
        <f t="shared" si="0"/>
        <v>97</v>
      </c>
      <c r="R18" s="48" t="str">
        <f t="shared" si="1"/>
        <v>NO</v>
      </c>
      <c r="S18" s="382" t="str">
        <f t="shared" si="2"/>
        <v>Inviable Sanitariamente</v>
      </c>
    </row>
    <row r="19" spans="1:19" s="181" customFormat="1" ht="32.1" customHeight="1" x14ac:dyDescent="0.2">
      <c r="A19" s="361" t="s">
        <v>3941</v>
      </c>
      <c r="B19" s="361" t="s">
        <v>236</v>
      </c>
      <c r="C19" s="406" t="s">
        <v>2622</v>
      </c>
      <c r="D19" s="364">
        <v>121</v>
      </c>
      <c r="E19" s="405"/>
      <c r="F19" s="405"/>
      <c r="G19" s="405"/>
      <c r="H19" s="405">
        <v>97</v>
      </c>
      <c r="I19" s="405"/>
      <c r="J19" s="405"/>
      <c r="K19" s="405"/>
      <c r="L19" s="405"/>
      <c r="M19" s="405"/>
      <c r="N19" s="405"/>
      <c r="O19" s="405"/>
      <c r="P19" s="405"/>
      <c r="Q19" s="382">
        <f t="shared" si="0"/>
        <v>97</v>
      </c>
      <c r="R19" s="48" t="str">
        <f t="shared" si="1"/>
        <v>NO</v>
      </c>
      <c r="S19" s="382" t="str">
        <f t="shared" si="2"/>
        <v>Inviable Sanitariamente</v>
      </c>
    </row>
    <row r="20" spans="1:19" s="181" customFormat="1" ht="32.1" customHeight="1" x14ac:dyDescent="0.2">
      <c r="A20" s="361" t="s">
        <v>3941</v>
      </c>
      <c r="B20" s="361" t="s">
        <v>2623</v>
      </c>
      <c r="C20" s="361" t="s">
        <v>2624</v>
      </c>
      <c r="D20" s="364">
        <v>49</v>
      </c>
      <c r="E20" s="405"/>
      <c r="F20" s="405"/>
      <c r="G20" s="405">
        <v>97</v>
      </c>
      <c r="H20" s="405"/>
      <c r="I20" s="405"/>
      <c r="J20" s="405"/>
      <c r="K20" s="405"/>
      <c r="L20" s="405"/>
      <c r="M20" s="405"/>
      <c r="N20" s="405"/>
      <c r="O20" s="405"/>
      <c r="P20" s="405"/>
      <c r="Q20" s="382">
        <f t="shared" si="0"/>
        <v>97</v>
      </c>
      <c r="R20" s="48" t="str">
        <f t="shared" si="1"/>
        <v>NO</v>
      </c>
      <c r="S20" s="382" t="str">
        <f t="shared" si="2"/>
        <v>Inviable Sanitariamente</v>
      </c>
    </row>
    <row r="21" spans="1:19" s="181" customFormat="1" ht="32.1" customHeight="1" x14ac:dyDescent="0.2">
      <c r="A21" s="361" t="s">
        <v>3941</v>
      </c>
      <c r="B21" s="361" t="s">
        <v>2625</v>
      </c>
      <c r="C21" s="361" t="s">
        <v>2626</v>
      </c>
      <c r="D21" s="364">
        <v>285</v>
      </c>
      <c r="E21" s="405"/>
      <c r="F21" s="405">
        <v>0</v>
      </c>
      <c r="G21" s="405">
        <v>0</v>
      </c>
      <c r="H21" s="405">
        <v>0</v>
      </c>
      <c r="I21" s="405">
        <v>0</v>
      </c>
      <c r="J21" s="405"/>
      <c r="K21" s="405"/>
      <c r="L21" s="405"/>
      <c r="M21" s="405"/>
      <c r="N21" s="405"/>
      <c r="O21" s="405"/>
      <c r="P21" s="405"/>
      <c r="Q21" s="382">
        <f t="shared" si="0"/>
        <v>0</v>
      </c>
      <c r="R21" s="48" t="str">
        <f t="shared" si="1"/>
        <v>SI</v>
      </c>
      <c r="S21" s="382" t="str">
        <f t="shared" si="2"/>
        <v>Sin Riesgo</v>
      </c>
    </row>
    <row r="22" spans="1:19" s="181" customFormat="1" ht="32.1" customHeight="1" x14ac:dyDescent="0.2">
      <c r="A22" s="361" t="s">
        <v>3941</v>
      </c>
      <c r="B22" s="361" t="s">
        <v>2627</v>
      </c>
      <c r="C22" s="361" t="s">
        <v>2628</v>
      </c>
      <c r="D22" s="364">
        <v>48</v>
      </c>
      <c r="E22" s="405"/>
      <c r="F22" s="405"/>
      <c r="G22" s="405"/>
      <c r="H22" s="405">
        <v>97</v>
      </c>
      <c r="I22" s="405"/>
      <c r="J22" s="405"/>
      <c r="K22" s="405"/>
      <c r="L22" s="405"/>
      <c r="M22" s="405"/>
      <c r="N22" s="405"/>
      <c r="O22" s="405"/>
      <c r="P22" s="405"/>
      <c r="Q22" s="382">
        <f t="shared" si="0"/>
        <v>97</v>
      </c>
      <c r="R22" s="48" t="str">
        <f t="shared" si="1"/>
        <v>NO</v>
      </c>
      <c r="S22" s="382" t="str">
        <f t="shared" si="2"/>
        <v>Inviable Sanitariamente</v>
      </c>
    </row>
    <row r="23" spans="1:19" s="181" customFormat="1" ht="32.1" customHeight="1" x14ac:dyDescent="0.2">
      <c r="A23" s="361" t="s">
        <v>3941</v>
      </c>
      <c r="B23" s="361" t="s">
        <v>2629</v>
      </c>
      <c r="C23" s="361" t="s">
        <v>2630</v>
      </c>
      <c r="D23" s="364">
        <v>72</v>
      </c>
      <c r="E23" s="405"/>
      <c r="F23" s="405">
        <v>97</v>
      </c>
      <c r="G23" s="405"/>
      <c r="H23" s="405"/>
      <c r="I23" s="405"/>
      <c r="J23" s="405"/>
      <c r="K23" s="405"/>
      <c r="L23" s="405"/>
      <c r="M23" s="405"/>
      <c r="N23" s="405"/>
      <c r="O23" s="405"/>
      <c r="P23" s="405"/>
      <c r="Q23" s="382">
        <f t="shared" si="0"/>
        <v>97</v>
      </c>
      <c r="R23" s="48" t="str">
        <f t="shared" si="1"/>
        <v>NO</v>
      </c>
      <c r="S23" s="382" t="str">
        <f t="shared" si="2"/>
        <v>Inviable Sanitariamente</v>
      </c>
    </row>
    <row r="24" spans="1:19" s="181" customFormat="1" ht="32.1" customHeight="1" x14ac:dyDescent="0.2">
      <c r="A24" s="361" t="s">
        <v>3941</v>
      </c>
      <c r="B24" s="361" t="s">
        <v>2631</v>
      </c>
      <c r="C24" s="361" t="s">
        <v>2632</v>
      </c>
      <c r="D24" s="364">
        <v>52</v>
      </c>
      <c r="E24" s="405"/>
      <c r="F24" s="405"/>
      <c r="G24" s="405"/>
      <c r="H24" s="405">
        <v>97</v>
      </c>
      <c r="I24" s="405"/>
      <c r="J24" s="405"/>
      <c r="K24" s="405"/>
      <c r="L24" s="405"/>
      <c r="M24" s="405"/>
      <c r="N24" s="405"/>
      <c r="O24" s="405"/>
      <c r="P24" s="405"/>
      <c r="Q24" s="382">
        <f t="shared" si="0"/>
        <v>97</v>
      </c>
      <c r="R24" s="48" t="str">
        <f t="shared" si="1"/>
        <v>NO</v>
      </c>
      <c r="S24" s="382" t="str">
        <f t="shared" si="2"/>
        <v>Inviable Sanitariamente</v>
      </c>
    </row>
    <row r="25" spans="1:19" s="181" customFormat="1" ht="32.1" customHeight="1" x14ac:dyDescent="0.2">
      <c r="A25" s="361" t="s">
        <v>3941</v>
      </c>
      <c r="B25" s="361" t="s">
        <v>2633</v>
      </c>
      <c r="C25" s="361" t="s">
        <v>2634</v>
      </c>
      <c r="D25" s="364">
        <v>137</v>
      </c>
      <c r="E25" s="405"/>
      <c r="F25" s="405"/>
      <c r="G25" s="405"/>
      <c r="H25" s="405"/>
      <c r="I25" s="405">
        <v>97</v>
      </c>
      <c r="J25" s="405"/>
      <c r="K25" s="405"/>
      <c r="L25" s="405"/>
      <c r="M25" s="405"/>
      <c r="N25" s="405"/>
      <c r="O25" s="405"/>
      <c r="P25" s="405"/>
      <c r="Q25" s="382">
        <f t="shared" si="0"/>
        <v>97</v>
      </c>
      <c r="R25" s="48" t="str">
        <f t="shared" si="1"/>
        <v>NO</v>
      </c>
      <c r="S25" s="382" t="str">
        <f t="shared" si="2"/>
        <v>Inviable Sanitariamente</v>
      </c>
    </row>
    <row r="26" spans="1:19" s="181" customFormat="1" ht="32.1" customHeight="1" x14ac:dyDescent="0.2">
      <c r="A26" s="361" t="s">
        <v>3941</v>
      </c>
      <c r="B26" s="361" t="s">
        <v>1760</v>
      </c>
      <c r="C26" s="361" t="s">
        <v>2635</v>
      </c>
      <c r="D26" s="364">
        <v>50</v>
      </c>
      <c r="E26" s="405"/>
      <c r="F26" s="405">
        <v>97</v>
      </c>
      <c r="G26" s="405"/>
      <c r="H26" s="405"/>
      <c r="I26" s="405"/>
      <c r="J26" s="405"/>
      <c r="K26" s="405"/>
      <c r="L26" s="405"/>
      <c r="M26" s="405"/>
      <c r="N26" s="405"/>
      <c r="O26" s="405"/>
      <c r="P26" s="405"/>
      <c r="Q26" s="382">
        <f t="shared" si="0"/>
        <v>97</v>
      </c>
      <c r="R26" s="48" t="str">
        <f t="shared" si="1"/>
        <v>NO</v>
      </c>
      <c r="S26" s="382" t="str">
        <f t="shared" si="2"/>
        <v>Inviable Sanitariamente</v>
      </c>
    </row>
    <row r="27" spans="1:19" s="181" customFormat="1" ht="32.1" customHeight="1" x14ac:dyDescent="0.2">
      <c r="A27" s="361" t="s">
        <v>3941</v>
      </c>
      <c r="B27" s="361" t="s">
        <v>2636</v>
      </c>
      <c r="C27" s="361" t="s">
        <v>2637</v>
      </c>
      <c r="D27" s="364">
        <v>78</v>
      </c>
      <c r="E27" s="405"/>
      <c r="F27" s="405"/>
      <c r="G27" s="405">
        <v>97</v>
      </c>
      <c r="H27" s="405"/>
      <c r="I27" s="405"/>
      <c r="J27" s="405"/>
      <c r="K27" s="405"/>
      <c r="L27" s="405"/>
      <c r="M27" s="405"/>
      <c r="N27" s="405"/>
      <c r="O27" s="405"/>
      <c r="P27" s="405"/>
      <c r="Q27" s="382">
        <f t="shared" si="0"/>
        <v>97</v>
      </c>
      <c r="R27" s="48" t="str">
        <f t="shared" si="1"/>
        <v>NO</v>
      </c>
      <c r="S27" s="382" t="str">
        <f t="shared" si="2"/>
        <v>Inviable Sanitariamente</v>
      </c>
    </row>
    <row r="28" spans="1:19" s="181" customFormat="1" ht="32.1" customHeight="1" x14ac:dyDescent="0.2">
      <c r="A28" s="361" t="s">
        <v>3941</v>
      </c>
      <c r="B28" s="361" t="s">
        <v>89</v>
      </c>
      <c r="C28" s="361" t="s">
        <v>2638</v>
      </c>
      <c r="D28" s="364"/>
      <c r="E28" s="405"/>
      <c r="F28" s="405"/>
      <c r="G28" s="405"/>
      <c r="H28" s="405"/>
      <c r="I28" s="405"/>
      <c r="J28" s="405"/>
      <c r="K28" s="405"/>
      <c r="L28" s="405"/>
      <c r="M28" s="405"/>
      <c r="N28" s="405"/>
      <c r="O28" s="405"/>
      <c r="P28" s="405"/>
      <c r="Q28" s="382" t="e">
        <f t="shared" si="0"/>
        <v>#DIV/0!</v>
      </c>
      <c r="R28" s="48" t="e">
        <f t="shared" si="1"/>
        <v>#DIV/0!</v>
      </c>
      <c r="S28" s="382" t="e">
        <f t="shared" si="2"/>
        <v>#DIV/0!</v>
      </c>
    </row>
    <row r="29" spans="1:19" s="181" customFormat="1" ht="32.1" customHeight="1" x14ac:dyDescent="0.2">
      <c r="A29" s="361" t="s">
        <v>3941</v>
      </c>
      <c r="B29" s="361" t="s">
        <v>10</v>
      </c>
      <c r="C29" s="361" t="s">
        <v>2639</v>
      </c>
      <c r="D29" s="364">
        <v>75</v>
      </c>
      <c r="E29" s="405"/>
      <c r="F29" s="405">
        <v>97</v>
      </c>
      <c r="G29" s="405"/>
      <c r="H29" s="405"/>
      <c r="I29" s="405"/>
      <c r="J29" s="405"/>
      <c r="K29" s="405"/>
      <c r="L29" s="405"/>
      <c r="M29" s="405"/>
      <c r="N29" s="405"/>
      <c r="O29" s="405"/>
      <c r="P29" s="405"/>
      <c r="Q29" s="382">
        <f t="shared" si="0"/>
        <v>97</v>
      </c>
      <c r="R29" s="48" t="str">
        <f t="shared" si="1"/>
        <v>NO</v>
      </c>
      <c r="S29" s="382" t="str">
        <f t="shared" si="2"/>
        <v>Inviable Sanitariamente</v>
      </c>
    </row>
    <row r="30" spans="1:19" s="181" customFormat="1" ht="32.1" customHeight="1" x14ac:dyDescent="0.2">
      <c r="A30" s="361" t="s">
        <v>3941</v>
      </c>
      <c r="B30" s="361" t="s">
        <v>2426</v>
      </c>
      <c r="C30" s="361" t="s">
        <v>2640</v>
      </c>
      <c r="D30" s="364">
        <v>28</v>
      </c>
      <c r="E30" s="405"/>
      <c r="F30" s="405"/>
      <c r="G30" s="405"/>
      <c r="H30" s="405"/>
      <c r="I30" s="405">
        <v>97</v>
      </c>
      <c r="J30" s="405"/>
      <c r="K30" s="405"/>
      <c r="L30" s="405"/>
      <c r="M30" s="405"/>
      <c r="N30" s="405"/>
      <c r="O30" s="405"/>
      <c r="P30" s="405"/>
      <c r="Q30" s="382">
        <f t="shared" si="0"/>
        <v>97</v>
      </c>
      <c r="R30" s="48" t="str">
        <f t="shared" si="1"/>
        <v>NO</v>
      </c>
      <c r="S30" s="382" t="str">
        <f t="shared" si="2"/>
        <v>Inviable Sanitariamente</v>
      </c>
    </row>
    <row r="31" spans="1:19" s="181" customFormat="1" ht="32.1" customHeight="1" x14ac:dyDescent="0.2">
      <c r="A31" s="361" t="s">
        <v>3941</v>
      </c>
      <c r="B31" s="361" t="s">
        <v>2111</v>
      </c>
      <c r="C31" s="361" t="s">
        <v>2641</v>
      </c>
      <c r="D31" s="364">
        <v>98</v>
      </c>
      <c r="E31" s="405"/>
      <c r="F31" s="405">
        <v>97</v>
      </c>
      <c r="G31" s="405"/>
      <c r="H31" s="405"/>
      <c r="I31" s="405"/>
      <c r="J31" s="405"/>
      <c r="K31" s="405"/>
      <c r="L31" s="405"/>
      <c r="M31" s="405"/>
      <c r="N31" s="405"/>
      <c r="O31" s="405"/>
      <c r="P31" s="405"/>
      <c r="Q31" s="382">
        <f t="shared" si="0"/>
        <v>97</v>
      </c>
      <c r="R31" s="48" t="str">
        <f t="shared" si="1"/>
        <v>NO</v>
      </c>
      <c r="S31" s="382" t="str">
        <f t="shared" si="2"/>
        <v>Inviable Sanitariamente</v>
      </c>
    </row>
    <row r="32" spans="1:19" s="181" customFormat="1" ht="32.1" customHeight="1" x14ac:dyDescent="0.2">
      <c r="A32" s="361" t="s">
        <v>3941</v>
      </c>
      <c r="B32" s="361" t="s">
        <v>2642</v>
      </c>
      <c r="C32" s="361" t="s">
        <v>2643</v>
      </c>
      <c r="D32" s="364">
        <v>46</v>
      </c>
      <c r="E32" s="405"/>
      <c r="F32" s="405"/>
      <c r="G32" s="405"/>
      <c r="H32" s="405"/>
      <c r="I32" s="405">
        <v>97</v>
      </c>
      <c r="J32" s="405"/>
      <c r="K32" s="405"/>
      <c r="L32" s="405"/>
      <c r="M32" s="405"/>
      <c r="N32" s="405"/>
      <c r="O32" s="405"/>
      <c r="P32" s="405"/>
      <c r="Q32" s="382">
        <f t="shared" si="0"/>
        <v>97</v>
      </c>
      <c r="R32" s="48" t="str">
        <f t="shared" si="1"/>
        <v>NO</v>
      </c>
      <c r="S32" s="382" t="str">
        <f t="shared" si="2"/>
        <v>Inviable Sanitariamente</v>
      </c>
    </row>
    <row r="33" spans="1:19" s="181" customFormat="1" ht="32.1" customHeight="1" x14ac:dyDescent="0.2">
      <c r="A33" s="361" t="s">
        <v>3941</v>
      </c>
      <c r="B33" s="361" t="s">
        <v>1778</v>
      </c>
      <c r="C33" s="361" t="s">
        <v>2644</v>
      </c>
      <c r="D33" s="364"/>
      <c r="E33" s="405"/>
      <c r="F33" s="405"/>
      <c r="G33" s="405"/>
      <c r="H33" s="405"/>
      <c r="I33" s="405"/>
      <c r="J33" s="405"/>
      <c r="K33" s="405"/>
      <c r="L33" s="405"/>
      <c r="M33" s="405"/>
      <c r="N33" s="405"/>
      <c r="O33" s="405"/>
      <c r="P33" s="405"/>
      <c r="Q33" s="382" t="e">
        <f t="shared" si="0"/>
        <v>#DIV/0!</v>
      </c>
      <c r="R33" s="48" t="e">
        <f t="shared" si="1"/>
        <v>#DIV/0!</v>
      </c>
      <c r="S33" s="382" t="e">
        <f t="shared" si="2"/>
        <v>#DIV/0!</v>
      </c>
    </row>
    <row r="34" spans="1:19" s="181" customFormat="1" ht="32.1" customHeight="1" x14ac:dyDescent="0.2">
      <c r="A34" s="361" t="s">
        <v>3941</v>
      </c>
      <c r="B34" s="361" t="s">
        <v>2645</v>
      </c>
      <c r="C34" s="361" t="s">
        <v>2646</v>
      </c>
      <c r="D34" s="364">
        <v>113</v>
      </c>
      <c r="E34" s="405"/>
      <c r="F34" s="405"/>
      <c r="G34" s="405">
        <v>97</v>
      </c>
      <c r="H34" s="405"/>
      <c r="I34" s="405"/>
      <c r="J34" s="405"/>
      <c r="K34" s="405"/>
      <c r="L34" s="405"/>
      <c r="M34" s="405"/>
      <c r="N34" s="405"/>
      <c r="O34" s="405"/>
      <c r="P34" s="405"/>
      <c r="Q34" s="382">
        <f>AVERAGE(F34:P34)</f>
        <v>97</v>
      </c>
      <c r="R34" s="48" t="str">
        <f t="shared" si="1"/>
        <v>NO</v>
      </c>
      <c r="S34" s="382" t="str">
        <f t="shared" si="2"/>
        <v>Inviable Sanitariamente</v>
      </c>
    </row>
    <row r="35" spans="1:19" s="181" customFormat="1" ht="32.1" customHeight="1" x14ac:dyDescent="0.2">
      <c r="A35" s="361" t="s">
        <v>3941</v>
      </c>
      <c r="B35" s="361" t="s">
        <v>2647</v>
      </c>
      <c r="C35" s="361" t="s">
        <v>2648</v>
      </c>
      <c r="D35" s="364">
        <v>70</v>
      </c>
      <c r="E35" s="405"/>
      <c r="F35" s="405">
        <v>97</v>
      </c>
      <c r="G35" s="405"/>
      <c r="H35" s="405"/>
      <c r="I35" s="405"/>
      <c r="J35" s="405"/>
      <c r="K35" s="405"/>
      <c r="L35" s="405"/>
      <c r="M35" s="405"/>
      <c r="N35" s="405"/>
      <c r="O35" s="405"/>
      <c r="P35" s="405"/>
      <c r="Q35" s="382">
        <f t="shared" ref="Q35:Q110" si="3">AVERAGE(E35:P35)</f>
        <v>97</v>
      </c>
      <c r="R35" s="48" t="str">
        <f t="shared" si="1"/>
        <v>NO</v>
      </c>
      <c r="S35" s="382" t="str">
        <f t="shared" si="2"/>
        <v>Inviable Sanitariamente</v>
      </c>
    </row>
    <row r="36" spans="1:19" s="181" customFormat="1" ht="32.1" customHeight="1" x14ac:dyDescent="0.2">
      <c r="A36" s="361" t="s">
        <v>86</v>
      </c>
      <c r="B36" s="362" t="s">
        <v>4433</v>
      </c>
      <c r="C36" s="362" t="s">
        <v>4434</v>
      </c>
      <c r="D36" s="364">
        <v>55</v>
      </c>
      <c r="E36" s="405"/>
      <c r="F36" s="405"/>
      <c r="G36" s="405"/>
      <c r="H36" s="405"/>
      <c r="I36" s="405"/>
      <c r="J36" s="405"/>
      <c r="K36" s="405"/>
      <c r="L36" s="405"/>
      <c r="M36" s="405"/>
      <c r="N36" s="405"/>
      <c r="O36" s="405"/>
      <c r="P36" s="405">
        <v>97.3</v>
      </c>
      <c r="Q36" s="382">
        <f t="shared" si="3"/>
        <v>97.3</v>
      </c>
      <c r="R36" s="382" t="str">
        <f t="shared" si="1"/>
        <v>NO</v>
      </c>
      <c r="S36" s="382" t="str">
        <f t="shared" si="2"/>
        <v>Inviable Sanitariamente</v>
      </c>
    </row>
    <row r="37" spans="1:19" s="181" customFormat="1" ht="32.1" customHeight="1" x14ac:dyDescent="0.2">
      <c r="A37" s="361" t="s">
        <v>86</v>
      </c>
      <c r="B37" s="362" t="s">
        <v>4435</v>
      </c>
      <c r="C37" s="362" t="s">
        <v>4436</v>
      </c>
      <c r="D37" s="364">
        <v>132</v>
      </c>
      <c r="E37" s="405"/>
      <c r="F37" s="405"/>
      <c r="G37" s="405"/>
      <c r="H37" s="405"/>
      <c r="I37" s="405"/>
      <c r="J37" s="405"/>
      <c r="K37" s="405"/>
      <c r="L37" s="405"/>
      <c r="M37" s="405"/>
      <c r="N37" s="405"/>
      <c r="O37" s="405"/>
      <c r="P37" s="405">
        <v>97.35</v>
      </c>
      <c r="Q37" s="382">
        <f t="shared" si="3"/>
        <v>97.35</v>
      </c>
      <c r="R37" s="382" t="str">
        <f t="shared" si="1"/>
        <v>NO</v>
      </c>
      <c r="S37" s="382" t="str">
        <f t="shared" si="2"/>
        <v>Inviable Sanitariamente</v>
      </c>
    </row>
    <row r="38" spans="1:19" s="181" customFormat="1" ht="32.1" customHeight="1" x14ac:dyDescent="0.2">
      <c r="A38" s="361" t="s">
        <v>86</v>
      </c>
      <c r="B38" s="362" t="s">
        <v>4437</v>
      </c>
      <c r="C38" s="362" t="s">
        <v>4438</v>
      </c>
      <c r="D38" s="364">
        <v>56</v>
      </c>
      <c r="E38" s="405"/>
      <c r="F38" s="405"/>
      <c r="G38" s="405"/>
      <c r="H38" s="405"/>
      <c r="I38" s="405"/>
      <c r="J38" s="405"/>
      <c r="K38" s="405"/>
      <c r="L38" s="405"/>
      <c r="M38" s="405"/>
      <c r="N38" s="405"/>
      <c r="O38" s="405"/>
      <c r="P38" s="405">
        <v>97.35</v>
      </c>
      <c r="Q38" s="382">
        <f t="shared" si="3"/>
        <v>97.35</v>
      </c>
      <c r="R38" s="382" t="str">
        <f t="shared" si="1"/>
        <v>NO</v>
      </c>
      <c r="S38" s="382" t="str">
        <f t="shared" si="2"/>
        <v>Inviable Sanitariamente</v>
      </c>
    </row>
    <row r="39" spans="1:19" s="181" customFormat="1" ht="32.1" customHeight="1" x14ac:dyDescent="0.2">
      <c r="A39" s="361" t="s">
        <v>86</v>
      </c>
      <c r="B39" s="362" t="s">
        <v>4439</v>
      </c>
      <c r="C39" s="362" t="s">
        <v>4440</v>
      </c>
      <c r="D39" s="364">
        <v>36</v>
      </c>
      <c r="E39" s="405"/>
      <c r="F39" s="405"/>
      <c r="G39" s="405"/>
      <c r="H39" s="405"/>
      <c r="I39" s="405"/>
      <c r="J39" s="405"/>
      <c r="K39" s="405"/>
      <c r="L39" s="405"/>
      <c r="M39" s="405"/>
      <c r="N39" s="405"/>
      <c r="O39" s="405"/>
      <c r="P39" s="405">
        <v>97.4</v>
      </c>
      <c r="Q39" s="382">
        <f t="shared" si="3"/>
        <v>97.4</v>
      </c>
      <c r="R39" s="382" t="str">
        <f t="shared" si="1"/>
        <v>NO</v>
      </c>
      <c r="S39" s="382" t="str">
        <f t="shared" si="2"/>
        <v>Inviable Sanitariamente</v>
      </c>
    </row>
    <row r="40" spans="1:19" s="181" customFormat="1" ht="32.1" customHeight="1" x14ac:dyDescent="0.2">
      <c r="A40" s="361" t="s">
        <v>2650</v>
      </c>
      <c r="B40" s="362" t="s">
        <v>2651</v>
      </c>
      <c r="C40" s="362" t="s">
        <v>2652</v>
      </c>
      <c r="D40" s="364">
        <v>75</v>
      </c>
      <c r="E40" s="405"/>
      <c r="F40" s="405"/>
      <c r="G40" s="405"/>
      <c r="H40" s="405"/>
      <c r="I40" s="405"/>
      <c r="J40" s="405"/>
      <c r="K40" s="405"/>
      <c r="L40" s="405"/>
      <c r="M40" s="405"/>
      <c r="N40" s="405">
        <v>53.1</v>
      </c>
      <c r="O40" s="405"/>
      <c r="P40" s="405"/>
      <c r="Q40" s="382">
        <f t="shared" si="3"/>
        <v>53.1</v>
      </c>
      <c r="R40" s="382" t="str">
        <f t="shared" si="1"/>
        <v>NO</v>
      </c>
      <c r="S40" s="382" t="str">
        <f t="shared" si="2"/>
        <v>Alto</v>
      </c>
    </row>
    <row r="41" spans="1:19" s="181" customFormat="1" ht="32.1" customHeight="1" x14ac:dyDescent="0.2">
      <c r="A41" s="361" t="s">
        <v>2650</v>
      </c>
      <c r="B41" s="362" t="s">
        <v>2653</v>
      </c>
      <c r="C41" s="362" t="s">
        <v>2654</v>
      </c>
      <c r="D41" s="364">
        <v>125</v>
      </c>
      <c r="E41" s="405"/>
      <c r="F41" s="405"/>
      <c r="G41" s="405"/>
      <c r="H41" s="405"/>
      <c r="I41" s="405"/>
      <c r="J41" s="405"/>
      <c r="K41" s="405"/>
      <c r="L41" s="405"/>
      <c r="M41" s="405"/>
      <c r="N41" s="405">
        <v>97.35</v>
      </c>
      <c r="O41" s="405"/>
      <c r="P41" s="405"/>
      <c r="Q41" s="382">
        <f t="shared" si="3"/>
        <v>97.35</v>
      </c>
      <c r="R41" s="382" t="str">
        <f t="shared" si="1"/>
        <v>NO</v>
      </c>
      <c r="S41" s="382" t="str">
        <f t="shared" si="2"/>
        <v>Inviable Sanitariamente</v>
      </c>
    </row>
    <row r="42" spans="1:19" s="181" customFormat="1" ht="32.1" customHeight="1" x14ac:dyDescent="0.2">
      <c r="A42" s="361" t="s">
        <v>2650</v>
      </c>
      <c r="B42" s="362" t="s">
        <v>2655</v>
      </c>
      <c r="C42" s="362" t="s">
        <v>2656</v>
      </c>
      <c r="D42" s="364">
        <v>70</v>
      </c>
      <c r="E42" s="405"/>
      <c r="F42" s="405"/>
      <c r="G42" s="405"/>
      <c r="H42" s="405"/>
      <c r="I42" s="405"/>
      <c r="J42" s="405"/>
      <c r="K42" s="405"/>
      <c r="L42" s="405">
        <v>97.3</v>
      </c>
      <c r="M42" s="405"/>
      <c r="N42" s="405"/>
      <c r="O42" s="405"/>
      <c r="P42" s="405"/>
      <c r="Q42" s="382">
        <f t="shared" si="3"/>
        <v>97.3</v>
      </c>
      <c r="R42" s="382" t="str">
        <f t="shared" si="1"/>
        <v>NO</v>
      </c>
      <c r="S42" s="382" t="str">
        <f t="shared" si="2"/>
        <v>Inviable Sanitariamente</v>
      </c>
    </row>
    <row r="43" spans="1:19" s="181" customFormat="1" ht="32.1" customHeight="1" x14ac:dyDescent="0.2">
      <c r="A43" s="361" t="s">
        <v>2650</v>
      </c>
      <c r="B43" s="362" t="s">
        <v>2657</v>
      </c>
      <c r="C43" s="362" t="s">
        <v>2658</v>
      </c>
      <c r="D43" s="364">
        <v>52</v>
      </c>
      <c r="E43" s="405"/>
      <c r="F43" s="405"/>
      <c r="G43" s="405"/>
      <c r="H43" s="405"/>
      <c r="I43" s="405"/>
      <c r="J43" s="405"/>
      <c r="K43" s="405">
        <v>97.35</v>
      </c>
      <c r="L43" s="405"/>
      <c r="M43" s="405"/>
      <c r="N43" s="405"/>
      <c r="O43" s="405"/>
      <c r="P43" s="405"/>
      <c r="Q43" s="382">
        <f t="shared" si="3"/>
        <v>97.35</v>
      </c>
      <c r="R43" s="382" t="str">
        <f t="shared" si="1"/>
        <v>NO</v>
      </c>
      <c r="S43" s="382" t="str">
        <f t="shared" si="2"/>
        <v>Inviable Sanitariamente</v>
      </c>
    </row>
    <row r="44" spans="1:19" s="181" customFormat="1" ht="32.1" customHeight="1" x14ac:dyDescent="0.2">
      <c r="A44" s="361" t="s">
        <v>2650</v>
      </c>
      <c r="B44" s="362" t="s">
        <v>2659</v>
      </c>
      <c r="C44" s="362" t="s">
        <v>2660</v>
      </c>
      <c r="D44" s="364">
        <v>42</v>
      </c>
      <c r="E44" s="405"/>
      <c r="F44" s="405">
        <v>97.35</v>
      </c>
      <c r="G44" s="405"/>
      <c r="H44" s="405"/>
      <c r="I44" s="405"/>
      <c r="J44" s="405"/>
      <c r="K44" s="405"/>
      <c r="L44" s="405"/>
      <c r="M44" s="405"/>
      <c r="N44" s="405"/>
      <c r="O44" s="405"/>
      <c r="P44" s="405"/>
      <c r="Q44" s="382">
        <f t="shared" si="3"/>
        <v>97.35</v>
      </c>
      <c r="R44" s="382" t="str">
        <f t="shared" si="1"/>
        <v>NO</v>
      </c>
      <c r="S44" s="382" t="str">
        <f t="shared" si="2"/>
        <v>Inviable Sanitariamente</v>
      </c>
    </row>
    <row r="45" spans="1:19" s="181" customFormat="1" ht="32.1" customHeight="1" x14ac:dyDescent="0.2">
      <c r="A45" s="361" t="s">
        <v>2650</v>
      </c>
      <c r="B45" s="362" t="s">
        <v>2661</v>
      </c>
      <c r="C45" s="362" t="s">
        <v>2662</v>
      </c>
      <c r="D45" s="364">
        <v>7</v>
      </c>
      <c r="E45" s="405"/>
      <c r="F45" s="405"/>
      <c r="G45" s="405"/>
      <c r="H45" s="405"/>
      <c r="I45" s="405"/>
      <c r="J45" s="405"/>
      <c r="K45" s="405"/>
      <c r="L45" s="405"/>
      <c r="M45" s="405">
        <v>97.3</v>
      </c>
      <c r="N45" s="405"/>
      <c r="O45" s="405"/>
      <c r="P45" s="405"/>
      <c r="Q45" s="382">
        <f t="shared" si="3"/>
        <v>97.3</v>
      </c>
      <c r="R45" s="382" t="str">
        <f t="shared" si="1"/>
        <v>NO</v>
      </c>
      <c r="S45" s="382" t="str">
        <f t="shared" si="2"/>
        <v>Inviable Sanitariamente</v>
      </c>
    </row>
    <row r="46" spans="1:19" s="181" customFormat="1" ht="32.1" customHeight="1" x14ac:dyDescent="0.2">
      <c r="A46" s="361" t="s">
        <v>2650</v>
      </c>
      <c r="B46" s="362" t="s">
        <v>1040</v>
      </c>
      <c r="C46" s="362" t="s">
        <v>2663</v>
      </c>
      <c r="D46" s="364"/>
      <c r="E46" s="405"/>
      <c r="F46" s="405"/>
      <c r="G46" s="405"/>
      <c r="H46" s="405"/>
      <c r="I46" s="405"/>
      <c r="J46" s="405"/>
      <c r="K46" s="405"/>
      <c r="L46" s="405"/>
      <c r="M46" s="405"/>
      <c r="N46" s="405"/>
      <c r="O46" s="405"/>
      <c r="P46" s="405"/>
      <c r="Q46" s="382" t="e">
        <f t="shared" si="3"/>
        <v>#DIV/0!</v>
      </c>
      <c r="R46" s="382" t="e">
        <f t="shared" si="1"/>
        <v>#DIV/0!</v>
      </c>
      <c r="S46" s="382" t="e">
        <f t="shared" si="2"/>
        <v>#DIV/0!</v>
      </c>
    </row>
    <row r="47" spans="1:19" s="181" customFormat="1" ht="32.1" customHeight="1" x14ac:dyDescent="0.2">
      <c r="A47" s="361" t="s">
        <v>2650</v>
      </c>
      <c r="B47" s="362" t="s">
        <v>2664</v>
      </c>
      <c r="C47" s="362" t="s">
        <v>2665</v>
      </c>
      <c r="D47" s="364">
        <v>73</v>
      </c>
      <c r="E47" s="405"/>
      <c r="F47" s="405"/>
      <c r="G47" s="405"/>
      <c r="H47" s="405"/>
      <c r="I47" s="405"/>
      <c r="J47" s="405"/>
      <c r="K47" s="405"/>
      <c r="L47" s="405"/>
      <c r="M47" s="405"/>
      <c r="N47" s="405"/>
      <c r="O47" s="405">
        <v>97.4</v>
      </c>
      <c r="P47" s="405"/>
      <c r="Q47" s="382">
        <f t="shared" si="3"/>
        <v>97.4</v>
      </c>
      <c r="R47" s="382" t="str">
        <f t="shared" si="1"/>
        <v>NO</v>
      </c>
      <c r="S47" s="382" t="str">
        <f t="shared" si="2"/>
        <v>Inviable Sanitariamente</v>
      </c>
    </row>
    <row r="48" spans="1:19" s="181" customFormat="1" ht="32.1" customHeight="1" x14ac:dyDescent="0.2">
      <c r="A48" s="361" t="s">
        <v>2650</v>
      </c>
      <c r="B48" s="362" t="s">
        <v>2666</v>
      </c>
      <c r="C48" s="362" t="s">
        <v>2667</v>
      </c>
      <c r="D48" s="364">
        <v>47</v>
      </c>
      <c r="E48" s="405"/>
      <c r="F48" s="405"/>
      <c r="G48" s="405"/>
      <c r="H48" s="405">
        <v>97.35</v>
      </c>
      <c r="I48" s="405"/>
      <c r="J48" s="405"/>
      <c r="K48" s="405"/>
      <c r="L48" s="405"/>
      <c r="M48" s="405"/>
      <c r="N48" s="405"/>
      <c r="O48" s="405"/>
      <c r="P48" s="405"/>
      <c r="Q48" s="382">
        <f t="shared" si="3"/>
        <v>97.35</v>
      </c>
      <c r="R48" s="382" t="str">
        <f t="shared" si="1"/>
        <v>NO</v>
      </c>
      <c r="S48" s="382" t="str">
        <f t="shared" si="2"/>
        <v>Inviable Sanitariamente</v>
      </c>
    </row>
    <row r="49" spans="1:19" s="181" customFormat="1" ht="32.1" customHeight="1" x14ac:dyDescent="0.2">
      <c r="A49" s="361" t="s">
        <v>2650</v>
      </c>
      <c r="B49" s="362" t="s">
        <v>2668</v>
      </c>
      <c r="C49" s="362" t="s">
        <v>2669</v>
      </c>
      <c r="D49" s="364">
        <v>20</v>
      </c>
      <c r="E49" s="405"/>
      <c r="F49" s="405"/>
      <c r="G49" s="405">
        <v>97.35</v>
      </c>
      <c r="H49" s="405"/>
      <c r="I49" s="405"/>
      <c r="J49" s="405"/>
      <c r="K49" s="405"/>
      <c r="L49" s="405"/>
      <c r="M49" s="405"/>
      <c r="N49" s="405"/>
      <c r="O49" s="405"/>
      <c r="P49" s="405"/>
      <c r="Q49" s="382">
        <f t="shared" si="3"/>
        <v>97.35</v>
      </c>
      <c r="R49" s="382" t="str">
        <f t="shared" si="1"/>
        <v>NO</v>
      </c>
      <c r="S49" s="382" t="str">
        <f t="shared" si="2"/>
        <v>Inviable Sanitariamente</v>
      </c>
    </row>
    <row r="50" spans="1:19" s="181" customFormat="1" ht="32.1" customHeight="1" x14ac:dyDescent="0.2">
      <c r="A50" s="361" t="s">
        <v>2650</v>
      </c>
      <c r="B50" s="362" t="s">
        <v>2670</v>
      </c>
      <c r="C50" s="362" t="s">
        <v>2671</v>
      </c>
      <c r="D50" s="364">
        <v>27</v>
      </c>
      <c r="E50" s="405">
        <v>97.3</v>
      </c>
      <c r="F50" s="405"/>
      <c r="G50" s="405"/>
      <c r="H50" s="405"/>
      <c r="I50" s="405"/>
      <c r="J50" s="405"/>
      <c r="K50" s="405"/>
      <c r="L50" s="405"/>
      <c r="M50" s="405"/>
      <c r="N50" s="405"/>
      <c r="O50" s="405"/>
      <c r="P50" s="405"/>
      <c r="Q50" s="382">
        <f t="shared" si="3"/>
        <v>97.3</v>
      </c>
      <c r="R50" s="382" t="str">
        <f t="shared" si="1"/>
        <v>NO</v>
      </c>
      <c r="S50" s="382" t="str">
        <f t="shared" si="2"/>
        <v>Inviable Sanitariamente</v>
      </c>
    </row>
    <row r="51" spans="1:19" s="181" customFormat="1" ht="32.1" customHeight="1" x14ac:dyDescent="0.2">
      <c r="A51" s="361" t="s">
        <v>2650</v>
      </c>
      <c r="B51" s="362" t="s">
        <v>2672</v>
      </c>
      <c r="C51" s="362" t="s">
        <v>2673</v>
      </c>
      <c r="D51" s="364">
        <v>58</v>
      </c>
      <c r="E51" s="405">
        <v>97.3</v>
      </c>
      <c r="F51" s="405"/>
      <c r="G51" s="405"/>
      <c r="H51" s="405"/>
      <c r="I51" s="405"/>
      <c r="J51" s="405"/>
      <c r="K51" s="405"/>
      <c r="L51" s="405"/>
      <c r="M51" s="405"/>
      <c r="N51" s="405"/>
      <c r="O51" s="405"/>
      <c r="P51" s="405"/>
      <c r="Q51" s="382">
        <f t="shared" si="3"/>
        <v>97.3</v>
      </c>
      <c r="R51" s="382" t="str">
        <f t="shared" si="1"/>
        <v>NO</v>
      </c>
      <c r="S51" s="382" t="str">
        <f t="shared" si="2"/>
        <v>Inviable Sanitariamente</v>
      </c>
    </row>
    <row r="52" spans="1:19" s="181" customFormat="1" ht="32.1" customHeight="1" x14ac:dyDescent="0.2">
      <c r="A52" s="361" t="s">
        <v>2650</v>
      </c>
      <c r="B52" s="362" t="s">
        <v>1439</v>
      </c>
      <c r="C52" s="362" t="s">
        <v>2674</v>
      </c>
      <c r="D52" s="364">
        <v>27</v>
      </c>
      <c r="E52" s="405">
        <v>97.3</v>
      </c>
      <c r="F52" s="405"/>
      <c r="G52" s="405"/>
      <c r="H52" s="405"/>
      <c r="I52" s="405"/>
      <c r="J52" s="405"/>
      <c r="K52" s="405"/>
      <c r="L52" s="405"/>
      <c r="M52" s="405"/>
      <c r="N52" s="405"/>
      <c r="O52" s="405"/>
      <c r="P52" s="405"/>
      <c r="Q52" s="382">
        <f t="shared" si="3"/>
        <v>97.3</v>
      </c>
      <c r="R52" s="382" t="str">
        <f t="shared" si="1"/>
        <v>NO</v>
      </c>
      <c r="S52" s="382" t="str">
        <f t="shared" si="2"/>
        <v>Inviable Sanitariamente</v>
      </c>
    </row>
    <row r="53" spans="1:19" s="181" customFormat="1" ht="32.1" customHeight="1" x14ac:dyDescent="0.2">
      <c r="A53" s="361" t="s">
        <v>2650</v>
      </c>
      <c r="B53" s="362" t="s">
        <v>2675</v>
      </c>
      <c r="C53" s="362" t="s">
        <v>2676</v>
      </c>
      <c r="D53" s="364">
        <v>25</v>
      </c>
      <c r="E53" s="405"/>
      <c r="F53" s="405"/>
      <c r="G53" s="405">
        <v>97.35</v>
      </c>
      <c r="H53" s="405"/>
      <c r="I53" s="405"/>
      <c r="J53" s="405"/>
      <c r="K53" s="405"/>
      <c r="L53" s="405"/>
      <c r="M53" s="405"/>
      <c r="N53" s="405"/>
      <c r="O53" s="405"/>
      <c r="P53" s="405"/>
      <c r="Q53" s="382">
        <f t="shared" si="3"/>
        <v>97.35</v>
      </c>
      <c r="R53" s="382" t="str">
        <f t="shared" si="1"/>
        <v>NO</v>
      </c>
      <c r="S53" s="382" t="str">
        <f t="shared" si="2"/>
        <v>Inviable Sanitariamente</v>
      </c>
    </row>
    <row r="54" spans="1:19" s="181" customFormat="1" ht="32.1" customHeight="1" x14ac:dyDescent="0.2">
      <c r="A54" s="361" t="s">
        <v>2650</v>
      </c>
      <c r="B54" s="362" t="s">
        <v>2677</v>
      </c>
      <c r="C54" s="362" t="s">
        <v>2678</v>
      </c>
      <c r="D54" s="364">
        <v>22</v>
      </c>
      <c r="E54" s="405"/>
      <c r="F54" s="405"/>
      <c r="G54" s="405"/>
      <c r="H54" s="405"/>
      <c r="I54" s="405"/>
      <c r="J54" s="405"/>
      <c r="K54" s="405"/>
      <c r="L54" s="405"/>
      <c r="M54" s="405">
        <v>97.35</v>
      </c>
      <c r="N54" s="405"/>
      <c r="O54" s="405"/>
      <c r="P54" s="405"/>
      <c r="Q54" s="382">
        <f t="shared" si="3"/>
        <v>97.35</v>
      </c>
      <c r="R54" s="382" t="str">
        <f t="shared" si="1"/>
        <v>NO</v>
      </c>
      <c r="S54" s="382" t="str">
        <f t="shared" si="2"/>
        <v>Inviable Sanitariamente</v>
      </c>
    </row>
    <row r="55" spans="1:19" s="181" customFormat="1" ht="32.1" customHeight="1" x14ac:dyDescent="0.2">
      <c r="A55" s="361" t="s">
        <v>2650</v>
      </c>
      <c r="B55" s="362" t="s">
        <v>2679</v>
      </c>
      <c r="C55" s="362" t="s">
        <v>2680</v>
      </c>
      <c r="D55" s="364"/>
      <c r="E55" s="405"/>
      <c r="F55" s="405"/>
      <c r="G55" s="405"/>
      <c r="H55" s="405"/>
      <c r="I55" s="405"/>
      <c r="J55" s="405"/>
      <c r="K55" s="405"/>
      <c r="L55" s="405"/>
      <c r="M55" s="405"/>
      <c r="N55" s="405"/>
      <c r="O55" s="405"/>
      <c r="P55" s="405"/>
      <c r="Q55" s="382" t="e">
        <f t="shared" si="3"/>
        <v>#DIV/0!</v>
      </c>
      <c r="R55" s="382" t="e">
        <f t="shared" si="1"/>
        <v>#DIV/0!</v>
      </c>
      <c r="S55" s="382" t="e">
        <f t="shared" si="2"/>
        <v>#DIV/0!</v>
      </c>
    </row>
    <row r="56" spans="1:19" s="181" customFormat="1" ht="32.1" customHeight="1" x14ac:dyDescent="0.2">
      <c r="A56" s="361" t="s">
        <v>2650</v>
      </c>
      <c r="B56" s="362" t="s">
        <v>2681</v>
      </c>
      <c r="C56" s="362" t="s">
        <v>2682</v>
      </c>
      <c r="D56" s="364"/>
      <c r="E56" s="405"/>
      <c r="F56" s="405"/>
      <c r="G56" s="405"/>
      <c r="H56" s="405"/>
      <c r="I56" s="405"/>
      <c r="J56" s="405"/>
      <c r="K56" s="405"/>
      <c r="L56" s="405"/>
      <c r="M56" s="405"/>
      <c r="N56" s="405"/>
      <c r="O56" s="405"/>
      <c r="P56" s="405"/>
      <c r="Q56" s="382" t="e">
        <f t="shared" si="3"/>
        <v>#DIV/0!</v>
      </c>
      <c r="R56" s="382" t="e">
        <f t="shared" si="1"/>
        <v>#DIV/0!</v>
      </c>
      <c r="S56" s="382" t="e">
        <f t="shared" si="2"/>
        <v>#DIV/0!</v>
      </c>
    </row>
    <row r="57" spans="1:19" s="181" customFormat="1" ht="32.1" customHeight="1" x14ac:dyDescent="0.2">
      <c r="A57" s="361" t="s">
        <v>2650</v>
      </c>
      <c r="B57" s="362" t="s">
        <v>2683</v>
      </c>
      <c r="C57" s="362" t="s">
        <v>2684</v>
      </c>
      <c r="D57" s="364">
        <v>52</v>
      </c>
      <c r="E57" s="405"/>
      <c r="F57" s="405"/>
      <c r="G57" s="405"/>
      <c r="H57" s="405"/>
      <c r="I57" s="405"/>
      <c r="J57" s="405"/>
      <c r="K57" s="405"/>
      <c r="L57" s="405"/>
      <c r="M57" s="405"/>
      <c r="N57" s="405"/>
      <c r="O57" s="405">
        <v>97.4</v>
      </c>
      <c r="P57" s="405"/>
      <c r="Q57" s="382">
        <f t="shared" si="3"/>
        <v>97.4</v>
      </c>
      <c r="R57" s="382" t="str">
        <f t="shared" si="1"/>
        <v>NO</v>
      </c>
      <c r="S57" s="382" t="str">
        <f t="shared" si="2"/>
        <v>Inviable Sanitariamente</v>
      </c>
    </row>
    <row r="58" spans="1:19" s="181" customFormat="1" ht="32.1" customHeight="1" x14ac:dyDescent="0.2">
      <c r="A58" s="361" t="s">
        <v>2650</v>
      </c>
      <c r="B58" s="362" t="s">
        <v>2685</v>
      </c>
      <c r="C58" s="362" t="s">
        <v>2686</v>
      </c>
      <c r="D58" s="364">
        <v>160</v>
      </c>
      <c r="E58" s="405"/>
      <c r="F58" s="405"/>
      <c r="G58" s="405"/>
      <c r="H58" s="405"/>
      <c r="I58" s="405"/>
      <c r="J58" s="405"/>
      <c r="K58" s="405"/>
      <c r="L58" s="405">
        <v>97.3</v>
      </c>
      <c r="M58" s="405"/>
      <c r="N58" s="405"/>
      <c r="O58" s="405"/>
      <c r="P58" s="405"/>
      <c r="Q58" s="382">
        <f t="shared" si="3"/>
        <v>97.3</v>
      </c>
      <c r="R58" s="382" t="str">
        <f t="shared" si="1"/>
        <v>NO</v>
      </c>
      <c r="S58" s="382" t="str">
        <f t="shared" si="2"/>
        <v>Inviable Sanitariamente</v>
      </c>
    </row>
    <row r="59" spans="1:19" s="181" customFormat="1" ht="32.1" customHeight="1" x14ac:dyDescent="0.2">
      <c r="A59" s="361" t="s">
        <v>2650</v>
      </c>
      <c r="B59" s="362" t="s">
        <v>2687</v>
      </c>
      <c r="C59" s="362" t="s">
        <v>2688</v>
      </c>
      <c r="D59" s="364"/>
      <c r="E59" s="405"/>
      <c r="F59" s="405"/>
      <c r="G59" s="405"/>
      <c r="H59" s="405"/>
      <c r="I59" s="405"/>
      <c r="J59" s="405"/>
      <c r="K59" s="405"/>
      <c r="L59" s="405"/>
      <c r="M59" s="405"/>
      <c r="N59" s="405"/>
      <c r="O59" s="405"/>
      <c r="P59" s="405"/>
      <c r="Q59" s="382" t="e">
        <f t="shared" si="3"/>
        <v>#DIV/0!</v>
      </c>
      <c r="R59" s="382" t="e">
        <f t="shared" si="1"/>
        <v>#DIV/0!</v>
      </c>
      <c r="S59" s="382" t="e">
        <f t="shared" si="2"/>
        <v>#DIV/0!</v>
      </c>
    </row>
    <row r="60" spans="1:19" s="181" customFormat="1" ht="32.1" customHeight="1" x14ac:dyDescent="0.2">
      <c r="A60" s="361" t="s">
        <v>2650</v>
      </c>
      <c r="B60" s="362" t="s">
        <v>97</v>
      </c>
      <c r="C60" s="362" t="s">
        <v>2689</v>
      </c>
      <c r="D60" s="364">
        <v>35</v>
      </c>
      <c r="E60" s="405"/>
      <c r="F60" s="405"/>
      <c r="G60" s="405"/>
      <c r="H60" s="405"/>
      <c r="I60" s="405"/>
      <c r="J60" s="405"/>
      <c r="K60" s="405">
        <v>97.35</v>
      </c>
      <c r="L60" s="405"/>
      <c r="M60" s="405"/>
      <c r="N60" s="405"/>
      <c r="O60" s="405"/>
      <c r="P60" s="405"/>
      <c r="Q60" s="382">
        <f t="shared" si="3"/>
        <v>97.35</v>
      </c>
      <c r="R60" s="382" t="str">
        <f t="shared" si="1"/>
        <v>NO</v>
      </c>
      <c r="S60" s="382" t="str">
        <f t="shared" si="2"/>
        <v>Inviable Sanitariamente</v>
      </c>
    </row>
    <row r="61" spans="1:19" s="181" customFormat="1" ht="32.1" customHeight="1" x14ac:dyDescent="0.2">
      <c r="A61" s="361" t="s">
        <v>2650</v>
      </c>
      <c r="B61" s="362" t="s">
        <v>2690</v>
      </c>
      <c r="C61" s="362" t="s">
        <v>2691</v>
      </c>
      <c r="D61" s="364">
        <v>64</v>
      </c>
      <c r="E61" s="405">
        <v>97.35</v>
      </c>
      <c r="F61" s="405">
        <v>97.35</v>
      </c>
      <c r="G61" s="405">
        <v>97.35</v>
      </c>
      <c r="H61" s="405">
        <v>97.35</v>
      </c>
      <c r="I61" s="405">
        <v>97.35</v>
      </c>
      <c r="J61" s="405">
        <v>97.35</v>
      </c>
      <c r="K61" s="405">
        <v>97.35</v>
      </c>
      <c r="L61" s="405">
        <v>97.35</v>
      </c>
      <c r="M61" s="405">
        <v>97.35</v>
      </c>
      <c r="N61" s="405">
        <v>97.35</v>
      </c>
      <c r="O61" s="405">
        <v>97.35</v>
      </c>
      <c r="P61" s="405">
        <v>97.35</v>
      </c>
      <c r="Q61" s="382">
        <f t="shared" si="3"/>
        <v>97.350000000000009</v>
      </c>
      <c r="R61" s="382" t="str">
        <f t="shared" si="1"/>
        <v>NO</v>
      </c>
      <c r="S61" s="382" t="str">
        <f t="shared" si="2"/>
        <v>Inviable Sanitariamente</v>
      </c>
    </row>
    <row r="62" spans="1:19" s="181" customFormat="1" ht="32.1" customHeight="1" x14ac:dyDescent="0.2">
      <c r="A62" s="361" t="s">
        <v>2650</v>
      </c>
      <c r="B62" s="362" t="s">
        <v>1237</v>
      </c>
      <c r="C62" s="362" t="s">
        <v>2692</v>
      </c>
      <c r="D62" s="364">
        <v>27</v>
      </c>
      <c r="E62" s="405"/>
      <c r="F62" s="405"/>
      <c r="G62" s="405"/>
      <c r="H62" s="405"/>
      <c r="I62" s="405"/>
      <c r="J62" s="405"/>
      <c r="K62" s="405">
        <v>97.35</v>
      </c>
      <c r="L62" s="405"/>
      <c r="M62" s="405"/>
      <c r="N62" s="405"/>
      <c r="O62" s="405"/>
      <c r="P62" s="405"/>
      <c r="Q62" s="382">
        <f t="shared" si="3"/>
        <v>97.35</v>
      </c>
      <c r="R62" s="382" t="str">
        <f t="shared" si="1"/>
        <v>NO</v>
      </c>
      <c r="S62" s="382" t="str">
        <f t="shared" si="2"/>
        <v>Inviable Sanitariamente</v>
      </c>
    </row>
    <row r="63" spans="1:19" s="181" customFormat="1" ht="32.1" customHeight="1" x14ac:dyDescent="0.2">
      <c r="A63" s="361" t="s">
        <v>2650</v>
      </c>
      <c r="B63" s="362" t="s">
        <v>2111</v>
      </c>
      <c r="C63" s="362" t="s">
        <v>2693</v>
      </c>
      <c r="D63" s="364">
        <v>97</v>
      </c>
      <c r="E63" s="405"/>
      <c r="F63" s="405"/>
      <c r="G63" s="405"/>
      <c r="H63" s="405"/>
      <c r="I63" s="405"/>
      <c r="J63" s="405"/>
      <c r="K63" s="405"/>
      <c r="L63" s="405"/>
      <c r="M63" s="405"/>
      <c r="N63" s="405">
        <v>97.4</v>
      </c>
      <c r="O63" s="405"/>
      <c r="P63" s="405"/>
      <c r="Q63" s="382">
        <f t="shared" si="3"/>
        <v>97.4</v>
      </c>
      <c r="R63" s="382" t="str">
        <f t="shared" si="1"/>
        <v>NO</v>
      </c>
      <c r="S63" s="382" t="str">
        <f t="shared" si="2"/>
        <v>Inviable Sanitariamente</v>
      </c>
    </row>
    <row r="64" spans="1:19" s="181" customFormat="1" ht="32.1" customHeight="1" x14ac:dyDescent="0.2">
      <c r="A64" s="361" t="s">
        <v>2650</v>
      </c>
      <c r="B64" s="362" t="s">
        <v>2694</v>
      </c>
      <c r="C64" s="362" t="s">
        <v>2695</v>
      </c>
      <c r="D64" s="364">
        <v>37</v>
      </c>
      <c r="E64" s="405"/>
      <c r="F64" s="405"/>
      <c r="G64" s="405"/>
      <c r="H64" s="405"/>
      <c r="I64" s="405"/>
      <c r="J64" s="405"/>
      <c r="K64" s="405">
        <v>97.35</v>
      </c>
      <c r="L64" s="405"/>
      <c r="M64" s="405"/>
      <c r="N64" s="405"/>
      <c r="O64" s="405"/>
      <c r="P64" s="405"/>
      <c r="Q64" s="382">
        <f t="shared" si="3"/>
        <v>97.35</v>
      </c>
      <c r="R64" s="382" t="str">
        <f t="shared" si="1"/>
        <v>NO</v>
      </c>
      <c r="S64" s="382" t="str">
        <f t="shared" si="2"/>
        <v>Inviable Sanitariamente</v>
      </c>
    </row>
    <row r="65" spans="1:19" s="181" customFormat="1" ht="32.1" customHeight="1" x14ac:dyDescent="0.2">
      <c r="A65" s="361" t="s">
        <v>2650</v>
      </c>
      <c r="B65" s="362" t="s">
        <v>8</v>
      </c>
      <c r="C65" s="362" t="s">
        <v>2696</v>
      </c>
      <c r="D65" s="364">
        <v>19</v>
      </c>
      <c r="E65" s="405"/>
      <c r="F65" s="405"/>
      <c r="G65" s="405"/>
      <c r="H65" s="405"/>
      <c r="I65" s="405"/>
      <c r="J65" s="405"/>
      <c r="K65" s="405"/>
      <c r="L65" s="405"/>
      <c r="M65" s="405"/>
      <c r="N65" s="405"/>
      <c r="O65" s="405">
        <v>97.4</v>
      </c>
      <c r="P65" s="405"/>
      <c r="Q65" s="382">
        <f t="shared" si="3"/>
        <v>97.4</v>
      </c>
      <c r="R65" s="382" t="str">
        <f t="shared" si="1"/>
        <v>NO</v>
      </c>
      <c r="S65" s="382" t="str">
        <f t="shared" si="2"/>
        <v>Inviable Sanitariamente</v>
      </c>
    </row>
    <row r="66" spans="1:19" s="181" customFormat="1" ht="32.1" customHeight="1" x14ac:dyDescent="0.2">
      <c r="A66" s="361" t="s">
        <v>2650</v>
      </c>
      <c r="B66" s="362" t="s">
        <v>70</v>
      </c>
      <c r="C66" s="362" t="s">
        <v>2697</v>
      </c>
      <c r="D66" s="364">
        <v>14</v>
      </c>
      <c r="E66" s="405"/>
      <c r="F66" s="405"/>
      <c r="G66" s="405"/>
      <c r="H66" s="405"/>
      <c r="I66" s="405"/>
      <c r="J66" s="405"/>
      <c r="K66" s="405">
        <v>97.35</v>
      </c>
      <c r="L66" s="405"/>
      <c r="M66" s="405"/>
      <c r="N66" s="405"/>
      <c r="O66" s="405"/>
      <c r="P66" s="405"/>
      <c r="Q66" s="382">
        <f t="shared" si="3"/>
        <v>97.35</v>
      </c>
      <c r="R66" s="382" t="str">
        <f t="shared" si="1"/>
        <v>NO</v>
      </c>
      <c r="S66" s="382" t="str">
        <f t="shared" si="2"/>
        <v>Inviable Sanitariamente</v>
      </c>
    </row>
    <row r="67" spans="1:19" s="181" customFormat="1" ht="32.1" customHeight="1" x14ac:dyDescent="0.2">
      <c r="A67" s="361" t="s">
        <v>2650</v>
      </c>
      <c r="B67" s="362" t="s">
        <v>2698</v>
      </c>
      <c r="C67" s="362" t="s">
        <v>2699</v>
      </c>
      <c r="D67" s="364">
        <v>34</v>
      </c>
      <c r="E67" s="405"/>
      <c r="F67" s="405"/>
      <c r="G67" s="405"/>
      <c r="H67" s="405"/>
      <c r="I67" s="405">
        <v>97.35</v>
      </c>
      <c r="J67" s="405"/>
      <c r="K67" s="405"/>
      <c r="L67" s="405"/>
      <c r="M67" s="405"/>
      <c r="N67" s="405"/>
      <c r="O67" s="405"/>
      <c r="P67" s="405"/>
      <c r="Q67" s="382">
        <f t="shared" si="3"/>
        <v>97.35</v>
      </c>
      <c r="R67" s="382" t="str">
        <f t="shared" si="1"/>
        <v>NO</v>
      </c>
      <c r="S67" s="382" t="str">
        <f t="shared" si="2"/>
        <v>Inviable Sanitariamente</v>
      </c>
    </row>
    <row r="68" spans="1:19" s="181" customFormat="1" ht="32.1" customHeight="1" x14ac:dyDescent="0.2">
      <c r="A68" s="361" t="s">
        <v>2650</v>
      </c>
      <c r="B68" s="362" t="s">
        <v>2700</v>
      </c>
      <c r="C68" s="362" t="s">
        <v>2701</v>
      </c>
      <c r="D68" s="364">
        <v>14</v>
      </c>
      <c r="E68" s="405"/>
      <c r="F68" s="405"/>
      <c r="G68" s="405"/>
      <c r="H68" s="405"/>
      <c r="I68" s="405">
        <v>97.35</v>
      </c>
      <c r="J68" s="405"/>
      <c r="K68" s="405"/>
      <c r="L68" s="405"/>
      <c r="M68" s="405"/>
      <c r="N68" s="405"/>
      <c r="O68" s="405"/>
      <c r="P68" s="405"/>
      <c r="Q68" s="382">
        <f t="shared" si="3"/>
        <v>97.35</v>
      </c>
      <c r="R68" s="382" t="str">
        <f t="shared" si="1"/>
        <v>NO</v>
      </c>
      <c r="S68" s="382" t="str">
        <f t="shared" si="2"/>
        <v>Inviable Sanitariamente</v>
      </c>
    </row>
    <row r="69" spans="1:19" s="181" customFormat="1" ht="32.1" customHeight="1" x14ac:dyDescent="0.2">
      <c r="A69" s="361" t="s">
        <v>2650</v>
      </c>
      <c r="B69" s="362" t="s">
        <v>2702</v>
      </c>
      <c r="C69" s="362" t="s">
        <v>2703</v>
      </c>
      <c r="D69" s="364">
        <v>30</v>
      </c>
      <c r="E69" s="405"/>
      <c r="F69" s="405"/>
      <c r="G69" s="405"/>
      <c r="H69" s="405"/>
      <c r="I69" s="405"/>
      <c r="J69" s="405"/>
      <c r="K69" s="405"/>
      <c r="L69" s="405">
        <v>97.3</v>
      </c>
      <c r="M69" s="405"/>
      <c r="N69" s="405"/>
      <c r="O69" s="405"/>
      <c r="P69" s="405"/>
      <c r="Q69" s="382">
        <f t="shared" si="3"/>
        <v>97.3</v>
      </c>
      <c r="R69" s="382" t="str">
        <f t="shared" si="1"/>
        <v>NO</v>
      </c>
      <c r="S69" s="382" t="str">
        <f t="shared" si="2"/>
        <v>Inviable Sanitariamente</v>
      </c>
    </row>
    <row r="70" spans="1:19" s="181" customFormat="1" ht="32.1" customHeight="1" x14ac:dyDescent="0.2">
      <c r="A70" s="361" t="s">
        <v>2650</v>
      </c>
      <c r="B70" s="362" t="s">
        <v>2704</v>
      </c>
      <c r="C70" s="362" t="s">
        <v>2705</v>
      </c>
      <c r="D70" s="364">
        <v>28</v>
      </c>
      <c r="E70" s="405"/>
      <c r="F70" s="405"/>
      <c r="G70" s="405"/>
      <c r="H70" s="405"/>
      <c r="I70" s="405"/>
      <c r="J70" s="405"/>
      <c r="K70" s="405"/>
      <c r="L70" s="405"/>
      <c r="M70" s="405"/>
      <c r="N70" s="405">
        <v>97.4</v>
      </c>
      <c r="O70" s="405"/>
      <c r="P70" s="405"/>
      <c r="Q70" s="382">
        <f t="shared" si="3"/>
        <v>97.4</v>
      </c>
      <c r="R70" s="382" t="str">
        <f t="shared" si="1"/>
        <v>NO</v>
      </c>
      <c r="S70" s="382" t="str">
        <f t="shared" si="2"/>
        <v>Inviable Sanitariamente</v>
      </c>
    </row>
    <row r="71" spans="1:19" s="181" customFormat="1" ht="32.1" customHeight="1" x14ac:dyDescent="0.2">
      <c r="A71" s="361" t="s">
        <v>2650</v>
      </c>
      <c r="B71" s="362" t="s">
        <v>1783</v>
      </c>
      <c r="C71" s="362" t="s">
        <v>2706</v>
      </c>
      <c r="D71" s="364">
        <v>60</v>
      </c>
      <c r="E71" s="405"/>
      <c r="F71" s="405"/>
      <c r="G71" s="405"/>
      <c r="H71" s="405"/>
      <c r="I71" s="405">
        <v>97.35</v>
      </c>
      <c r="J71" s="405"/>
      <c r="K71" s="405"/>
      <c r="L71" s="405"/>
      <c r="M71" s="405"/>
      <c r="N71" s="405"/>
      <c r="O71" s="405"/>
      <c r="P71" s="405"/>
      <c r="Q71" s="382">
        <f t="shared" si="3"/>
        <v>97.35</v>
      </c>
      <c r="R71" s="382" t="str">
        <f t="shared" si="1"/>
        <v>NO</v>
      </c>
      <c r="S71" s="382" t="str">
        <f t="shared" si="2"/>
        <v>Inviable Sanitariamente</v>
      </c>
    </row>
    <row r="72" spans="1:19" s="181" customFormat="1" ht="32.1" customHeight="1" x14ac:dyDescent="0.2">
      <c r="A72" s="361" t="s">
        <v>2650</v>
      </c>
      <c r="B72" s="362" t="s">
        <v>233</v>
      </c>
      <c r="C72" s="362" t="s">
        <v>2707</v>
      </c>
      <c r="D72" s="364">
        <v>22</v>
      </c>
      <c r="E72" s="405"/>
      <c r="F72" s="405"/>
      <c r="G72" s="405"/>
      <c r="H72" s="405"/>
      <c r="I72" s="405"/>
      <c r="J72" s="405"/>
      <c r="K72" s="405"/>
      <c r="L72" s="405"/>
      <c r="M72" s="405"/>
      <c r="N72" s="405"/>
      <c r="O72" s="405">
        <v>97.4</v>
      </c>
      <c r="P72" s="405"/>
      <c r="Q72" s="382">
        <f t="shared" si="3"/>
        <v>97.4</v>
      </c>
      <c r="R72" s="382" t="str">
        <f t="shared" si="1"/>
        <v>NO</v>
      </c>
      <c r="S72" s="382" t="str">
        <f t="shared" si="2"/>
        <v>Inviable Sanitariamente</v>
      </c>
    </row>
    <row r="73" spans="1:19" s="181" customFormat="1" ht="32.1" customHeight="1" x14ac:dyDescent="0.2">
      <c r="A73" s="361" t="s">
        <v>2650</v>
      </c>
      <c r="B73" s="362" t="s">
        <v>2708</v>
      </c>
      <c r="C73" s="362" t="s">
        <v>2709</v>
      </c>
      <c r="D73" s="364">
        <v>30</v>
      </c>
      <c r="E73" s="405"/>
      <c r="F73" s="405"/>
      <c r="G73" s="405"/>
      <c r="H73" s="405"/>
      <c r="I73" s="405"/>
      <c r="J73" s="405"/>
      <c r="K73" s="405"/>
      <c r="L73" s="405"/>
      <c r="M73" s="405"/>
      <c r="N73" s="405">
        <v>97.4</v>
      </c>
      <c r="O73" s="405"/>
      <c r="P73" s="405"/>
      <c r="Q73" s="382">
        <f t="shared" si="3"/>
        <v>97.4</v>
      </c>
      <c r="R73" s="382" t="str">
        <f t="shared" si="1"/>
        <v>NO</v>
      </c>
      <c r="S73" s="382" t="str">
        <f t="shared" si="2"/>
        <v>Inviable Sanitariamente</v>
      </c>
    </row>
    <row r="74" spans="1:19" s="181" customFormat="1" ht="32.1" customHeight="1" x14ac:dyDescent="0.2">
      <c r="A74" s="361" t="s">
        <v>2650</v>
      </c>
      <c r="B74" s="362" t="s">
        <v>2710</v>
      </c>
      <c r="C74" s="362" t="s">
        <v>2711</v>
      </c>
      <c r="D74" s="364">
        <v>11</v>
      </c>
      <c r="E74" s="405"/>
      <c r="F74" s="405"/>
      <c r="G74" s="405">
        <v>97.35</v>
      </c>
      <c r="H74" s="405"/>
      <c r="I74" s="405"/>
      <c r="J74" s="405"/>
      <c r="K74" s="405"/>
      <c r="L74" s="405"/>
      <c r="M74" s="405"/>
      <c r="N74" s="405"/>
      <c r="O74" s="405"/>
      <c r="P74" s="405"/>
      <c r="Q74" s="382">
        <f t="shared" si="3"/>
        <v>97.35</v>
      </c>
      <c r="R74" s="382" t="str">
        <f t="shared" si="1"/>
        <v>NO</v>
      </c>
      <c r="S74" s="382" t="str">
        <f t="shared" si="2"/>
        <v>Inviable Sanitariamente</v>
      </c>
    </row>
    <row r="75" spans="1:19" s="181" customFormat="1" ht="32.1" customHeight="1" x14ac:dyDescent="0.2">
      <c r="A75" s="361" t="s">
        <v>2650</v>
      </c>
      <c r="B75" s="362" t="s">
        <v>2077</v>
      </c>
      <c r="C75" s="362" t="s">
        <v>2712</v>
      </c>
      <c r="D75" s="364">
        <v>50</v>
      </c>
      <c r="E75" s="405"/>
      <c r="F75" s="405"/>
      <c r="G75" s="405"/>
      <c r="H75" s="405"/>
      <c r="I75" s="405"/>
      <c r="J75" s="405"/>
      <c r="K75" s="405"/>
      <c r="L75" s="405"/>
      <c r="M75" s="405"/>
      <c r="N75" s="405"/>
      <c r="O75" s="405">
        <v>97.4</v>
      </c>
      <c r="P75" s="405"/>
      <c r="Q75" s="382">
        <f t="shared" si="3"/>
        <v>97.4</v>
      </c>
      <c r="R75" s="382" t="str">
        <f t="shared" ref="R75:R151" si="4">IF(Q75&lt;5,"SI","NO")</f>
        <v>NO</v>
      </c>
      <c r="S75" s="382" t="str">
        <f t="shared" si="2"/>
        <v>Inviable Sanitariamente</v>
      </c>
    </row>
    <row r="76" spans="1:19" s="181" customFormat="1" ht="32.1" customHeight="1" x14ac:dyDescent="0.2">
      <c r="A76" s="361" t="s">
        <v>2650</v>
      </c>
      <c r="B76" s="362" t="s">
        <v>1307</v>
      </c>
      <c r="C76" s="362" t="s">
        <v>2713</v>
      </c>
      <c r="D76" s="364"/>
      <c r="E76" s="405"/>
      <c r="F76" s="405"/>
      <c r="G76" s="405"/>
      <c r="H76" s="405"/>
      <c r="I76" s="405"/>
      <c r="J76" s="405"/>
      <c r="K76" s="405"/>
      <c r="L76" s="405"/>
      <c r="M76" s="405"/>
      <c r="N76" s="405"/>
      <c r="O76" s="405"/>
      <c r="P76" s="405"/>
      <c r="Q76" s="382" t="e">
        <f t="shared" si="3"/>
        <v>#DIV/0!</v>
      </c>
      <c r="R76" s="382" t="e">
        <f t="shared" si="4"/>
        <v>#DIV/0!</v>
      </c>
      <c r="S76" s="382" t="e">
        <f t="shared" ref="S76:S152" si="5">IF(Q76&lt;=5,"Sin Riesgo",IF(Q76 &lt;=14,"Bajo",IF(Q76&lt;=35,"Medio",IF(Q76&lt;=80,"Alto","Inviable Sanitariamente"))))</f>
        <v>#DIV/0!</v>
      </c>
    </row>
    <row r="77" spans="1:19" s="181" customFormat="1" ht="32.1" customHeight="1" x14ac:dyDescent="0.2">
      <c r="A77" s="361" t="s">
        <v>2650</v>
      </c>
      <c r="B77" s="362" t="s">
        <v>2714</v>
      </c>
      <c r="C77" s="362" t="s">
        <v>2715</v>
      </c>
      <c r="D77" s="364">
        <v>44</v>
      </c>
      <c r="E77" s="405"/>
      <c r="F77" s="405"/>
      <c r="G77" s="405"/>
      <c r="H77" s="405"/>
      <c r="I77" s="405"/>
      <c r="J77" s="405"/>
      <c r="K77" s="405"/>
      <c r="L77" s="405"/>
      <c r="M77" s="405"/>
      <c r="N77" s="405"/>
      <c r="O77" s="405">
        <v>53.1</v>
      </c>
      <c r="P77" s="405"/>
      <c r="Q77" s="382">
        <f t="shared" si="3"/>
        <v>53.1</v>
      </c>
      <c r="R77" s="382" t="str">
        <f t="shared" si="4"/>
        <v>NO</v>
      </c>
      <c r="S77" s="382" t="str">
        <f t="shared" si="5"/>
        <v>Alto</v>
      </c>
    </row>
    <row r="78" spans="1:19" s="181" customFormat="1" ht="32.1" customHeight="1" x14ac:dyDescent="0.2">
      <c r="A78" s="361" t="s">
        <v>148</v>
      </c>
      <c r="B78" s="362" t="s">
        <v>2716</v>
      </c>
      <c r="C78" s="362" t="s">
        <v>2717</v>
      </c>
      <c r="D78" s="364">
        <v>64</v>
      </c>
      <c r="E78" s="405"/>
      <c r="F78" s="405">
        <v>97.4</v>
      </c>
      <c r="G78" s="405"/>
      <c r="H78" s="405"/>
      <c r="I78" s="405"/>
      <c r="J78" s="405"/>
      <c r="K78" s="405"/>
      <c r="L78" s="405"/>
      <c r="M78" s="405"/>
      <c r="N78" s="405"/>
      <c r="O78" s="405"/>
      <c r="P78" s="405"/>
      <c r="Q78" s="382">
        <f t="shared" si="3"/>
        <v>97.4</v>
      </c>
      <c r="R78" s="382" t="str">
        <f t="shared" si="4"/>
        <v>NO</v>
      </c>
      <c r="S78" s="382" t="str">
        <f t="shared" si="5"/>
        <v>Inviable Sanitariamente</v>
      </c>
    </row>
    <row r="79" spans="1:19" s="181" customFormat="1" ht="32.1" customHeight="1" x14ac:dyDescent="0.2">
      <c r="A79" s="361" t="s">
        <v>148</v>
      </c>
      <c r="B79" s="362" t="s">
        <v>2718</v>
      </c>
      <c r="C79" s="362" t="s">
        <v>2719</v>
      </c>
      <c r="D79" s="364">
        <v>160</v>
      </c>
      <c r="E79" s="405"/>
      <c r="F79" s="405"/>
      <c r="G79" s="405"/>
      <c r="H79" s="405"/>
      <c r="I79" s="405">
        <v>97.4</v>
      </c>
      <c r="J79" s="405"/>
      <c r="K79" s="405"/>
      <c r="L79" s="405"/>
      <c r="M79" s="405"/>
      <c r="N79" s="405"/>
      <c r="O79" s="405"/>
      <c r="P79" s="405"/>
      <c r="Q79" s="382">
        <f t="shared" si="3"/>
        <v>97.4</v>
      </c>
      <c r="R79" s="382" t="str">
        <f t="shared" si="4"/>
        <v>NO</v>
      </c>
      <c r="S79" s="382" t="str">
        <f t="shared" si="5"/>
        <v>Inviable Sanitariamente</v>
      </c>
    </row>
    <row r="80" spans="1:19" s="181" customFormat="1" ht="32.1" customHeight="1" x14ac:dyDescent="0.2">
      <c r="A80" s="361" t="s">
        <v>148</v>
      </c>
      <c r="B80" s="362" t="s">
        <v>2720</v>
      </c>
      <c r="C80" s="362" t="s">
        <v>2721</v>
      </c>
      <c r="D80" s="364">
        <v>105</v>
      </c>
      <c r="E80" s="405"/>
      <c r="F80" s="405"/>
      <c r="G80" s="405">
        <v>97.4</v>
      </c>
      <c r="H80" s="405"/>
      <c r="I80" s="405"/>
      <c r="J80" s="405"/>
      <c r="K80" s="405"/>
      <c r="L80" s="405"/>
      <c r="M80" s="405"/>
      <c r="N80" s="405"/>
      <c r="O80" s="405"/>
      <c r="P80" s="405"/>
      <c r="Q80" s="382">
        <f t="shared" si="3"/>
        <v>97.4</v>
      </c>
      <c r="R80" s="382" t="str">
        <f t="shared" si="4"/>
        <v>NO</v>
      </c>
      <c r="S80" s="382" t="str">
        <f t="shared" si="5"/>
        <v>Inviable Sanitariamente</v>
      </c>
    </row>
    <row r="81" spans="1:19" s="181" customFormat="1" ht="32.1" customHeight="1" x14ac:dyDescent="0.2">
      <c r="A81" s="361" t="s">
        <v>148</v>
      </c>
      <c r="B81" s="362" t="s">
        <v>2722</v>
      </c>
      <c r="C81" s="362" t="s">
        <v>2723</v>
      </c>
      <c r="D81" s="364">
        <v>102</v>
      </c>
      <c r="E81" s="405"/>
      <c r="F81" s="405">
        <v>97.4</v>
      </c>
      <c r="G81" s="405"/>
      <c r="H81" s="405"/>
      <c r="I81" s="405"/>
      <c r="J81" s="405"/>
      <c r="K81" s="405"/>
      <c r="L81" s="405"/>
      <c r="M81" s="405"/>
      <c r="N81" s="405"/>
      <c r="O81" s="405"/>
      <c r="P81" s="405">
        <v>97</v>
      </c>
      <c r="Q81" s="382">
        <f t="shared" si="3"/>
        <v>97.2</v>
      </c>
      <c r="R81" s="382" t="str">
        <f t="shared" si="4"/>
        <v>NO</v>
      </c>
      <c r="S81" s="382" t="str">
        <f t="shared" si="5"/>
        <v>Inviable Sanitariamente</v>
      </c>
    </row>
    <row r="82" spans="1:19" s="181" customFormat="1" ht="32.1" customHeight="1" x14ac:dyDescent="0.2">
      <c r="A82" s="361" t="s">
        <v>148</v>
      </c>
      <c r="B82" s="362" t="s">
        <v>2724</v>
      </c>
      <c r="C82" s="362" t="s">
        <v>2725</v>
      </c>
      <c r="D82" s="364"/>
      <c r="E82" s="405"/>
      <c r="F82" s="405"/>
      <c r="G82" s="405"/>
      <c r="H82" s="405"/>
      <c r="I82" s="405"/>
      <c r="J82" s="405"/>
      <c r="K82" s="405"/>
      <c r="L82" s="405"/>
      <c r="M82" s="405"/>
      <c r="N82" s="405"/>
      <c r="O82" s="405"/>
      <c r="P82" s="405"/>
      <c r="Q82" s="382" t="e">
        <f t="shared" si="3"/>
        <v>#DIV/0!</v>
      </c>
      <c r="R82" s="382" t="e">
        <f t="shared" si="4"/>
        <v>#DIV/0!</v>
      </c>
      <c r="S82" s="382" t="e">
        <f t="shared" si="5"/>
        <v>#DIV/0!</v>
      </c>
    </row>
    <row r="83" spans="1:19" s="181" customFormat="1" ht="32.1" customHeight="1" x14ac:dyDescent="0.2">
      <c r="A83" s="361" t="s">
        <v>148</v>
      </c>
      <c r="B83" s="362" t="s">
        <v>2726</v>
      </c>
      <c r="C83" s="362" t="s">
        <v>2727</v>
      </c>
      <c r="D83" s="364"/>
      <c r="E83" s="405"/>
      <c r="F83" s="405"/>
      <c r="G83" s="405"/>
      <c r="H83" s="405"/>
      <c r="I83" s="405"/>
      <c r="J83" s="405"/>
      <c r="K83" s="405"/>
      <c r="L83" s="405"/>
      <c r="M83" s="405"/>
      <c r="N83" s="405"/>
      <c r="O83" s="405"/>
      <c r="P83" s="405"/>
      <c r="Q83" s="382" t="e">
        <f t="shared" si="3"/>
        <v>#DIV/0!</v>
      </c>
      <c r="R83" s="382" t="e">
        <f t="shared" si="4"/>
        <v>#DIV/0!</v>
      </c>
      <c r="S83" s="382" t="e">
        <f t="shared" si="5"/>
        <v>#DIV/0!</v>
      </c>
    </row>
    <row r="84" spans="1:19" s="181" customFormat="1" ht="32.1" customHeight="1" x14ac:dyDescent="0.2">
      <c r="A84" s="361" t="s">
        <v>148</v>
      </c>
      <c r="B84" s="362" t="s">
        <v>2728</v>
      </c>
      <c r="C84" s="362" t="s">
        <v>2729</v>
      </c>
      <c r="D84" s="364">
        <v>114</v>
      </c>
      <c r="E84" s="405"/>
      <c r="F84" s="405"/>
      <c r="G84" s="405"/>
      <c r="H84" s="405"/>
      <c r="I84" s="405"/>
      <c r="J84" s="405"/>
      <c r="K84" s="405"/>
      <c r="L84" s="405"/>
      <c r="M84" s="405"/>
      <c r="N84" s="405"/>
      <c r="O84" s="405">
        <v>97</v>
      </c>
      <c r="P84" s="405"/>
      <c r="Q84" s="382">
        <f t="shared" si="3"/>
        <v>97</v>
      </c>
      <c r="R84" s="382" t="str">
        <f t="shared" si="4"/>
        <v>NO</v>
      </c>
      <c r="S84" s="382" t="str">
        <f t="shared" si="5"/>
        <v>Inviable Sanitariamente</v>
      </c>
    </row>
    <row r="85" spans="1:19" s="181" customFormat="1" ht="32.1" customHeight="1" x14ac:dyDescent="0.2">
      <c r="A85" s="361" t="s">
        <v>148</v>
      </c>
      <c r="B85" s="362" t="s">
        <v>2730</v>
      </c>
      <c r="C85" s="362" t="s">
        <v>2731</v>
      </c>
      <c r="D85" s="364">
        <v>184</v>
      </c>
      <c r="E85" s="405">
        <v>97.4</v>
      </c>
      <c r="F85" s="405"/>
      <c r="G85" s="405"/>
      <c r="H85" s="405"/>
      <c r="I85" s="405"/>
      <c r="J85" s="405"/>
      <c r="K85" s="405"/>
      <c r="L85" s="405"/>
      <c r="M85" s="405"/>
      <c r="N85" s="405"/>
      <c r="O85" s="405"/>
      <c r="P85" s="405"/>
      <c r="Q85" s="382">
        <f t="shared" si="3"/>
        <v>97.4</v>
      </c>
      <c r="R85" s="382" t="str">
        <f t="shared" si="4"/>
        <v>NO</v>
      </c>
      <c r="S85" s="382" t="str">
        <f t="shared" si="5"/>
        <v>Inviable Sanitariamente</v>
      </c>
    </row>
    <row r="86" spans="1:19" s="181" customFormat="1" ht="32.1" customHeight="1" x14ac:dyDescent="0.2">
      <c r="A86" s="361" t="s">
        <v>148</v>
      </c>
      <c r="B86" s="362" t="s">
        <v>2732</v>
      </c>
      <c r="C86" s="362" t="s">
        <v>2733</v>
      </c>
      <c r="D86" s="364">
        <v>200</v>
      </c>
      <c r="E86" s="405"/>
      <c r="F86" s="405"/>
      <c r="G86" s="405"/>
      <c r="H86" s="405"/>
      <c r="I86" s="405">
        <v>97.4</v>
      </c>
      <c r="J86" s="405"/>
      <c r="K86" s="405"/>
      <c r="L86" s="405"/>
      <c r="M86" s="405"/>
      <c r="N86" s="405"/>
      <c r="O86" s="405"/>
      <c r="P86" s="405"/>
      <c r="Q86" s="382">
        <f t="shared" si="3"/>
        <v>97.4</v>
      </c>
      <c r="R86" s="382" t="str">
        <f t="shared" si="4"/>
        <v>NO</v>
      </c>
      <c r="S86" s="382" t="str">
        <f t="shared" si="5"/>
        <v>Inviable Sanitariamente</v>
      </c>
    </row>
    <row r="87" spans="1:19" s="181" customFormat="1" ht="32.1" customHeight="1" x14ac:dyDescent="0.2">
      <c r="A87" s="361" t="s">
        <v>148</v>
      </c>
      <c r="B87" s="362" t="s">
        <v>2734</v>
      </c>
      <c r="C87" s="362" t="s">
        <v>2735</v>
      </c>
      <c r="D87" s="364">
        <v>71</v>
      </c>
      <c r="E87" s="405"/>
      <c r="F87" s="405"/>
      <c r="G87" s="405"/>
      <c r="H87" s="405"/>
      <c r="I87" s="405">
        <v>97.4</v>
      </c>
      <c r="J87" s="405"/>
      <c r="K87" s="405"/>
      <c r="L87" s="405"/>
      <c r="M87" s="405"/>
      <c r="N87" s="405"/>
      <c r="O87" s="405"/>
      <c r="P87" s="405">
        <v>97</v>
      </c>
      <c r="Q87" s="382">
        <f t="shared" si="3"/>
        <v>97.2</v>
      </c>
      <c r="R87" s="382" t="str">
        <f t="shared" si="4"/>
        <v>NO</v>
      </c>
      <c r="S87" s="382" t="str">
        <f t="shared" si="5"/>
        <v>Inviable Sanitariamente</v>
      </c>
    </row>
    <row r="88" spans="1:19" s="181" customFormat="1" ht="32.1" customHeight="1" x14ac:dyDescent="0.2">
      <c r="A88" s="361" t="s">
        <v>148</v>
      </c>
      <c r="B88" s="362" t="s">
        <v>2426</v>
      </c>
      <c r="C88" s="362" t="s">
        <v>2736</v>
      </c>
      <c r="D88" s="364">
        <v>46</v>
      </c>
      <c r="E88" s="405"/>
      <c r="F88" s="405"/>
      <c r="G88" s="405"/>
      <c r="H88" s="405"/>
      <c r="I88" s="405"/>
      <c r="J88" s="405"/>
      <c r="K88" s="405"/>
      <c r="L88" s="405"/>
      <c r="M88" s="405"/>
      <c r="N88" s="405"/>
      <c r="O88" s="405"/>
      <c r="P88" s="405">
        <v>97</v>
      </c>
      <c r="Q88" s="382">
        <f t="shared" si="3"/>
        <v>97</v>
      </c>
      <c r="R88" s="382" t="str">
        <f t="shared" si="4"/>
        <v>NO</v>
      </c>
      <c r="S88" s="382" t="str">
        <f t="shared" si="5"/>
        <v>Inviable Sanitariamente</v>
      </c>
    </row>
    <row r="89" spans="1:19" s="181" customFormat="1" ht="32.1" customHeight="1" x14ac:dyDescent="0.2">
      <c r="A89" s="361" t="s">
        <v>148</v>
      </c>
      <c r="B89" s="362" t="s">
        <v>651</v>
      </c>
      <c r="C89" s="362" t="s">
        <v>2737</v>
      </c>
      <c r="D89" s="364">
        <v>97</v>
      </c>
      <c r="E89" s="405"/>
      <c r="F89" s="405"/>
      <c r="G89" s="405"/>
      <c r="H89" s="405"/>
      <c r="I89" s="405"/>
      <c r="J89" s="405"/>
      <c r="K89" s="405"/>
      <c r="L89" s="405"/>
      <c r="M89" s="405"/>
      <c r="N89" s="405"/>
      <c r="O89" s="405">
        <v>97</v>
      </c>
      <c r="P89" s="405"/>
      <c r="Q89" s="382">
        <f t="shared" si="3"/>
        <v>97</v>
      </c>
      <c r="R89" s="382" t="str">
        <f t="shared" si="4"/>
        <v>NO</v>
      </c>
      <c r="S89" s="382" t="str">
        <f t="shared" si="5"/>
        <v>Inviable Sanitariamente</v>
      </c>
    </row>
    <row r="90" spans="1:19" s="181" customFormat="1" ht="32.1" customHeight="1" x14ac:dyDescent="0.2">
      <c r="A90" s="361" t="s">
        <v>148</v>
      </c>
      <c r="B90" s="362" t="s">
        <v>2738</v>
      </c>
      <c r="C90" s="362" t="s">
        <v>2739</v>
      </c>
      <c r="D90" s="364">
        <v>480</v>
      </c>
      <c r="E90" s="405"/>
      <c r="F90" s="405"/>
      <c r="G90" s="405"/>
      <c r="H90" s="405"/>
      <c r="I90" s="405">
        <v>97.4</v>
      </c>
      <c r="J90" s="405"/>
      <c r="K90" s="405"/>
      <c r="L90" s="405"/>
      <c r="M90" s="405"/>
      <c r="N90" s="405"/>
      <c r="O90" s="405"/>
      <c r="P90" s="405"/>
      <c r="Q90" s="382">
        <f t="shared" si="3"/>
        <v>97.4</v>
      </c>
      <c r="R90" s="382" t="str">
        <f t="shared" si="4"/>
        <v>NO</v>
      </c>
      <c r="S90" s="382" t="str">
        <f t="shared" si="5"/>
        <v>Inviable Sanitariamente</v>
      </c>
    </row>
    <row r="91" spans="1:19" s="181" customFormat="1" ht="32.1" customHeight="1" x14ac:dyDescent="0.2">
      <c r="A91" s="361" t="s">
        <v>148</v>
      </c>
      <c r="B91" s="362" t="s">
        <v>2740</v>
      </c>
      <c r="C91" s="362" t="s">
        <v>2741</v>
      </c>
      <c r="D91" s="364">
        <v>160</v>
      </c>
      <c r="E91" s="405"/>
      <c r="F91" s="405"/>
      <c r="G91" s="405"/>
      <c r="H91" s="405"/>
      <c r="I91" s="405">
        <v>97.4</v>
      </c>
      <c r="J91" s="405"/>
      <c r="K91" s="405"/>
      <c r="L91" s="405"/>
      <c r="M91" s="405"/>
      <c r="N91" s="405"/>
      <c r="O91" s="405"/>
      <c r="P91" s="405"/>
      <c r="Q91" s="382">
        <f t="shared" si="3"/>
        <v>97.4</v>
      </c>
      <c r="R91" s="382" t="str">
        <f t="shared" si="4"/>
        <v>NO</v>
      </c>
      <c r="S91" s="382" t="str">
        <f t="shared" si="5"/>
        <v>Inviable Sanitariamente</v>
      </c>
    </row>
    <row r="92" spans="1:19" s="181" customFormat="1" ht="32.1" customHeight="1" x14ac:dyDescent="0.2">
      <c r="A92" s="361" t="s">
        <v>148</v>
      </c>
      <c r="B92" s="362" t="s">
        <v>793</v>
      </c>
      <c r="C92" s="362" t="s">
        <v>2742</v>
      </c>
      <c r="D92" s="364">
        <v>105</v>
      </c>
      <c r="E92" s="405"/>
      <c r="F92" s="405"/>
      <c r="G92" s="405">
        <v>97.4</v>
      </c>
      <c r="H92" s="405"/>
      <c r="I92" s="405"/>
      <c r="J92" s="405"/>
      <c r="K92" s="405"/>
      <c r="L92" s="405"/>
      <c r="M92" s="405"/>
      <c r="N92" s="405"/>
      <c r="O92" s="405"/>
      <c r="P92" s="405"/>
      <c r="Q92" s="382">
        <f t="shared" si="3"/>
        <v>97.4</v>
      </c>
      <c r="R92" s="382" t="str">
        <f t="shared" si="4"/>
        <v>NO</v>
      </c>
      <c r="S92" s="382" t="str">
        <f t="shared" si="5"/>
        <v>Inviable Sanitariamente</v>
      </c>
    </row>
    <row r="93" spans="1:19" s="181" customFormat="1" ht="32.1" customHeight="1" x14ac:dyDescent="0.2">
      <c r="A93" s="361" t="s">
        <v>148</v>
      </c>
      <c r="B93" s="362" t="s">
        <v>2743</v>
      </c>
      <c r="C93" s="362" t="s">
        <v>2744</v>
      </c>
      <c r="D93" s="364"/>
      <c r="E93" s="405"/>
      <c r="F93" s="405"/>
      <c r="G93" s="405"/>
      <c r="H93" s="405"/>
      <c r="I93" s="405"/>
      <c r="J93" s="405"/>
      <c r="K93" s="405"/>
      <c r="L93" s="405"/>
      <c r="M93" s="405"/>
      <c r="N93" s="405"/>
      <c r="O93" s="405"/>
      <c r="P93" s="405"/>
      <c r="Q93" s="382" t="e">
        <f>AVERAGE(E93:P93)</f>
        <v>#DIV/0!</v>
      </c>
      <c r="R93" s="382" t="e">
        <f>IF(Q93&lt;5,"SI","NO")</f>
        <v>#DIV/0!</v>
      </c>
      <c r="S93" s="382" t="e">
        <f>IF(Q93&lt;=5,"Sin Riesgo",IF(Q93 &lt;=14,"Bajo",IF(Q93&lt;=35,"Medio",IF(Q93&lt;=80,"Alto","Inviable Sanitariamente"))))</f>
        <v>#DIV/0!</v>
      </c>
    </row>
    <row r="94" spans="1:19" s="181" customFormat="1" ht="32.1" customHeight="1" x14ac:dyDescent="0.2">
      <c r="A94" s="361" t="s">
        <v>148</v>
      </c>
      <c r="B94" s="362" t="s">
        <v>4275</v>
      </c>
      <c r="C94" s="362" t="s">
        <v>4276</v>
      </c>
      <c r="D94" s="364">
        <v>102</v>
      </c>
      <c r="E94" s="405"/>
      <c r="F94" s="405">
        <v>97.4</v>
      </c>
      <c r="G94" s="405"/>
      <c r="H94" s="405"/>
      <c r="I94" s="405"/>
      <c r="J94" s="405"/>
      <c r="K94" s="405"/>
      <c r="L94" s="405"/>
      <c r="M94" s="405"/>
      <c r="N94" s="405"/>
      <c r="O94" s="405"/>
      <c r="P94" s="405"/>
      <c r="Q94" s="382">
        <f>AVERAGE(E94:P94)</f>
        <v>97.4</v>
      </c>
      <c r="R94" s="382" t="str">
        <f>IF(Q94&lt;5,"SI","NO")</f>
        <v>NO</v>
      </c>
      <c r="S94" s="382" t="str">
        <f>IF(Q94&lt;=5,"Sin Riesgo",IF(Q94 &lt;=14,"Bajo",IF(Q94&lt;=35,"Medio",IF(Q94&lt;=80,"Alto","Inviable Sanitariamente"))))</f>
        <v>Inviable Sanitariamente</v>
      </c>
    </row>
    <row r="95" spans="1:19" s="181" customFormat="1" ht="32.1" customHeight="1" x14ac:dyDescent="0.2">
      <c r="A95" s="361" t="s">
        <v>148</v>
      </c>
      <c r="B95" s="362" t="s">
        <v>4277</v>
      </c>
      <c r="C95" s="362" t="s">
        <v>4278</v>
      </c>
      <c r="D95" s="364">
        <v>184</v>
      </c>
      <c r="E95" s="405">
        <v>97.4</v>
      </c>
      <c r="F95" s="405"/>
      <c r="G95" s="405"/>
      <c r="H95" s="405"/>
      <c r="I95" s="405"/>
      <c r="J95" s="405"/>
      <c r="K95" s="405"/>
      <c r="L95" s="405"/>
      <c r="M95" s="405"/>
      <c r="N95" s="405"/>
      <c r="O95" s="405"/>
      <c r="P95" s="405"/>
      <c r="Q95" s="382">
        <f t="shared" si="3"/>
        <v>97.4</v>
      </c>
      <c r="R95" s="382" t="str">
        <f t="shared" si="4"/>
        <v>NO</v>
      </c>
      <c r="S95" s="382" t="str">
        <f t="shared" si="5"/>
        <v>Inviable Sanitariamente</v>
      </c>
    </row>
    <row r="96" spans="1:19" s="181" customFormat="1" ht="32.1" customHeight="1" x14ac:dyDescent="0.2">
      <c r="A96" s="361" t="s">
        <v>231</v>
      </c>
      <c r="B96" s="362" t="s">
        <v>4194</v>
      </c>
      <c r="C96" s="362" t="s">
        <v>4195</v>
      </c>
      <c r="D96" s="364">
        <v>34</v>
      </c>
      <c r="E96" s="405"/>
      <c r="F96" s="405"/>
      <c r="G96" s="405"/>
      <c r="H96" s="405"/>
      <c r="I96" s="405"/>
      <c r="J96" s="405"/>
      <c r="K96" s="405"/>
      <c r="L96" s="405"/>
      <c r="M96" s="405"/>
      <c r="N96" s="405">
        <v>97.3</v>
      </c>
      <c r="O96" s="405"/>
      <c r="P96" s="405"/>
      <c r="Q96" s="382">
        <f t="shared" si="3"/>
        <v>97.3</v>
      </c>
      <c r="R96" s="382" t="str">
        <f t="shared" si="4"/>
        <v>NO</v>
      </c>
      <c r="S96" s="382" t="str">
        <f t="shared" si="5"/>
        <v>Inviable Sanitariamente</v>
      </c>
    </row>
    <row r="97" spans="1:19" s="181" customFormat="1" ht="32.1" customHeight="1" x14ac:dyDescent="0.2">
      <c r="A97" s="361" t="s">
        <v>231</v>
      </c>
      <c r="B97" s="362" t="s">
        <v>4196</v>
      </c>
      <c r="C97" s="362" t="s">
        <v>4197</v>
      </c>
      <c r="D97" s="364">
        <v>32</v>
      </c>
      <c r="E97" s="405"/>
      <c r="F97" s="405"/>
      <c r="G97" s="405"/>
      <c r="H97" s="405"/>
      <c r="I97" s="405">
        <v>97.3</v>
      </c>
      <c r="J97" s="405"/>
      <c r="K97" s="405"/>
      <c r="L97" s="405"/>
      <c r="M97" s="405">
        <v>97.3</v>
      </c>
      <c r="N97" s="405"/>
      <c r="O97" s="405"/>
      <c r="P97" s="405"/>
      <c r="Q97" s="382">
        <f t="shared" si="3"/>
        <v>97.3</v>
      </c>
      <c r="R97" s="382" t="str">
        <f t="shared" si="4"/>
        <v>NO</v>
      </c>
      <c r="S97" s="382" t="str">
        <f t="shared" si="5"/>
        <v>Inviable Sanitariamente</v>
      </c>
    </row>
    <row r="98" spans="1:19" s="181" customFormat="1" ht="32.1" customHeight="1" x14ac:dyDescent="0.2">
      <c r="A98" s="361" t="s">
        <v>231</v>
      </c>
      <c r="B98" s="362" t="s">
        <v>2785</v>
      </c>
      <c r="C98" s="362" t="s">
        <v>4198</v>
      </c>
      <c r="D98" s="364">
        <v>18</v>
      </c>
      <c r="E98" s="405"/>
      <c r="F98" s="405"/>
      <c r="G98" s="405"/>
      <c r="H98" s="405"/>
      <c r="I98" s="405"/>
      <c r="J98" s="405"/>
      <c r="K98" s="405"/>
      <c r="L98" s="405"/>
      <c r="M98" s="405"/>
      <c r="N98" s="405">
        <v>97.3</v>
      </c>
      <c r="O98" s="405"/>
      <c r="P98" s="405"/>
      <c r="Q98" s="382">
        <f t="shared" si="3"/>
        <v>97.3</v>
      </c>
      <c r="R98" s="382" t="str">
        <f t="shared" si="4"/>
        <v>NO</v>
      </c>
      <c r="S98" s="382" t="str">
        <f t="shared" si="5"/>
        <v>Inviable Sanitariamente</v>
      </c>
    </row>
    <row r="99" spans="1:19" s="181" customFormat="1" ht="32.1" customHeight="1" x14ac:dyDescent="0.2">
      <c r="A99" s="361" t="s">
        <v>231</v>
      </c>
      <c r="B99" s="362" t="s">
        <v>4199</v>
      </c>
      <c r="C99" s="362" t="s">
        <v>4200</v>
      </c>
      <c r="D99" s="364">
        <v>18</v>
      </c>
      <c r="E99" s="405"/>
      <c r="F99" s="405"/>
      <c r="G99" s="405"/>
      <c r="H99" s="405"/>
      <c r="I99" s="405"/>
      <c r="J99" s="405"/>
      <c r="K99" s="405"/>
      <c r="L99" s="405">
        <v>97.3</v>
      </c>
      <c r="M99" s="405"/>
      <c r="N99" s="405"/>
      <c r="O99" s="405"/>
      <c r="P99" s="405"/>
      <c r="Q99" s="382">
        <f t="shared" si="3"/>
        <v>97.3</v>
      </c>
      <c r="R99" s="382" t="str">
        <f t="shared" si="4"/>
        <v>NO</v>
      </c>
      <c r="S99" s="382" t="str">
        <f t="shared" si="5"/>
        <v>Inviable Sanitariamente</v>
      </c>
    </row>
    <row r="100" spans="1:19" s="181" customFormat="1" ht="32.1" customHeight="1" x14ac:dyDescent="0.2">
      <c r="A100" s="361" t="s">
        <v>231</v>
      </c>
      <c r="B100" s="362" t="s">
        <v>643</v>
      </c>
      <c r="C100" s="362" t="s">
        <v>4201</v>
      </c>
      <c r="D100" s="364">
        <v>18</v>
      </c>
      <c r="E100" s="405"/>
      <c r="F100" s="405"/>
      <c r="G100" s="405"/>
      <c r="H100" s="405"/>
      <c r="I100" s="405"/>
      <c r="J100" s="405"/>
      <c r="K100" s="405"/>
      <c r="L100" s="405"/>
      <c r="M100" s="405"/>
      <c r="N100" s="405">
        <v>97.3</v>
      </c>
      <c r="O100" s="405"/>
      <c r="P100" s="405"/>
      <c r="Q100" s="382">
        <f t="shared" si="3"/>
        <v>97.3</v>
      </c>
      <c r="R100" s="382" t="str">
        <f t="shared" si="4"/>
        <v>NO</v>
      </c>
      <c r="S100" s="382" t="str">
        <f t="shared" si="5"/>
        <v>Inviable Sanitariamente</v>
      </c>
    </row>
    <row r="101" spans="1:19" s="181" customFormat="1" ht="32.1" customHeight="1" x14ac:dyDescent="0.2">
      <c r="A101" s="361" t="s">
        <v>231</v>
      </c>
      <c r="B101" s="362" t="s">
        <v>2748</v>
      </c>
      <c r="C101" s="362" t="s">
        <v>4202</v>
      </c>
      <c r="D101" s="364">
        <v>19</v>
      </c>
      <c r="E101" s="405"/>
      <c r="F101" s="405"/>
      <c r="G101" s="405"/>
      <c r="H101" s="405"/>
      <c r="I101" s="405">
        <v>97.3</v>
      </c>
      <c r="J101" s="405"/>
      <c r="K101" s="405"/>
      <c r="L101" s="405"/>
      <c r="M101" s="405">
        <v>97.3</v>
      </c>
      <c r="N101" s="405"/>
      <c r="O101" s="405"/>
      <c r="P101" s="405"/>
      <c r="Q101" s="382">
        <f t="shared" si="3"/>
        <v>97.3</v>
      </c>
      <c r="R101" s="382" t="str">
        <f t="shared" si="4"/>
        <v>NO</v>
      </c>
      <c r="S101" s="382" t="str">
        <f t="shared" si="5"/>
        <v>Inviable Sanitariamente</v>
      </c>
    </row>
    <row r="102" spans="1:19" s="181" customFormat="1" ht="32.1" customHeight="1" x14ac:dyDescent="0.2">
      <c r="A102" s="361" t="s">
        <v>231</v>
      </c>
      <c r="B102" s="362" t="s">
        <v>233</v>
      </c>
      <c r="C102" s="362" t="s">
        <v>4203</v>
      </c>
      <c r="D102" s="364">
        <v>18</v>
      </c>
      <c r="E102" s="405"/>
      <c r="F102" s="405"/>
      <c r="G102" s="405">
        <v>97.3</v>
      </c>
      <c r="H102" s="405"/>
      <c r="I102" s="405"/>
      <c r="J102" s="405"/>
      <c r="K102" s="405"/>
      <c r="L102" s="405"/>
      <c r="M102" s="405"/>
      <c r="N102" s="405"/>
      <c r="O102" s="405"/>
      <c r="P102" s="405"/>
      <c r="Q102" s="382">
        <f t="shared" si="3"/>
        <v>97.3</v>
      </c>
      <c r="R102" s="382" t="str">
        <f t="shared" si="4"/>
        <v>NO</v>
      </c>
      <c r="S102" s="382" t="str">
        <f t="shared" si="5"/>
        <v>Inviable Sanitariamente</v>
      </c>
    </row>
    <row r="103" spans="1:19" s="181" customFormat="1" ht="32.1" customHeight="1" x14ac:dyDescent="0.2">
      <c r="A103" s="361" t="s">
        <v>231</v>
      </c>
      <c r="B103" s="362" t="s">
        <v>777</v>
      </c>
      <c r="C103" s="362" t="s">
        <v>4204</v>
      </c>
      <c r="D103" s="364">
        <v>30</v>
      </c>
      <c r="E103" s="405"/>
      <c r="F103" s="405"/>
      <c r="G103" s="405"/>
      <c r="H103" s="405"/>
      <c r="I103" s="405"/>
      <c r="J103" s="405"/>
      <c r="K103" s="405">
        <v>97.3</v>
      </c>
      <c r="L103" s="405"/>
      <c r="M103" s="405"/>
      <c r="N103" s="405"/>
      <c r="O103" s="405"/>
      <c r="P103" s="405"/>
      <c r="Q103" s="382">
        <f t="shared" si="3"/>
        <v>97.3</v>
      </c>
      <c r="R103" s="382" t="str">
        <f t="shared" si="4"/>
        <v>NO</v>
      </c>
      <c r="S103" s="382" t="str">
        <f t="shared" si="5"/>
        <v>Inviable Sanitariamente</v>
      </c>
    </row>
    <row r="104" spans="1:19" s="181" customFormat="1" ht="32.1" customHeight="1" x14ac:dyDescent="0.2">
      <c r="A104" s="361" t="s">
        <v>231</v>
      </c>
      <c r="B104" s="362" t="s">
        <v>4205</v>
      </c>
      <c r="C104" s="362" t="s">
        <v>4206</v>
      </c>
      <c r="D104" s="364">
        <v>20</v>
      </c>
      <c r="E104" s="405"/>
      <c r="F104" s="405"/>
      <c r="G104" s="405"/>
      <c r="H104" s="405"/>
      <c r="I104" s="405"/>
      <c r="J104" s="405"/>
      <c r="K104" s="405"/>
      <c r="L104" s="405"/>
      <c r="M104" s="405"/>
      <c r="N104" s="405">
        <v>97.3</v>
      </c>
      <c r="O104" s="405"/>
      <c r="P104" s="405"/>
      <c r="Q104" s="382">
        <f t="shared" si="3"/>
        <v>97.3</v>
      </c>
      <c r="R104" s="382" t="str">
        <f t="shared" si="4"/>
        <v>NO</v>
      </c>
      <c r="S104" s="382" t="str">
        <f t="shared" si="5"/>
        <v>Inviable Sanitariamente</v>
      </c>
    </row>
    <row r="105" spans="1:19" s="181" customFormat="1" ht="32.1" customHeight="1" x14ac:dyDescent="0.2">
      <c r="A105" s="361" t="s">
        <v>231</v>
      </c>
      <c r="B105" s="362" t="s">
        <v>1209</v>
      </c>
      <c r="C105" s="362" t="s">
        <v>4207</v>
      </c>
      <c r="D105" s="364">
        <v>20</v>
      </c>
      <c r="E105" s="405"/>
      <c r="F105" s="405"/>
      <c r="G105" s="405"/>
      <c r="H105" s="405"/>
      <c r="I105" s="405"/>
      <c r="J105" s="405"/>
      <c r="K105" s="405">
        <v>97.3</v>
      </c>
      <c r="L105" s="405"/>
      <c r="M105" s="405"/>
      <c r="N105" s="405"/>
      <c r="O105" s="405"/>
      <c r="P105" s="405"/>
      <c r="Q105" s="382">
        <f t="shared" si="3"/>
        <v>97.3</v>
      </c>
      <c r="R105" s="382" t="str">
        <f t="shared" si="4"/>
        <v>NO</v>
      </c>
      <c r="S105" s="382" t="str">
        <f t="shared" si="5"/>
        <v>Inviable Sanitariamente</v>
      </c>
    </row>
    <row r="106" spans="1:19" s="181" customFormat="1" ht="32.1" customHeight="1" x14ac:dyDescent="0.2">
      <c r="A106" s="361" t="s">
        <v>231</v>
      </c>
      <c r="B106" s="362" t="s">
        <v>2745</v>
      </c>
      <c r="C106" s="362" t="s">
        <v>2746</v>
      </c>
      <c r="D106" s="364">
        <v>75</v>
      </c>
      <c r="E106" s="405"/>
      <c r="F106" s="405"/>
      <c r="G106" s="405"/>
      <c r="H106" s="405"/>
      <c r="I106" s="405"/>
      <c r="J106" s="405"/>
      <c r="K106" s="405"/>
      <c r="L106" s="405">
        <v>97.3</v>
      </c>
      <c r="M106" s="405"/>
      <c r="N106" s="405"/>
      <c r="O106" s="405"/>
      <c r="P106" s="405"/>
      <c r="Q106" s="382">
        <f>AVERAGE(E106:P106)</f>
        <v>97.3</v>
      </c>
      <c r="R106" s="382" t="str">
        <f>IF(Q106&lt;5,"SI","NO")</f>
        <v>NO</v>
      </c>
      <c r="S106" s="382" t="str">
        <f>IF(Q106&lt;=5,"Sin Riesgo",IF(Q106 &lt;=14,"Bajo",IF(Q106&lt;=35,"Medio",IF(Q106&lt;=80,"Alto","Inviable Sanitariamente"))))</f>
        <v>Inviable Sanitariamente</v>
      </c>
    </row>
    <row r="107" spans="1:19" s="181" customFormat="1" ht="32.1" customHeight="1" x14ac:dyDescent="0.2">
      <c r="A107" s="361" t="s">
        <v>231</v>
      </c>
      <c r="B107" s="362" t="s">
        <v>974</v>
      </c>
      <c r="C107" s="362" t="s">
        <v>2747</v>
      </c>
      <c r="D107" s="364">
        <v>65</v>
      </c>
      <c r="E107" s="405"/>
      <c r="F107" s="405"/>
      <c r="G107" s="405"/>
      <c r="H107" s="405"/>
      <c r="I107" s="405">
        <v>97.3</v>
      </c>
      <c r="J107" s="405"/>
      <c r="K107" s="405"/>
      <c r="L107" s="405"/>
      <c r="M107" s="405"/>
      <c r="N107" s="405"/>
      <c r="O107" s="405"/>
      <c r="P107" s="405"/>
      <c r="Q107" s="382">
        <f t="shared" si="3"/>
        <v>97.3</v>
      </c>
      <c r="R107" s="382" t="str">
        <f t="shared" si="4"/>
        <v>NO</v>
      </c>
      <c r="S107" s="382" t="str">
        <f t="shared" si="5"/>
        <v>Inviable Sanitariamente</v>
      </c>
    </row>
    <row r="108" spans="1:19" s="181" customFormat="1" ht="32.1" customHeight="1" x14ac:dyDescent="0.2">
      <c r="A108" s="361" t="s">
        <v>231</v>
      </c>
      <c r="B108" s="362" t="s">
        <v>2748</v>
      </c>
      <c r="C108" s="362" t="s">
        <v>2749</v>
      </c>
      <c r="D108" s="364"/>
      <c r="E108" s="405"/>
      <c r="F108" s="405"/>
      <c r="G108" s="405"/>
      <c r="H108" s="405"/>
      <c r="I108" s="405"/>
      <c r="J108" s="405"/>
      <c r="K108" s="405"/>
      <c r="L108" s="405"/>
      <c r="M108" s="405"/>
      <c r="N108" s="405"/>
      <c r="O108" s="405"/>
      <c r="P108" s="405"/>
      <c r="Q108" s="382" t="e">
        <f t="shared" si="3"/>
        <v>#DIV/0!</v>
      </c>
      <c r="R108" s="382" t="e">
        <f t="shared" si="4"/>
        <v>#DIV/0!</v>
      </c>
      <c r="S108" s="382" t="e">
        <f t="shared" si="5"/>
        <v>#DIV/0!</v>
      </c>
    </row>
    <row r="109" spans="1:19" s="181" customFormat="1" ht="32.1" customHeight="1" x14ac:dyDescent="0.2">
      <c r="A109" s="361" t="s">
        <v>231</v>
      </c>
      <c r="B109" s="362" t="s">
        <v>2750</v>
      </c>
      <c r="C109" s="362" t="s">
        <v>2751</v>
      </c>
      <c r="D109" s="364"/>
      <c r="E109" s="405"/>
      <c r="F109" s="405"/>
      <c r="G109" s="405"/>
      <c r="H109" s="405"/>
      <c r="I109" s="405"/>
      <c r="J109" s="405"/>
      <c r="K109" s="405"/>
      <c r="L109" s="405"/>
      <c r="M109" s="405"/>
      <c r="N109" s="405"/>
      <c r="O109" s="405"/>
      <c r="P109" s="405"/>
      <c r="Q109" s="382" t="e">
        <f t="shared" si="3"/>
        <v>#DIV/0!</v>
      </c>
      <c r="R109" s="382" t="e">
        <f t="shared" si="4"/>
        <v>#DIV/0!</v>
      </c>
      <c r="S109" s="382" t="e">
        <f t="shared" si="5"/>
        <v>#DIV/0!</v>
      </c>
    </row>
    <row r="110" spans="1:19" s="181" customFormat="1" ht="32.1" customHeight="1" x14ac:dyDescent="0.2">
      <c r="A110" s="361" t="s">
        <v>231</v>
      </c>
      <c r="B110" s="362" t="s">
        <v>2752</v>
      </c>
      <c r="C110" s="362" t="s">
        <v>2753</v>
      </c>
      <c r="D110" s="364"/>
      <c r="E110" s="405"/>
      <c r="F110" s="405"/>
      <c r="G110" s="405"/>
      <c r="H110" s="405"/>
      <c r="I110" s="405"/>
      <c r="J110" s="405"/>
      <c r="K110" s="405"/>
      <c r="L110" s="405"/>
      <c r="M110" s="405"/>
      <c r="N110" s="405"/>
      <c r="O110" s="405"/>
      <c r="P110" s="405"/>
      <c r="Q110" s="382" t="e">
        <f t="shared" si="3"/>
        <v>#DIV/0!</v>
      </c>
      <c r="R110" s="382" t="e">
        <f t="shared" si="4"/>
        <v>#DIV/0!</v>
      </c>
      <c r="S110" s="382" t="e">
        <f t="shared" si="5"/>
        <v>#DIV/0!</v>
      </c>
    </row>
    <row r="111" spans="1:19" s="181" customFormat="1" ht="32.1" customHeight="1" x14ac:dyDescent="0.2">
      <c r="A111" s="361" t="s">
        <v>231</v>
      </c>
      <c r="B111" s="362" t="s">
        <v>2754</v>
      </c>
      <c r="C111" s="362" t="s">
        <v>2755</v>
      </c>
      <c r="D111" s="364">
        <v>245</v>
      </c>
      <c r="E111" s="405"/>
      <c r="F111" s="405">
        <v>97.3</v>
      </c>
      <c r="G111" s="405"/>
      <c r="H111" s="405"/>
      <c r="I111" s="405"/>
      <c r="J111" s="405"/>
      <c r="K111" s="405"/>
      <c r="L111" s="405">
        <v>97.3</v>
      </c>
      <c r="M111" s="405"/>
      <c r="N111" s="405"/>
      <c r="O111" s="405">
        <v>0</v>
      </c>
      <c r="P111" s="405"/>
      <c r="Q111" s="382">
        <f t="shared" ref="Q111:Q175" si="6">AVERAGE(E111:P111)</f>
        <v>64.86666666666666</v>
      </c>
      <c r="R111" s="382" t="str">
        <f t="shared" si="4"/>
        <v>NO</v>
      </c>
      <c r="S111" s="382" t="str">
        <f t="shared" si="5"/>
        <v>Alto</v>
      </c>
    </row>
    <row r="112" spans="1:19" s="181" customFormat="1" ht="32.1" customHeight="1" x14ac:dyDescent="0.2">
      <c r="A112" s="361" t="s">
        <v>231</v>
      </c>
      <c r="B112" s="362" t="s">
        <v>2756</v>
      </c>
      <c r="C112" s="362" t="s">
        <v>2757</v>
      </c>
      <c r="D112" s="364"/>
      <c r="E112" s="405"/>
      <c r="F112" s="405"/>
      <c r="G112" s="405"/>
      <c r="H112" s="405"/>
      <c r="I112" s="405"/>
      <c r="J112" s="405"/>
      <c r="K112" s="405"/>
      <c r="L112" s="405"/>
      <c r="M112" s="405"/>
      <c r="N112" s="405"/>
      <c r="O112" s="405"/>
      <c r="P112" s="405"/>
      <c r="Q112" s="382" t="e">
        <f t="shared" si="6"/>
        <v>#DIV/0!</v>
      </c>
      <c r="R112" s="382" t="e">
        <f t="shared" si="4"/>
        <v>#DIV/0!</v>
      </c>
      <c r="S112" s="382" t="e">
        <f t="shared" si="5"/>
        <v>#DIV/0!</v>
      </c>
    </row>
    <row r="113" spans="1:19" s="181" customFormat="1" ht="32.1" customHeight="1" x14ac:dyDescent="0.2">
      <c r="A113" s="361" t="s">
        <v>231</v>
      </c>
      <c r="B113" s="362" t="s">
        <v>97</v>
      </c>
      <c r="C113" s="362" t="s">
        <v>2758</v>
      </c>
      <c r="D113" s="364"/>
      <c r="E113" s="405"/>
      <c r="F113" s="405"/>
      <c r="G113" s="405"/>
      <c r="H113" s="405"/>
      <c r="I113" s="405"/>
      <c r="J113" s="405"/>
      <c r="K113" s="405"/>
      <c r="L113" s="405"/>
      <c r="M113" s="405"/>
      <c r="N113" s="405"/>
      <c r="O113" s="405"/>
      <c r="P113" s="405"/>
      <c r="Q113" s="382" t="e">
        <f t="shared" si="6"/>
        <v>#DIV/0!</v>
      </c>
      <c r="R113" s="382" t="e">
        <f t="shared" si="4"/>
        <v>#DIV/0!</v>
      </c>
      <c r="S113" s="382" t="e">
        <f t="shared" si="5"/>
        <v>#DIV/0!</v>
      </c>
    </row>
    <row r="114" spans="1:19" s="181" customFormat="1" ht="32.1" customHeight="1" x14ac:dyDescent="0.2">
      <c r="A114" s="361" t="s">
        <v>231</v>
      </c>
      <c r="B114" s="362" t="s">
        <v>2759</v>
      </c>
      <c r="C114" s="362" t="s">
        <v>2760</v>
      </c>
      <c r="D114" s="364"/>
      <c r="E114" s="405"/>
      <c r="F114" s="405"/>
      <c r="G114" s="405"/>
      <c r="H114" s="405"/>
      <c r="I114" s="405"/>
      <c r="J114" s="405"/>
      <c r="K114" s="405"/>
      <c r="L114" s="405"/>
      <c r="M114" s="405"/>
      <c r="N114" s="405"/>
      <c r="O114" s="405"/>
      <c r="P114" s="405"/>
      <c r="Q114" s="382" t="e">
        <f t="shared" si="6"/>
        <v>#DIV/0!</v>
      </c>
      <c r="R114" s="382" t="e">
        <f t="shared" si="4"/>
        <v>#DIV/0!</v>
      </c>
      <c r="S114" s="382" t="e">
        <f t="shared" si="5"/>
        <v>#DIV/0!</v>
      </c>
    </row>
    <row r="115" spans="1:19" s="181" customFormat="1" ht="32.1" customHeight="1" x14ac:dyDescent="0.2">
      <c r="A115" s="361" t="s">
        <v>231</v>
      </c>
      <c r="B115" s="362" t="s">
        <v>2761</v>
      </c>
      <c r="C115" s="362" t="s">
        <v>2762</v>
      </c>
      <c r="D115" s="364"/>
      <c r="E115" s="405"/>
      <c r="F115" s="405"/>
      <c r="G115" s="405"/>
      <c r="H115" s="405"/>
      <c r="I115" s="405"/>
      <c r="J115" s="405"/>
      <c r="K115" s="405"/>
      <c r="L115" s="405"/>
      <c r="M115" s="405"/>
      <c r="N115" s="405"/>
      <c r="O115" s="405"/>
      <c r="P115" s="405"/>
      <c r="Q115" s="382" t="e">
        <f t="shared" si="6"/>
        <v>#DIV/0!</v>
      </c>
      <c r="R115" s="382" t="e">
        <f t="shared" si="4"/>
        <v>#DIV/0!</v>
      </c>
      <c r="S115" s="382" t="e">
        <f t="shared" si="5"/>
        <v>#DIV/0!</v>
      </c>
    </row>
    <row r="116" spans="1:19" s="181" customFormat="1" ht="32.1" customHeight="1" x14ac:dyDescent="0.2">
      <c r="A116" s="361" t="s">
        <v>231</v>
      </c>
      <c r="B116" s="362" t="s">
        <v>2763</v>
      </c>
      <c r="C116" s="362" t="s">
        <v>2764</v>
      </c>
      <c r="D116" s="364"/>
      <c r="E116" s="405"/>
      <c r="F116" s="405"/>
      <c r="G116" s="405"/>
      <c r="H116" s="405"/>
      <c r="I116" s="405"/>
      <c r="J116" s="405"/>
      <c r="K116" s="405"/>
      <c r="L116" s="405"/>
      <c r="M116" s="405"/>
      <c r="N116" s="405"/>
      <c r="O116" s="405"/>
      <c r="P116" s="405"/>
      <c r="Q116" s="382" t="e">
        <f t="shared" si="6"/>
        <v>#DIV/0!</v>
      </c>
      <c r="R116" s="382" t="e">
        <f t="shared" si="4"/>
        <v>#DIV/0!</v>
      </c>
      <c r="S116" s="382" t="e">
        <f t="shared" si="5"/>
        <v>#DIV/0!</v>
      </c>
    </row>
    <row r="117" spans="1:19" s="181" customFormat="1" ht="32.1" customHeight="1" x14ac:dyDescent="0.2">
      <c r="A117" s="361" t="s">
        <v>231</v>
      </c>
      <c r="B117" s="362" t="s">
        <v>2765</v>
      </c>
      <c r="C117" s="362" t="s">
        <v>2766</v>
      </c>
      <c r="D117" s="364"/>
      <c r="E117" s="405"/>
      <c r="F117" s="405"/>
      <c r="G117" s="405"/>
      <c r="H117" s="405"/>
      <c r="I117" s="405"/>
      <c r="J117" s="405"/>
      <c r="K117" s="405"/>
      <c r="L117" s="405"/>
      <c r="M117" s="405"/>
      <c r="N117" s="405"/>
      <c r="O117" s="405"/>
      <c r="P117" s="405"/>
      <c r="Q117" s="382" t="e">
        <f t="shared" si="6"/>
        <v>#DIV/0!</v>
      </c>
      <c r="R117" s="382" t="e">
        <f t="shared" si="4"/>
        <v>#DIV/0!</v>
      </c>
      <c r="S117" s="382" t="e">
        <f t="shared" si="5"/>
        <v>#DIV/0!</v>
      </c>
    </row>
    <row r="118" spans="1:19" s="181" customFormat="1" ht="32.1" customHeight="1" x14ac:dyDescent="0.2">
      <c r="A118" s="361" t="s">
        <v>231</v>
      </c>
      <c r="B118" s="362" t="s">
        <v>2752</v>
      </c>
      <c r="C118" s="362" t="s">
        <v>4210</v>
      </c>
      <c r="D118" s="364">
        <v>140</v>
      </c>
      <c r="E118" s="405"/>
      <c r="F118" s="405"/>
      <c r="G118" s="405"/>
      <c r="H118" s="405">
        <v>97.3</v>
      </c>
      <c r="I118" s="405"/>
      <c r="J118" s="405"/>
      <c r="K118" s="405"/>
      <c r="L118" s="405"/>
      <c r="M118" s="405"/>
      <c r="N118" s="405"/>
      <c r="O118" s="405"/>
      <c r="P118" s="405"/>
      <c r="Q118" s="382">
        <f t="shared" si="6"/>
        <v>97.3</v>
      </c>
      <c r="R118" s="382" t="str">
        <f t="shared" si="4"/>
        <v>NO</v>
      </c>
      <c r="S118" s="382" t="str">
        <f t="shared" si="5"/>
        <v>Inviable Sanitariamente</v>
      </c>
    </row>
    <row r="119" spans="1:19" s="181" customFormat="1" ht="32.1" customHeight="1" x14ac:dyDescent="0.2">
      <c r="A119" s="361" t="s">
        <v>231</v>
      </c>
      <c r="B119" s="362" t="s">
        <v>2767</v>
      </c>
      <c r="C119" s="362" t="s">
        <v>2768</v>
      </c>
      <c r="D119" s="364">
        <v>70</v>
      </c>
      <c r="E119" s="405"/>
      <c r="F119" s="405"/>
      <c r="G119" s="405"/>
      <c r="H119" s="405">
        <v>97.3</v>
      </c>
      <c r="I119" s="405"/>
      <c r="J119" s="405"/>
      <c r="K119" s="405"/>
      <c r="L119" s="405"/>
      <c r="M119" s="405"/>
      <c r="N119" s="405"/>
      <c r="O119" s="405"/>
      <c r="P119" s="405"/>
      <c r="Q119" s="382">
        <f t="shared" si="6"/>
        <v>97.3</v>
      </c>
      <c r="R119" s="382" t="str">
        <f t="shared" si="4"/>
        <v>NO</v>
      </c>
      <c r="S119" s="382" t="str">
        <f t="shared" si="5"/>
        <v>Inviable Sanitariamente</v>
      </c>
    </row>
    <row r="120" spans="1:19" s="181" customFormat="1" ht="32.1" customHeight="1" x14ac:dyDescent="0.2">
      <c r="A120" s="361" t="s">
        <v>231</v>
      </c>
      <c r="B120" s="362" t="s">
        <v>2734</v>
      </c>
      <c r="C120" s="362" t="s">
        <v>2769</v>
      </c>
      <c r="D120" s="364">
        <v>30</v>
      </c>
      <c r="E120" s="405"/>
      <c r="F120" s="405">
        <v>97.3</v>
      </c>
      <c r="G120" s="405"/>
      <c r="H120" s="405"/>
      <c r="I120" s="405"/>
      <c r="J120" s="405"/>
      <c r="K120" s="405"/>
      <c r="L120" s="405"/>
      <c r="M120" s="405"/>
      <c r="N120" s="405"/>
      <c r="O120" s="405"/>
      <c r="P120" s="405"/>
      <c r="Q120" s="382">
        <f t="shared" si="6"/>
        <v>97.3</v>
      </c>
      <c r="R120" s="382" t="str">
        <f t="shared" si="4"/>
        <v>NO</v>
      </c>
      <c r="S120" s="382" t="str">
        <f t="shared" si="5"/>
        <v>Inviable Sanitariamente</v>
      </c>
    </row>
    <row r="121" spans="1:19" s="181" customFormat="1" ht="32.1" customHeight="1" x14ac:dyDescent="0.2">
      <c r="A121" s="361" t="s">
        <v>231</v>
      </c>
      <c r="B121" s="362" t="s">
        <v>647</v>
      </c>
      <c r="C121" s="362" t="s">
        <v>2770</v>
      </c>
      <c r="D121" s="364">
        <v>22</v>
      </c>
      <c r="E121" s="405"/>
      <c r="F121" s="405"/>
      <c r="G121" s="405"/>
      <c r="H121" s="405"/>
      <c r="I121" s="405"/>
      <c r="J121" s="405"/>
      <c r="K121" s="405"/>
      <c r="L121" s="405"/>
      <c r="M121" s="405"/>
      <c r="N121" s="405"/>
      <c r="O121" s="405">
        <v>97.3</v>
      </c>
      <c r="P121" s="405"/>
      <c r="Q121" s="382">
        <f t="shared" si="6"/>
        <v>97.3</v>
      </c>
      <c r="R121" s="382" t="str">
        <f t="shared" si="4"/>
        <v>NO</v>
      </c>
      <c r="S121" s="382" t="str">
        <f t="shared" si="5"/>
        <v>Inviable Sanitariamente</v>
      </c>
    </row>
    <row r="122" spans="1:19" s="181" customFormat="1" ht="32.1" customHeight="1" x14ac:dyDescent="0.2">
      <c r="A122" s="361" t="s">
        <v>231</v>
      </c>
      <c r="B122" s="362" t="s">
        <v>2771</v>
      </c>
      <c r="C122" s="362" t="s">
        <v>2772</v>
      </c>
      <c r="D122" s="364">
        <v>21</v>
      </c>
      <c r="E122" s="405"/>
      <c r="F122" s="405"/>
      <c r="G122" s="405"/>
      <c r="H122" s="405"/>
      <c r="I122" s="405"/>
      <c r="J122" s="405"/>
      <c r="K122" s="405"/>
      <c r="L122" s="405">
        <v>97.3</v>
      </c>
      <c r="M122" s="405"/>
      <c r="N122" s="405"/>
      <c r="O122" s="405"/>
      <c r="P122" s="405"/>
      <c r="Q122" s="382">
        <f t="shared" si="6"/>
        <v>97.3</v>
      </c>
      <c r="R122" s="382" t="str">
        <f t="shared" si="4"/>
        <v>NO</v>
      </c>
      <c r="S122" s="382" t="str">
        <f t="shared" si="5"/>
        <v>Inviable Sanitariamente</v>
      </c>
    </row>
    <row r="123" spans="1:19" s="181" customFormat="1" ht="32.1" customHeight="1" x14ac:dyDescent="0.2">
      <c r="A123" s="361" t="s">
        <v>231</v>
      </c>
      <c r="B123" s="362" t="s">
        <v>2773</v>
      </c>
      <c r="C123" s="362" t="s">
        <v>2774</v>
      </c>
      <c r="D123" s="364">
        <v>26</v>
      </c>
      <c r="E123" s="405"/>
      <c r="F123" s="405"/>
      <c r="G123" s="405"/>
      <c r="H123" s="405"/>
      <c r="I123" s="405"/>
      <c r="J123" s="405">
        <v>97.3</v>
      </c>
      <c r="K123" s="405"/>
      <c r="L123" s="405"/>
      <c r="M123" s="405"/>
      <c r="N123" s="405"/>
      <c r="O123" s="405"/>
      <c r="P123" s="405"/>
      <c r="Q123" s="382">
        <f t="shared" si="6"/>
        <v>97.3</v>
      </c>
      <c r="R123" s="382" t="str">
        <f t="shared" si="4"/>
        <v>NO</v>
      </c>
      <c r="S123" s="382" t="str">
        <f t="shared" si="5"/>
        <v>Inviable Sanitariamente</v>
      </c>
    </row>
    <row r="124" spans="1:19" s="181" customFormat="1" ht="32.1" customHeight="1" x14ac:dyDescent="0.2">
      <c r="A124" s="361" t="s">
        <v>231</v>
      </c>
      <c r="B124" s="362" t="s">
        <v>2775</v>
      </c>
      <c r="C124" s="362" t="s">
        <v>2776</v>
      </c>
      <c r="D124" s="364">
        <v>52</v>
      </c>
      <c r="E124" s="405"/>
      <c r="F124" s="405"/>
      <c r="G124" s="405"/>
      <c r="H124" s="405"/>
      <c r="I124" s="405">
        <v>97.3</v>
      </c>
      <c r="J124" s="405"/>
      <c r="K124" s="405"/>
      <c r="L124" s="405">
        <v>97.3</v>
      </c>
      <c r="M124" s="405"/>
      <c r="N124" s="405"/>
      <c r="O124" s="405"/>
      <c r="P124" s="405"/>
      <c r="Q124" s="382">
        <f t="shared" si="6"/>
        <v>97.3</v>
      </c>
      <c r="R124" s="382" t="str">
        <f t="shared" si="4"/>
        <v>NO</v>
      </c>
      <c r="S124" s="382" t="str">
        <f t="shared" si="5"/>
        <v>Inviable Sanitariamente</v>
      </c>
    </row>
    <row r="125" spans="1:19" s="181" customFormat="1" ht="32.1" customHeight="1" x14ac:dyDescent="0.2">
      <c r="A125" s="361" t="s">
        <v>231</v>
      </c>
      <c r="B125" s="362" t="s">
        <v>2777</v>
      </c>
      <c r="C125" s="362" t="s">
        <v>2778</v>
      </c>
      <c r="D125" s="364">
        <v>37</v>
      </c>
      <c r="E125" s="405"/>
      <c r="F125" s="405"/>
      <c r="G125" s="405"/>
      <c r="H125" s="405"/>
      <c r="I125" s="405">
        <v>97.3</v>
      </c>
      <c r="J125" s="405"/>
      <c r="K125" s="405"/>
      <c r="L125" s="405"/>
      <c r="M125" s="405"/>
      <c r="N125" s="405"/>
      <c r="O125" s="405"/>
      <c r="P125" s="405"/>
      <c r="Q125" s="382">
        <f t="shared" si="6"/>
        <v>97.3</v>
      </c>
      <c r="R125" s="382" t="str">
        <f t="shared" si="4"/>
        <v>NO</v>
      </c>
      <c r="S125" s="382" t="str">
        <f t="shared" si="5"/>
        <v>Inviable Sanitariamente</v>
      </c>
    </row>
    <row r="126" spans="1:19" s="181" customFormat="1" ht="32.1" customHeight="1" x14ac:dyDescent="0.2">
      <c r="A126" s="361" t="s">
        <v>231</v>
      </c>
      <c r="B126" s="362" t="s">
        <v>2779</v>
      </c>
      <c r="C126" s="362" t="s">
        <v>2780</v>
      </c>
      <c r="D126" s="364">
        <v>115</v>
      </c>
      <c r="E126" s="405"/>
      <c r="F126" s="405"/>
      <c r="G126" s="405"/>
      <c r="H126" s="405">
        <v>97.3</v>
      </c>
      <c r="I126" s="405"/>
      <c r="J126" s="405"/>
      <c r="K126" s="405"/>
      <c r="L126" s="405"/>
      <c r="M126" s="405"/>
      <c r="N126" s="405"/>
      <c r="O126" s="405"/>
      <c r="P126" s="405"/>
      <c r="Q126" s="382">
        <f t="shared" si="6"/>
        <v>97.3</v>
      </c>
      <c r="R126" s="382" t="str">
        <f t="shared" si="4"/>
        <v>NO</v>
      </c>
      <c r="S126" s="382" t="str">
        <f t="shared" si="5"/>
        <v>Inviable Sanitariamente</v>
      </c>
    </row>
    <row r="127" spans="1:19" s="181" customFormat="1" ht="32.1" customHeight="1" x14ac:dyDescent="0.2">
      <c r="A127" s="361" t="s">
        <v>231</v>
      </c>
      <c r="B127" s="362" t="s">
        <v>2781</v>
      </c>
      <c r="C127" s="362" t="s">
        <v>2782</v>
      </c>
      <c r="D127" s="364">
        <v>23</v>
      </c>
      <c r="E127" s="405"/>
      <c r="F127" s="405"/>
      <c r="G127" s="405"/>
      <c r="H127" s="405"/>
      <c r="I127" s="405"/>
      <c r="J127" s="405"/>
      <c r="K127" s="405"/>
      <c r="L127" s="405"/>
      <c r="M127" s="405"/>
      <c r="N127" s="405">
        <v>97.3</v>
      </c>
      <c r="O127" s="405"/>
      <c r="P127" s="405"/>
      <c r="Q127" s="382">
        <f t="shared" si="6"/>
        <v>97.3</v>
      </c>
      <c r="R127" s="382" t="str">
        <f t="shared" si="4"/>
        <v>NO</v>
      </c>
      <c r="S127" s="382" t="str">
        <f t="shared" si="5"/>
        <v>Inviable Sanitariamente</v>
      </c>
    </row>
    <row r="128" spans="1:19" s="181" customFormat="1" ht="32.1" customHeight="1" x14ac:dyDescent="0.2">
      <c r="A128" s="361" t="s">
        <v>231</v>
      </c>
      <c r="B128" s="362" t="s">
        <v>2783</v>
      </c>
      <c r="C128" s="362" t="s">
        <v>2784</v>
      </c>
      <c r="D128" s="364">
        <v>47</v>
      </c>
      <c r="E128" s="405"/>
      <c r="F128" s="405"/>
      <c r="G128" s="405"/>
      <c r="H128" s="405"/>
      <c r="I128" s="405"/>
      <c r="J128" s="405"/>
      <c r="K128" s="405"/>
      <c r="L128" s="405"/>
      <c r="M128" s="405">
        <v>97.3</v>
      </c>
      <c r="N128" s="405"/>
      <c r="O128" s="405"/>
      <c r="P128" s="405"/>
      <c r="Q128" s="382">
        <f t="shared" si="6"/>
        <v>97.3</v>
      </c>
      <c r="R128" s="382" t="str">
        <f t="shared" si="4"/>
        <v>NO</v>
      </c>
      <c r="S128" s="382" t="str">
        <f t="shared" si="5"/>
        <v>Inviable Sanitariamente</v>
      </c>
    </row>
    <row r="129" spans="1:19" s="181" customFormat="1" ht="32.1" customHeight="1" x14ac:dyDescent="0.2">
      <c r="A129" s="361" t="s">
        <v>231</v>
      </c>
      <c r="B129" s="362" t="s">
        <v>2785</v>
      </c>
      <c r="C129" s="362" t="s">
        <v>2786</v>
      </c>
      <c r="D129" s="364"/>
      <c r="E129" s="405"/>
      <c r="F129" s="405"/>
      <c r="G129" s="405"/>
      <c r="H129" s="405"/>
      <c r="I129" s="405"/>
      <c r="J129" s="405"/>
      <c r="K129" s="405"/>
      <c r="L129" s="405"/>
      <c r="M129" s="405"/>
      <c r="N129" s="405"/>
      <c r="O129" s="405"/>
      <c r="P129" s="405"/>
      <c r="Q129" s="382" t="e">
        <f t="shared" si="6"/>
        <v>#DIV/0!</v>
      </c>
      <c r="R129" s="382" t="e">
        <f t="shared" si="4"/>
        <v>#DIV/0!</v>
      </c>
      <c r="S129" s="382" t="e">
        <f t="shared" si="5"/>
        <v>#DIV/0!</v>
      </c>
    </row>
    <row r="130" spans="1:19" s="181" customFormat="1" ht="32.1" customHeight="1" x14ac:dyDescent="0.2">
      <c r="A130" s="361" t="s">
        <v>231</v>
      </c>
      <c r="B130" s="362" t="s">
        <v>2787</v>
      </c>
      <c r="C130" s="362" t="s">
        <v>2788</v>
      </c>
      <c r="D130" s="364">
        <v>47</v>
      </c>
      <c r="E130" s="405"/>
      <c r="F130" s="405">
        <v>97.3</v>
      </c>
      <c r="G130" s="405"/>
      <c r="H130" s="405"/>
      <c r="I130" s="405"/>
      <c r="J130" s="405"/>
      <c r="K130" s="405"/>
      <c r="L130" s="405"/>
      <c r="M130" s="405"/>
      <c r="N130" s="405"/>
      <c r="O130" s="405"/>
      <c r="P130" s="405"/>
      <c r="Q130" s="382">
        <f t="shared" si="6"/>
        <v>97.3</v>
      </c>
      <c r="R130" s="382" t="str">
        <f t="shared" si="4"/>
        <v>NO</v>
      </c>
      <c r="S130" s="382" t="str">
        <f t="shared" si="5"/>
        <v>Inviable Sanitariamente</v>
      </c>
    </row>
    <row r="131" spans="1:19" s="181" customFormat="1" ht="32.1" customHeight="1" x14ac:dyDescent="0.2">
      <c r="A131" s="361" t="s">
        <v>231</v>
      </c>
      <c r="B131" s="362" t="s">
        <v>2789</v>
      </c>
      <c r="C131" s="362" t="s">
        <v>2790</v>
      </c>
      <c r="D131" s="364">
        <v>26</v>
      </c>
      <c r="E131" s="405"/>
      <c r="F131" s="405"/>
      <c r="G131" s="405"/>
      <c r="H131" s="405"/>
      <c r="I131" s="405"/>
      <c r="J131" s="405"/>
      <c r="K131" s="405"/>
      <c r="L131" s="405">
        <v>97.3</v>
      </c>
      <c r="M131" s="405"/>
      <c r="N131" s="405"/>
      <c r="O131" s="405"/>
      <c r="P131" s="405"/>
      <c r="Q131" s="382">
        <f t="shared" si="6"/>
        <v>97.3</v>
      </c>
      <c r="R131" s="382" t="str">
        <f t="shared" si="4"/>
        <v>NO</v>
      </c>
      <c r="S131" s="382" t="str">
        <f t="shared" si="5"/>
        <v>Inviable Sanitariamente</v>
      </c>
    </row>
    <row r="132" spans="1:19" s="181" customFormat="1" ht="32.1" customHeight="1" x14ac:dyDescent="0.2">
      <c r="A132" s="361" t="s">
        <v>231</v>
      </c>
      <c r="B132" s="362" t="s">
        <v>2791</v>
      </c>
      <c r="C132" s="362" t="s">
        <v>2792</v>
      </c>
      <c r="D132" s="364">
        <v>45</v>
      </c>
      <c r="E132" s="405"/>
      <c r="F132" s="405">
        <v>97.3</v>
      </c>
      <c r="G132" s="405"/>
      <c r="H132" s="405"/>
      <c r="I132" s="405"/>
      <c r="J132" s="405"/>
      <c r="K132" s="405"/>
      <c r="L132" s="405"/>
      <c r="M132" s="405"/>
      <c r="N132" s="405"/>
      <c r="O132" s="405"/>
      <c r="P132" s="405"/>
      <c r="Q132" s="382">
        <f t="shared" si="6"/>
        <v>97.3</v>
      </c>
      <c r="R132" s="382" t="str">
        <f t="shared" si="4"/>
        <v>NO</v>
      </c>
      <c r="S132" s="382" t="str">
        <f t="shared" si="5"/>
        <v>Inviable Sanitariamente</v>
      </c>
    </row>
    <row r="133" spans="1:19" s="181" customFormat="1" ht="32.1" customHeight="1" x14ac:dyDescent="0.2">
      <c r="A133" s="361" t="s">
        <v>231</v>
      </c>
      <c r="B133" s="362" t="s">
        <v>2793</v>
      </c>
      <c r="C133" s="362" t="s">
        <v>2794</v>
      </c>
      <c r="D133" s="364"/>
      <c r="E133" s="405"/>
      <c r="F133" s="405"/>
      <c r="G133" s="405"/>
      <c r="H133" s="405"/>
      <c r="I133" s="405"/>
      <c r="J133" s="405"/>
      <c r="K133" s="405"/>
      <c r="L133" s="405"/>
      <c r="M133" s="405"/>
      <c r="N133" s="405"/>
      <c r="O133" s="405"/>
      <c r="P133" s="405"/>
      <c r="Q133" s="382" t="e">
        <f t="shared" si="6"/>
        <v>#DIV/0!</v>
      </c>
      <c r="R133" s="382" t="e">
        <f t="shared" si="4"/>
        <v>#DIV/0!</v>
      </c>
      <c r="S133" s="382" t="e">
        <f t="shared" si="5"/>
        <v>#DIV/0!</v>
      </c>
    </row>
    <row r="134" spans="1:19" s="181" customFormat="1" ht="32.1" customHeight="1" x14ac:dyDescent="0.2">
      <c r="A134" s="361" t="s">
        <v>231</v>
      </c>
      <c r="B134" s="362" t="s">
        <v>2795</v>
      </c>
      <c r="C134" s="362" t="s">
        <v>2796</v>
      </c>
      <c r="D134" s="364">
        <v>28</v>
      </c>
      <c r="E134" s="405"/>
      <c r="F134" s="405"/>
      <c r="G134" s="405"/>
      <c r="H134" s="405"/>
      <c r="I134" s="405"/>
      <c r="J134" s="405">
        <v>97.3</v>
      </c>
      <c r="K134" s="405"/>
      <c r="L134" s="405"/>
      <c r="M134" s="405"/>
      <c r="N134" s="405"/>
      <c r="O134" s="405"/>
      <c r="P134" s="405"/>
      <c r="Q134" s="382">
        <f t="shared" si="6"/>
        <v>97.3</v>
      </c>
      <c r="R134" s="382" t="str">
        <f t="shared" si="4"/>
        <v>NO</v>
      </c>
      <c r="S134" s="382" t="str">
        <f t="shared" si="5"/>
        <v>Inviable Sanitariamente</v>
      </c>
    </row>
    <row r="135" spans="1:19" s="181" customFormat="1" ht="32.1" customHeight="1" x14ac:dyDescent="0.2">
      <c r="A135" s="361" t="s">
        <v>231</v>
      </c>
      <c r="B135" s="362" t="s">
        <v>2797</v>
      </c>
      <c r="C135" s="362" t="s">
        <v>2798</v>
      </c>
      <c r="D135" s="364"/>
      <c r="E135" s="405"/>
      <c r="F135" s="405"/>
      <c r="G135" s="405"/>
      <c r="H135" s="405"/>
      <c r="I135" s="405"/>
      <c r="J135" s="405"/>
      <c r="K135" s="405"/>
      <c r="L135" s="405"/>
      <c r="M135" s="405"/>
      <c r="N135" s="405"/>
      <c r="O135" s="405"/>
      <c r="P135" s="405"/>
      <c r="Q135" s="382" t="e">
        <f t="shared" si="6"/>
        <v>#DIV/0!</v>
      </c>
      <c r="R135" s="382" t="e">
        <f t="shared" si="4"/>
        <v>#DIV/0!</v>
      </c>
      <c r="S135" s="382" t="e">
        <f t="shared" si="5"/>
        <v>#DIV/0!</v>
      </c>
    </row>
    <row r="136" spans="1:19" s="181" customFormat="1" ht="32.1" customHeight="1" x14ac:dyDescent="0.2">
      <c r="A136" s="361" t="s">
        <v>231</v>
      </c>
      <c r="B136" s="362" t="s">
        <v>1</v>
      </c>
      <c r="C136" s="362" t="s">
        <v>2799</v>
      </c>
      <c r="D136" s="364">
        <v>20</v>
      </c>
      <c r="E136" s="405"/>
      <c r="F136" s="405"/>
      <c r="G136" s="405"/>
      <c r="H136" s="405"/>
      <c r="I136" s="405"/>
      <c r="J136" s="405">
        <v>97.3</v>
      </c>
      <c r="K136" s="405"/>
      <c r="L136" s="405"/>
      <c r="M136" s="405"/>
      <c r="N136" s="405"/>
      <c r="O136" s="405"/>
      <c r="P136" s="405"/>
      <c r="Q136" s="382">
        <f t="shared" si="6"/>
        <v>97.3</v>
      </c>
      <c r="R136" s="382" t="str">
        <f t="shared" si="4"/>
        <v>NO</v>
      </c>
      <c r="S136" s="382" t="str">
        <f t="shared" si="5"/>
        <v>Inviable Sanitariamente</v>
      </c>
    </row>
    <row r="137" spans="1:19" s="181" customFormat="1" ht="32.1" customHeight="1" x14ac:dyDescent="0.2">
      <c r="A137" s="361" t="s">
        <v>231</v>
      </c>
      <c r="B137" s="362" t="s">
        <v>1</v>
      </c>
      <c r="C137" s="362" t="s">
        <v>2800</v>
      </c>
      <c r="D137" s="364"/>
      <c r="E137" s="405"/>
      <c r="F137" s="405"/>
      <c r="G137" s="405"/>
      <c r="H137" s="405"/>
      <c r="I137" s="405"/>
      <c r="J137" s="405"/>
      <c r="K137" s="405"/>
      <c r="L137" s="405"/>
      <c r="M137" s="405"/>
      <c r="N137" s="405"/>
      <c r="O137" s="405"/>
      <c r="P137" s="405"/>
      <c r="Q137" s="382" t="e">
        <f t="shared" si="6"/>
        <v>#DIV/0!</v>
      </c>
      <c r="R137" s="382" t="e">
        <f t="shared" si="4"/>
        <v>#DIV/0!</v>
      </c>
      <c r="S137" s="382" t="e">
        <f t="shared" si="5"/>
        <v>#DIV/0!</v>
      </c>
    </row>
    <row r="138" spans="1:19" s="181" customFormat="1" ht="32.1" customHeight="1" x14ac:dyDescent="0.2">
      <c r="A138" s="361" t="s">
        <v>231</v>
      </c>
      <c r="B138" s="362" t="s">
        <v>233</v>
      </c>
      <c r="C138" s="362" t="s">
        <v>2801</v>
      </c>
      <c r="D138" s="364"/>
      <c r="E138" s="405"/>
      <c r="F138" s="405"/>
      <c r="G138" s="405"/>
      <c r="H138" s="405"/>
      <c r="I138" s="405"/>
      <c r="J138" s="405"/>
      <c r="K138" s="405"/>
      <c r="L138" s="405"/>
      <c r="M138" s="405"/>
      <c r="N138" s="405"/>
      <c r="O138" s="405"/>
      <c r="P138" s="405"/>
      <c r="Q138" s="382" t="e">
        <f t="shared" si="6"/>
        <v>#DIV/0!</v>
      </c>
      <c r="R138" s="382" t="e">
        <f t="shared" si="4"/>
        <v>#DIV/0!</v>
      </c>
      <c r="S138" s="382" t="e">
        <f t="shared" si="5"/>
        <v>#DIV/0!</v>
      </c>
    </row>
    <row r="139" spans="1:19" s="181" customFormat="1" ht="32.1" customHeight="1" x14ac:dyDescent="0.2">
      <c r="A139" s="361" t="s">
        <v>231</v>
      </c>
      <c r="B139" s="362" t="s">
        <v>1195</v>
      </c>
      <c r="C139" s="362" t="s">
        <v>2802</v>
      </c>
      <c r="D139" s="364">
        <v>30</v>
      </c>
      <c r="E139" s="405"/>
      <c r="F139" s="405">
        <v>97.3</v>
      </c>
      <c r="G139" s="405"/>
      <c r="H139" s="405"/>
      <c r="I139" s="405"/>
      <c r="J139" s="405"/>
      <c r="K139" s="405"/>
      <c r="L139" s="405"/>
      <c r="M139" s="405"/>
      <c r="N139" s="405"/>
      <c r="O139" s="405"/>
      <c r="P139" s="405"/>
      <c r="Q139" s="382">
        <f>AVERAGE(E139:P139)</f>
        <v>97.3</v>
      </c>
      <c r="R139" s="382" t="str">
        <f>IF(Q139&lt;5,"SI","NO")</f>
        <v>NO</v>
      </c>
      <c r="S139" s="382" t="str">
        <f>IF(Q139&lt;=5,"Sin Riesgo",IF(Q139 &lt;=14,"Bajo",IF(Q139&lt;=35,"Medio",IF(Q139&lt;=80,"Alto","Inviable Sanitariamente"))))</f>
        <v>Inviable Sanitariamente</v>
      </c>
    </row>
    <row r="140" spans="1:19" s="181" customFormat="1" ht="32.1" customHeight="1" x14ac:dyDescent="0.2">
      <c r="A140" s="361" t="s">
        <v>231</v>
      </c>
      <c r="B140" s="362" t="s">
        <v>4208</v>
      </c>
      <c r="C140" s="362" t="s">
        <v>4209</v>
      </c>
      <c r="D140" s="364">
        <v>16</v>
      </c>
      <c r="E140" s="405"/>
      <c r="F140" s="405"/>
      <c r="G140" s="405"/>
      <c r="H140" s="405"/>
      <c r="I140" s="405"/>
      <c r="J140" s="405"/>
      <c r="K140" s="405"/>
      <c r="L140" s="405"/>
      <c r="M140" s="405"/>
      <c r="N140" s="405">
        <v>97.3</v>
      </c>
      <c r="O140" s="405"/>
      <c r="P140" s="405"/>
      <c r="Q140" s="382">
        <f t="shared" si="6"/>
        <v>97.3</v>
      </c>
      <c r="R140" s="382" t="str">
        <f t="shared" si="4"/>
        <v>NO</v>
      </c>
      <c r="S140" s="382" t="str">
        <f t="shared" si="5"/>
        <v>Inviable Sanitariamente</v>
      </c>
    </row>
    <row r="141" spans="1:19" s="181" customFormat="1" ht="32.1" customHeight="1" x14ac:dyDescent="0.2">
      <c r="A141" s="361" t="s">
        <v>231</v>
      </c>
      <c r="B141" s="362" t="s">
        <v>1195</v>
      </c>
      <c r="C141" s="362" t="s">
        <v>2803</v>
      </c>
      <c r="D141" s="364"/>
      <c r="E141" s="405"/>
      <c r="F141" s="405"/>
      <c r="G141" s="405"/>
      <c r="H141" s="405"/>
      <c r="I141" s="405"/>
      <c r="J141" s="405"/>
      <c r="K141" s="405"/>
      <c r="L141" s="405"/>
      <c r="M141" s="405"/>
      <c r="N141" s="405"/>
      <c r="O141" s="405"/>
      <c r="P141" s="405"/>
      <c r="Q141" s="382" t="e">
        <f t="shared" si="6"/>
        <v>#DIV/0!</v>
      </c>
      <c r="R141" s="382" t="e">
        <f t="shared" si="4"/>
        <v>#DIV/0!</v>
      </c>
      <c r="S141" s="382" t="e">
        <f t="shared" si="5"/>
        <v>#DIV/0!</v>
      </c>
    </row>
    <row r="142" spans="1:19" s="181" customFormat="1" ht="32.1" customHeight="1" x14ac:dyDescent="0.2">
      <c r="A142" s="361" t="s">
        <v>231</v>
      </c>
      <c r="B142" s="362" t="s">
        <v>2804</v>
      </c>
      <c r="C142" s="362" t="s">
        <v>2805</v>
      </c>
      <c r="D142" s="364">
        <v>43</v>
      </c>
      <c r="E142" s="405"/>
      <c r="F142" s="405">
        <v>97.3</v>
      </c>
      <c r="G142" s="405"/>
      <c r="H142" s="405"/>
      <c r="I142" s="405"/>
      <c r="J142" s="405"/>
      <c r="K142" s="405"/>
      <c r="L142" s="405"/>
      <c r="M142" s="405"/>
      <c r="N142" s="405"/>
      <c r="O142" s="405"/>
      <c r="P142" s="405"/>
      <c r="Q142" s="382">
        <f t="shared" si="6"/>
        <v>97.3</v>
      </c>
      <c r="R142" s="382" t="str">
        <f t="shared" si="4"/>
        <v>NO</v>
      </c>
      <c r="S142" s="382" t="str">
        <f t="shared" si="5"/>
        <v>Inviable Sanitariamente</v>
      </c>
    </row>
    <row r="143" spans="1:19" s="181" customFormat="1" ht="32.1" customHeight="1" x14ac:dyDescent="0.2">
      <c r="A143" s="361" t="s">
        <v>231</v>
      </c>
      <c r="B143" s="362" t="s">
        <v>2806</v>
      </c>
      <c r="C143" s="362" t="s">
        <v>2807</v>
      </c>
      <c r="D143" s="364">
        <v>65</v>
      </c>
      <c r="E143" s="405"/>
      <c r="F143" s="405"/>
      <c r="G143" s="405"/>
      <c r="H143" s="405"/>
      <c r="I143" s="405"/>
      <c r="J143" s="405">
        <v>97.3</v>
      </c>
      <c r="K143" s="405"/>
      <c r="L143" s="405"/>
      <c r="M143" s="405"/>
      <c r="N143" s="405"/>
      <c r="O143" s="405"/>
      <c r="P143" s="405"/>
      <c r="Q143" s="382">
        <f t="shared" si="6"/>
        <v>97.3</v>
      </c>
      <c r="R143" s="382" t="str">
        <f t="shared" si="4"/>
        <v>NO</v>
      </c>
      <c r="S143" s="382" t="str">
        <f t="shared" si="5"/>
        <v>Inviable Sanitariamente</v>
      </c>
    </row>
    <row r="144" spans="1:19" s="181" customFormat="1" ht="32.1" customHeight="1" x14ac:dyDescent="0.2">
      <c r="A144" s="361" t="s">
        <v>231</v>
      </c>
      <c r="B144" s="362" t="s">
        <v>2808</v>
      </c>
      <c r="C144" s="362" t="s">
        <v>2809</v>
      </c>
      <c r="D144" s="364">
        <v>23</v>
      </c>
      <c r="E144" s="405"/>
      <c r="F144" s="405"/>
      <c r="G144" s="405"/>
      <c r="H144" s="405"/>
      <c r="I144" s="405"/>
      <c r="J144" s="405">
        <v>97.3</v>
      </c>
      <c r="K144" s="405"/>
      <c r="L144" s="405"/>
      <c r="M144" s="405"/>
      <c r="N144" s="405"/>
      <c r="O144" s="405"/>
      <c r="P144" s="405"/>
      <c r="Q144" s="382">
        <f t="shared" si="6"/>
        <v>97.3</v>
      </c>
      <c r="R144" s="382" t="str">
        <f t="shared" si="4"/>
        <v>NO</v>
      </c>
      <c r="S144" s="382" t="str">
        <f t="shared" si="5"/>
        <v>Inviable Sanitariamente</v>
      </c>
    </row>
    <row r="145" spans="1:19" s="181" customFormat="1" ht="32.1" customHeight="1" x14ac:dyDescent="0.2">
      <c r="A145" s="361" t="s">
        <v>231</v>
      </c>
      <c r="B145" s="362" t="s">
        <v>2810</v>
      </c>
      <c r="C145" s="362" t="s">
        <v>2811</v>
      </c>
      <c r="D145" s="364">
        <v>20</v>
      </c>
      <c r="E145" s="405"/>
      <c r="F145" s="405"/>
      <c r="G145" s="405"/>
      <c r="H145" s="405"/>
      <c r="I145" s="405"/>
      <c r="J145" s="405"/>
      <c r="K145" s="405"/>
      <c r="L145" s="405">
        <v>97.3</v>
      </c>
      <c r="M145" s="405"/>
      <c r="N145" s="405"/>
      <c r="O145" s="405"/>
      <c r="P145" s="405"/>
      <c r="Q145" s="382">
        <f t="shared" si="6"/>
        <v>97.3</v>
      </c>
      <c r="R145" s="382" t="str">
        <f t="shared" si="4"/>
        <v>NO</v>
      </c>
      <c r="S145" s="382" t="str">
        <f t="shared" si="5"/>
        <v>Inviable Sanitariamente</v>
      </c>
    </row>
    <row r="146" spans="1:19" s="181" customFormat="1" ht="32.1" customHeight="1" x14ac:dyDescent="0.2">
      <c r="A146" s="361" t="s">
        <v>231</v>
      </c>
      <c r="B146" s="362" t="s">
        <v>2810</v>
      </c>
      <c r="C146" s="362" t="s">
        <v>2812</v>
      </c>
      <c r="D146" s="364"/>
      <c r="E146" s="405"/>
      <c r="F146" s="405"/>
      <c r="G146" s="405"/>
      <c r="H146" s="405"/>
      <c r="I146" s="405"/>
      <c r="J146" s="405"/>
      <c r="K146" s="405"/>
      <c r="L146" s="405"/>
      <c r="M146" s="405"/>
      <c r="N146" s="405"/>
      <c r="O146" s="405"/>
      <c r="P146" s="405"/>
      <c r="Q146" s="382" t="e">
        <f t="shared" si="6"/>
        <v>#DIV/0!</v>
      </c>
      <c r="R146" s="382" t="e">
        <f t="shared" si="4"/>
        <v>#DIV/0!</v>
      </c>
      <c r="S146" s="382" t="e">
        <f t="shared" si="5"/>
        <v>#DIV/0!</v>
      </c>
    </row>
    <row r="147" spans="1:19" s="181" customFormat="1" ht="32.1" customHeight="1" x14ac:dyDescent="0.2">
      <c r="A147" s="361" t="s">
        <v>231</v>
      </c>
      <c r="B147" s="362" t="s">
        <v>1437</v>
      </c>
      <c r="C147" s="362" t="s">
        <v>2813</v>
      </c>
      <c r="D147" s="364">
        <v>18</v>
      </c>
      <c r="E147" s="405"/>
      <c r="F147" s="405">
        <v>97.3</v>
      </c>
      <c r="G147" s="405"/>
      <c r="H147" s="405"/>
      <c r="I147" s="405"/>
      <c r="J147" s="405"/>
      <c r="K147" s="405"/>
      <c r="L147" s="405"/>
      <c r="M147" s="405"/>
      <c r="N147" s="405"/>
      <c r="O147" s="405"/>
      <c r="P147" s="405"/>
      <c r="Q147" s="382">
        <f t="shared" si="6"/>
        <v>97.3</v>
      </c>
      <c r="R147" s="382" t="str">
        <f t="shared" si="4"/>
        <v>NO</v>
      </c>
      <c r="S147" s="382" t="str">
        <f t="shared" si="5"/>
        <v>Inviable Sanitariamente</v>
      </c>
    </row>
    <row r="148" spans="1:19" s="181" customFormat="1" ht="32.1" customHeight="1" x14ac:dyDescent="0.2">
      <c r="A148" s="361" t="s">
        <v>231</v>
      </c>
      <c r="B148" s="362" t="s">
        <v>2814</v>
      </c>
      <c r="C148" s="362" t="s">
        <v>2815</v>
      </c>
      <c r="D148" s="364">
        <v>32</v>
      </c>
      <c r="E148" s="405"/>
      <c r="F148" s="405"/>
      <c r="G148" s="405"/>
      <c r="H148" s="405"/>
      <c r="I148" s="405"/>
      <c r="J148" s="405"/>
      <c r="K148" s="405">
        <v>97.3</v>
      </c>
      <c r="L148" s="405"/>
      <c r="M148" s="405"/>
      <c r="N148" s="405"/>
      <c r="O148" s="405"/>
      <c r="P148" s="405"/>
      <c r="Q148" s="382">
        <f t="shared" si="6"/>
        <v>97.3</v>
      </c>
      <c r="R148" s="382" t="str">
        <f t="shared" si="4"/>
        <v>NO</v>
      </c>
      <c r="S148" s="382" t="str">
        <f t="shared" si="5"/>
        <v>Inviable Sanitariamente</v>
      </c>
    </row>
    <row r="149" spans="1:19" s="181" customFormat="1" ht="32.1" customHeight="1" x14ac:dyDescent="0.2">
      <c r="A149" s="361" t="s">
        <v>231</v>
      </c>
      <c r="B149" s="362" t="s">
        <v>2816</v>
      </c>
      <c r="C149" s="362" t="s">
        <v>2817</v>
      </c>
      <c r="D149" s="364">
        <v>23</v>
      </c>
      <c r="E149" s="405"/>
      <c r="F149" s="405"/>
      <c r="G149" s="405"/>
      <c r="H149" s="405"/>
      <c r="I149" s="405">
        <v>97.3</v>
      </c>
      <c r="J149" s="405">
        <v>97.3</v>
      </c>
      <c r="K149" s="405"/>
      <c r="L149" s="405"/>
      <c r="M149" s="405"/>
      <c r="N149" s="405"/>
      <c r="O149" s="405"/>
      <c r="P149" s="405"/>
      <c r="Q149" s="382">
        <f t="shared" si="6"/>
        <v>97.3</v>
      </c>
      <c r="R149" s="382" t="str">
        <f t="shared" si="4"/>
        <v>NO</v>
      </c>
      <c r="S149" s="382" t="str">
        <f t="shared" si="5"/>
        <v>Inviable Sanitariamente</v>
      </c>
    </row>
    <row r="150" spans="1:19" s="181" customFormat="1" ht="32.1" customHeight="1" x14ac:dyDescent="0.2">
      <c r="A150" s="361" t="s">
        <v>231</v>
      </c>
      <c r="B150" s="362" t="s">
        <v>2818</v>
      </c>
      <c r="C150" s="362" t="s">
        <v>2819</v>
      </c>
      <c r="D150" s="364">
        <v>28</v>
      </c>
      <c r="E150" s="405"/>
      <c r="F150" s="405"/>
      <c r="G150" s="405"/>
      <c r="H150" s="405"/>
      <c r="I150" s="405"/>
      <c r="J150" s="405">
        <v>97.3</v>
      </c>
      <c r="K150" s="405"/>
      <c r="L150" s="405"/>
      <c r="M150" s="405"/>
      <c r="N150" s="405"/>
      <c r="O150" s="405"/>
      <c r="P150" s="405"/>
      <c r="Q150" s="382">
        <f t="shared" si="6"/>
        <v>97.3</v>
      </c>
      <c r="R150" s="382" t="str">
        <f t="shared" si="4"/>
        <v>NO</v>
      </c>
      <c r="S150" s="382" t="str">
        <f t="shared" si="5"/>
        <v>Inviable Sanitariamente</v>
      </c>
    </row>
    <row r="151" spans="1:19" s="181" customFormat="1" ht="38.25" customHeight="1" x14ac:dyDescent="0.2">
      <c r="A151" s="361" t="s">
        <v>231</v>
      </c>
      <c r="B151" s="362" t="s">
        <v>2820</v>
      </c>
      <c r="C151" s="362" t="s">
        <v>2821</v>
      </c>
      <c r="D151" s="364">
        <v>18</v>
      </c>
      <c r="E151" s="405"/>
      <c r="F151" s="405"/>
      <c r="G151" s="405"/>
      <c r="H151" s="405">
        <v>97.3</v>
      </c>
      <c r="I151" s="405"/>
      <c r="J151" s="405"/>
      <c r="K151" s="405"/>
      <c r="L151" s="405"/>
      <c r="M151" s="405"/>
      <c r="N151" s="405"/>
      <c r="O151" s="405"/>
      <c r="P151" s="405"/>
      <c r="Q151" s="382">
        <f t="shared" si="6"/>
        <v>97.3</v>
      </c>
      <c r="R151" s="382" t="str">
        <f t="shared" si="4"/>
        <v>NO</v>
      </c>
      <c r="S151" s="382" t="str">
        <f t="shared" si="5"/>
        <v>Inviable Sanitariamente</v>
      </c>
    </row>
    <row r="152" spans="1:19" s="181" customFormat="1" ht="37.5" customHeight="1" x14ac:dyDescent="0.2">
      <c r="A152" s="361" t="s">
        <v>231</v>
      </c>
      <c r="B152" s="362" t="s">
        <v>2822</v>
      </c>
      <c r="C152" s="362" t="s">
        <v>2823</v>
      </c>
      <c r="D152" s="364"/>
      <c r="E152" s="405"/>
      <c r="F152" s="405"/>
      <c r="G152" s="405"/>
      <c r="H152" s="405"/>
      <c r="I152" s="405"/>
      <c r="J152" s="405"/>
      <c r="K152" s="405"/>
      <c r="L152" s="405"/>
      <c r="M152" s="405"/>
      <c r="N152" s="405"/>
      <c r="O152" s="405"/>
      <c r="P152" s="405"/>
      <c r="Q152" s="382" t="e">
        <f t="shared" si="6"/>
        <v>#DIV/0!</v>
      </c>
      <c r="R152" s="382" t="e">
        <f t="shared" ref="R152:R218" si="7">IF(Q152&lt;5,"SI","NO")</f>
        <v>#DIV/0!</v>
      </c>
      <c r="S152" s="382" t="e">
        <f t="shared" si="5"/>
        <v>#DIV/0!</v>
      </c>
    </row>
    <row r="153" spans="1:19" s="181" customFormat="1" ht="32.1" customHeight="1" x14ac:dyDescent="0.2">
      <c r="A153" s="361" t="s">
        <v>231</v>
      </c>
      <c r="B153" s="362" t="s">
        <v>2824</v>
      </c>
      <c r="C153" s="362" t="s">
        <v>2825</v>
      </c>
      <c r="D153" s="364"/>
      <c r="E153" s="405"/>
      <c r="F153" s="405"/>
      <c r="G153" s="405"/>
      <c r="H153" s="405"/>
      <c r="I153" s="405"/>
      <c r="J153" s="405"/>
      <c r="K153" s="405"/>
      <c r="L153" s="405"/>
      <c r="M153" s="405"/>
      <c r="N153" s="405"/>
      <c r="O153" s="405"/>
      <c r="P153" s="405"/>
      <c r="Q153" s="382" t="e">
        <f t="shared" si="6"/>
        <v>#DIV/0!</v>
      </c>
      <c r="R153" s="382" t="e">
        <f t="shared" si="7"/>
        <v>#DIV/0!</v>
      </c>
      <c r="S153" s="382" t="e">
        <f t="shared" ref="S153:S219" si="8">IF(Q153&lt;=5,"Sin Riesgo",IF(Q153 &lt;=14,"Bajo",IF(Q153&lt;=35,"Medio",IF(Q153&lt;=80,"Alto","Inviable Sanitariamente"))))</f>
        <v>#DIV/0!</v>
      </c>
    </row>
    <row r="154" spans="1:19" s="181" customFormat="1" ht="32.1" customHeight="1" x14ac:dyDescent="0.2">
      <c r="A154" s="361" t="s">
        <v>231</v>
      </c>
      <c r="B154" s="362" t="s">
        <v>10</v>
      </c>
      <c r="C154" s="362" t="s">
        <v>2826</v>
      </c>
      <c r="D154" s="364">
        <v>20</v>
      </c>
      <c r="E154" s="405"/>
      <c r="F154" s="405"/>
      <c r="G154" s="405">
        <v>97.3</v>
      </c>
      <c r="H154" s="405"/>
      <c r="I154" s="405"/>
      <c r="J154" s="405"/>
      <c r="K154" s="405"/>
      <c r="L154" s="405"/>
      <c r="M154" s="405"/>
      <c r="N154" s="405"/>
      <c r="O154" s="405"/>
      <c r="P154" s="405"/>
      <c r="Q154" s="382">
        <f t="shared" si="6"/>
        <v>97.3</v>
      </c>
      <c r="R154" s="382" t="str">
        <f t="shared" si="7"/>
        <v>NO</v>
      </c>
      <c r="S154" s="382" t="str">
        <f t="shared" si="8"/>
        <v>Inviable Sanitariamente</v>
      </c>
    </row>
    <row r="155" spans="1:19" s="181" customFormat="1" ht="32.1" customHeight="1" x14ac:dyDescent="0.2">
      <c r="A155" s="361" t="s">
        <v>231</v>
      </c>
      <c r="B155" s="362" t="s">
        <v>2827</v>
      </c>
      <c r="C155" s="362" t="s">
        <v>2828</v>
      </c>
      <c r="D155" s="364"/>
      <c r="E155" s="405"/>
      <c r="F155" s="405"/>
      <c r="G155" s="405"/>
      <c r="H155" s="405"/>
      <c r="I155" s="405"/>
      <c r="J155" s="405"/>
      <c r="K155" s="405"/>
      <c r="L155" s="405"/>
      <c r="M155" s="405"/>
      <c r="N155" s="405"/>
      <c r="O155" s="405"/>
      <c r="P155" s="405"/>
      <c r="Q155" s="382" t="e">
        <f t="shared" si="6"/>
        <v>#DIV/0!</v>
      </c>
      <c r="R155" s="382" t="e">
        <f t="shared" si="7"/>
        <v>#DIV/0!</v>
      </c>
      <c r="S155" s="382" t="e">
        <f t="shared" si="8"/>
        <v>#DIV/0!</v>
      </c>
    </row>
    <row r="156" spans="1:19" s="181" customFormat="1" ht="32.1" customHeight="1" x14ac:dyDescent="0.2">
      <c r="A156" s="361" t="s">
        <v>231</v>
      </c>
      <c r="B156" s="362" t="s">
        <v>2829</v>
      </c>
      <c r="C156" s="362" t="s">
        <v>2830</v>
      </c>
      <c r="D156" s="364"/>
      <c r="E156" s="405"/>
      <c r="F156" s="405"/>
      <c r="G156" s="405"/>
      <c r="H156" s="405"/>
      <c r="I156" s="405"/>
      <c r="J156" s="405"/>
      <c r="K156" s="405"/>
      <c r="L156" s="405"/>
      <c r="M156" s="405"/>
      <c r="N156" s="405"/>
      <c r="O156" s="405"/>
      <c r="P156" s="405"/>
      <c r="Q156" s="382" t="e">
        <f t="shared" si="6"/>
        <v>#DIV/0!</v>
      </c>
      <c r="R156" s="382" t="e">
        <f t="shared" si="7"/>
        <v>#DIV/0!</v>
      </c>
      <c r="S156" s="382" t="e">
        <f t="shared" si="8"/>
        <v>#DIV/0!</v>
      </c>
    </row>
    <row r="157" spans="1:19" s="181" customFormat="1" ht="32.1" customHeight="1" x14ac:dyDescent="0.2">
      <c r="A157" s="361" t="s">
        <v>231</v>
      </c>
      <c r="B157" s="362" t="s">
        <v>674</v>
      </c>
      <c r="C157" s="362" t="s">
        <v>2831</v>
      </c>
      <c r="D157" s="364"/>
      <c r="E157" s="405"/>
      <c r="F157" s="405"/>
      <c r="G157" s="405"/>
      <c r="H157" s="405"/>
      <c r="I157" s="405"/>
      <c r="J157" s="405"/>
      <c r="K157" s="405"/>
      <c r="L157" s="405"/>
      <c r="M157" s="405"/>
      <c r="N157" s="405"/>
      <c r="O157" s="405"/>
      <c r="P157" s="405"/>
      <c r="Q157" s="382" t="e">
        <f t="shared" si="6"/>
        <v>#DIV/0!</v>
      </c>
      <c r="R157" s="382" t="e">
        <f t="shared" si="7"/>
        <v>#DIV/0!</v>
      </c>
      <c r="S157" s="382" t="e">
        <f t="shared" si="8"/>
        <v>#DIV/0!</v>
      </c>
    </row>
    <row r="158" spans="1:19" s="181" customFormat="1" ht="32.1" customHeight="1" x14ac:dyDescent="0.2">
      <c r="A158" s="361" t="s">
        <v>231</v>
      </c>
      <c r="B158" s="362" t="s">
        <v>2581</v>
      </c>
      <c r="C158" s="362" t="s">
        <v>2832</v>
      </c>
      <c r="D158" s="364"/>
      <c r="E158" s="405"/>
      <c r="F158" s="405"/>
      <c r="G158" s="405"/>
      <c r="H158" s="405"/>
      <c r="I158" s="405"/>
      <c r="J158" s="405"/>
      <c r="K158" s="405"/>
      <c r="L158" s="405"/>
      <c r="M158" s="405"/>
      <c r="N158" s="405"/>
      <c r="O158" s="405"/>
      <c r="P158" s="405"/>
      <c r="Q158" s="382" t="e">
        <f t="shared" si="6"/>
        <v>#DIV/0!</v>
      </c>
      <c r="R158" s="382" t="e">
        <f t="shared" si="7"/>
        <v>#DIV/0!</v>
      </c>
      <c r="S158" s="382" t="e">
        <f t="shared" si="8"/>
        <v>#DIV/0!</v>
      </c>
    </row>
    <row r="159" spans="1:19" s="181" customFormat="1" ht="32.1" customHeight="1" x14ac:dyDescent="0.2">
      <c r="A159" s="361" t="s">
        <v>231</v>
      </c>
      <c r="B159" s="362" t="s">
        <v>1053</v>
      </c>
      <c r="C159" s="362" t="s">
        <v>2833</v>
      </c>
      <c r="D159" s="364">
        <v>30</v>
      </c>
      <c r="E159" s="405"/>
      <c r="F159" s="405">
        <v>97.3</v>
      </c>
      <c r="G159" s="405"/>
      <c r="H159" s="405"/>
      <c r="I159" s="405"/>
      <c r="J159" s="405"/>
      <c r="K159" s="405"/>
      <c r="L159" s="405"/>
      <c r="M159" s="405"/>
      <c r="N159" s="405"/>
      <c r="O159" s="405"/>
      <c r="P159" s="405"/>
      <c r="Q159" s="382">
        <f t="shared" si="6"/>
        <v>97.3</v>
      </c>
      <c r="R159" s="382" t="str">
        <f t="shared" si="7"/>
        <v>NO</v>
      </c>
      <c r="S159" s="382" t="str">
        <f t="shared" si="8"/>
        <v>Inviable Sanitariamente</v>
      </c>
    </row>
    <row r="160" spans="1:19" s="181" customFormat="1" ht="32.1" customHeight="1" x14ac:dyDescent="0.2">
      <c r="A160" s="361" t="s">
        <v>231</v>
      </c>
      <c r="B160" s="362" t="s">
        <v>2834</v>
      </c>
      <c r="C160" s="362" t="s">
        <v>2835</v>
      </c>
      <c r="D160" s="364">
        <v>18</v>
      </c>
      <c r="E160" s="405"/>
      <c r="F160" s="405"/>
      <c r="G160" s="405"/>
      <c r="H160" s="405"/>
      <c r="I160" s="405"/>
      <c r="J160" s="405"/>
      <c r="K160" s="405">
        <v>97.3</v>
      </c>
      <c r="L160" s="405"/>
      <c r="M160" s="405"/>
      <c r="N160" s="405"/>
      <c r="O160" s="405"/>
      <c r="P160" s="405"/>
      <c r="Q160" s="382">
        <f t="shared" si="6"/>
        <v>97.3</v>
      </c>
      <c r="R160" s="382" t="str">
        <f t="shared" si="7"/>
        <v>NO</v>
      </c>
      <c r="S160" s="382" t="str">
        <f t="shared" si="8"/>
        <v>Inviable Sanitariamente</v>
      </c>
    </row>
    <row r="161" spans="1:19" s="181" customFormat="1" ht="32.1" customHeight="1" x14ac:dyDescent="0.2">
      <c r="A161" s="361" t="s">
        <v>231</v>
      </c>
      <c r="B161" s="362" t="s">
        <v>2836</v>
      </c>
      <c r="C161" s="362" t="s">
        <v>2837</v>
      </c>
      <c r="D161" s="407"/>
      <c r="E161" s="405"/>
      <c r="F161" s="405"/>
      <c r="G161" s="405"/>
      <c r="H161" s="405"/>
      <c r="I161" s="405"/>
      <c r="J161" s="405"/>
      <c r="K161" s="405"/>
      <c r="L161" s="405"/>
      <c r="M161" s="405"/>
      <c r="N161" s="405"/>
      <c r="O161" s="405"/>
      <c r="P161" s="405"/>
      <c r="Q161" s="382" t="e">
        <f t="shared" si="6"/>
        <v>#DIV/0!</v>
      </c>
      <c r="R161" s="408" t="e">
        <f t="shared" si="7"/>
        <v>#DIV/0!</v>
      </c>
      <c r="S161" s="382" t="e">
        <f t="shared" si="8"/>
        <v>#DIV/0!</v>
      </c>
    </row>
    <row r="162" spans="1:19" s="181" customFormat="1" ht="32.1" customHeight="1" x14ac:dyDescent="0.2">
      <c r="A162" s="361" t="s">
        <v>231</v>
      </c>
      <c r="B162" s="362" t="s">
        <v>2838</v>
      </c>
      <c r="C162" s="362" t="s">
        <v>2839</v>
      </c>
      <c r="D162" s="409"/>
      <c r="E162" s="405"/>
      <c r="F162" s="405"/>
      <c r="G162" s="405"/>
      <c r="H162" s="405"/>
      <c r="I162" s="405"/>
      <c r="J162" s="405"/>
      <c r="K162" s="405"/>
      <c r="L162" s="405"/>
      <c r="M162" s="405"/>
      <c r="N162" s="405"/>
      <c r="O162" s="405"/>
      <c r="P162" s="405"/>
      <c r="Q162" s="382" t="e">
        <f t="shared" si="6"/>
        <v>#DIV/0!</v>
      </c>
      <c r="R162" s="410" t="e">
        <f t="shared" si="7"/>
        <v>#DIV/0!</v>
      </c>
      <c r="S162" s="382" t="e">
        <f t="shared" si="8"/>
        <v>#DIV/0!</v>
      </c>
    </row>
    <row r="163" spans="1:19" s="181" customFormat="1" ht="32.1" customHeight="1" x14ac:dyDescent="0.2">
      <c r="A163" s="361" t="s">
        <v>231</v>
      </c>
      <c r="B163" s="362" t="s">
        <v>2840</v>
      </c>
      <c r="C163" s="362" t="s">
        <v>2841</v>
      </c>
      <c r="D163" s="409"/>
      <c r="E163" s="405"/>
      <c r="F163" s="405"/>
      <c r="G163" s="405"/>
      <c r="H163" s="405"/>
      <c r="I163" s="405"/>
      <c r="J163" s="405"/>
      <c r="K163" s="405"/>
      <c r="L163" s="405"/>
      <c r="M163" s="405"/>
      <c r="N163" s="405"/>
      <c r="O163" s="405"/>
      <c r="P163" s="405"/>
      <c r="Q163" s="382" t="e">
        <f t="shared" si="6"/>
        <v>#DIV/0!</v>
      </c>
      <c r="R163" s="410" t="e">
        <f t="shared" si="7"/>
        <v>#DIV/0!</v>
      </c>
      <c r="S163" s="382" t="e">
        <f t="shared" si="8"/>
        <v>#DIV/0!</v>
      </c>
    </row>
    <row r="164" spans="1:19" s="181" customFormat="1" ht="32.1" customHeight="1" x14ac:dyDescent="0.2">
      <c r="A164" s="361" t="s">
        <v>231</v>
      </c>
      <c r="B164" s="362" t="s">
        <v>2842</v>
      </c>
      <c r="C164" s="362" t="s">
        <v>2843</v>
      </c>
      <c r="D164" s="409"/>
      <c r="E164" s="405"/>
      <c r="F164" s="405"/>
      <c r="G164" s="405"/>
      <c r="H164" s="405"/>
      <c r="I164" s="405"/>
      <c r="J164" s="405"/>
      <c r="K164" s="405"/>
      <c r="L164" s="405"/>
      <c r="M164" s="405"/>
      <c r="N164" s="405"/>
      <c r="O164" s="405"/>
      <c r="P164" s="405"/>
      <c r="Q164" s="382" t="e">
        <f t="shared" si="6"/>
        <v>#DIV/0!</v>
      </c>
      <c r="R164" s="410" t="e">
        <f t="shared" si="7"/>
        <v>#DIV/0!</v>
      </c>
      <c r="S164" s="382" t="e">
        <f t="shared" si="8"/>
        <v>#DIV/0!</v>
      </c>
    </row>
    <row r="165" spans="1:19" s="181" customFormat="1" ht="32.1" customHeight="1" x14ac:dyDescent="0.2">
      <c r="A165" s="361" t="s">
        <v>231</v>
      </c>
      <c r="B165" s="362" t="s">
        <v>643</v>
      </c>
      <c r="C165" s="362" t="s">
        <v>2844</v>
      </c>
      <c r="D165" s="364">
        <v>67</v>
      </c>
      <c r="E165" s="405"/>
      <c r="F165" s="405"/>
      <c r="G165" s="405"/>
      <c r="H165" s="405"/>
      <c r="I165" s="405"/>
      <c r="J165" s="405"/>
      <c r="K165" s="405"/>
      <c r="L165" s="405"/>
      <c r="M165" s="405"/>
      <c r="N165" s="405">
        <v>97.3</v>
      </c>
      <c r="O165" s="405"/>
      <c r="P165" s="405"/>
      <c r="Q165" s="382">
        <f t="shared" si="6"/>
        <v>97.3</v>
      </c>
      <c r="R165" s="382" t="str">
        <f t="shared" si="7"/>
        <v>NO</v>
      </c>
      <c r="S165" s="382" t="str">
        <f t="shared" si="8"/>
        <v>Inviable Sanitariamente</v>
      </c>
    </row>
    <row r="166" spans="1:19" s="181" customFormat="1" ht="32.1" customHeight="1" x14ac:dyDescent="0.2">
      <c r="A166" s="361" t="s">
        <v>145</v>
      </c>
      <c r="B166" s="362" t="s">
        <v>2845</v>
      </c>
      <c r="C166" s="362" t="s">
        <v>2846</v>
      </c>
      <c r="D166" s="364">
        <v>25</v>
      </c>
      <c r="E166" s="405"/>
      <c r="F166" s="405"/>
      <c r="G166" s="405"/>
      <c r="H166" s="405"/>
      <c r="I166" s="405"/>
      <c r="J166" s="405">
        <v>97.4</v>
      </c>
      <c r="K166" s="405"/>
      <c r="L166" s="405"/>
      <c r="M166" s="405"/>
      <c r="N166" s="405"/>
      <c r="O166" s="405"/>
      <c r="P166" s="405"/>
      <c r="Q166" s="382">
        <f t="shared" si="6"/>
        <v>97.4</v>
      </c>
      <c r="R166" s="382" t="str">
        <f t="shared" si="7"/>
        <v>NO</v>
      </c>
      <c r="S166" s="382" t="str">
        <f t="shared" si="8"/>
        <v>Inviable Sanitariamente</v>
      </c>
    </row>
    <row r="167" spans="1:19" s="181" customFormat="1" ht="32.1" customHeight="1" x14ac:dyDescent="0.2">
      <c r="A167" s="361" t="s">
        <v>145</v>
      </c>
      <c r="B167" s="362" t="s">
        <v>2847</v>
      </c>
      <c r="C167" s="362" t="s">
        <v>2848</v>
      </c>
      <c r="D167" s="364">
        <v>42</v>
      </c>
      <c r="E167" s="405"/>
      <c r="F167" s="405"/>
      <c r="G167" s="405"/>
      <c r="H167" s="405"/>
      <c r="I167" s="405"/>
      <c r="J167" s="405">
        <v>97.4</v>
      </c>
      <c r="K167" s="405"/>
      <c r="L167" s="405"/>
      <c r="M167" s="405"/>
      <c r="N167" s="405"/>
      <c r="O167" s="405"/>
      <c r="P167" s="405"/>
      <c r="Q167" s="382">
        <f t="shared" si="6"/>
        <v>97.4</v>
      </c>
      <c r="R167" s="382" t="str">
        <f t="shared" si="7"/>
        <v>NO</v>
      </c>
      <c r="S167" s="382" t="str">
        <f t="shared" si="8"/>
        <v>Inviable Sanitariamente</v>
      </c>
    </row>
    <row r="168" spans="1:19" s="181" customFormat="1" ht="32.1" customHeight="1" x14ac:dyDescent="0.2">
      <c r="A168" s="361" t="s">
        <v>145</v>
      </c>
      <c r="B168" s="362" t="s">
        <v>2849</v>
      </c>
      <c r="C168" s="362" t="s">
        <v>2850</v>
      </c>
      <c r="D168" s="364">
        <v>60</v>
      </c>
      <c r="E168" s="405"/>
      <c r="F168" s="405"/>
      <c r="G168" s="405"/>
      <c r="H168" s="405"/>
      <c r="I168" s="405"/>
      <c r="J168" s="405"/>
      <c r="K168" s="405"/>
      <c r="L168" s="405">
        <v>97.4</v>
      </c>
      <c r="M168" s="405"/>
      <c r="N168" s="405"/>
      <c r="O168" s="405"/>
      <c r="P168" s="405"/>
      <c r="Q168" s="382">
        <f t="shared" si="6"/>
        <v>97.4</v>
      </c>
      <c r="R168" s="382" t="str">
        <f t="shared" si="7"/>
        <v>NO</v>
      </c>
      <c r="S168" s="382" t="str">
        <f t="shared" si="8"/>
        <v>Inviable Sanitariamente</v>
      </c>
    </row>
    <row r="169" spans="1:19" s="181" customFormat="1" ht="32.1" customHeight="1" x14ac:dyDescent="0.2">
      <c r="A169" s="361" t="s">
        <v>145</v>
      </c>
      <c r="B169" s="362" t="s">
        <v>2851</v>
      </c>
      <c r="C169" s="362" t="s">
        <v>2852</v>
      </c>
      <c r="D169" s="364">
        <v>30</v>
      </c>
      <c r="E169" s="405"/>
      <c r="F169" s="405"/>
      <c r="G169" s="405"/>
      <c r="H169" s="405"/>
      <c r="I169" s="405"/>
      <c r="J169" s="405">
        <v>97.4</v>
      </c>
      <c r="K169" s="405"/>
      <c r="L169" s="405"/>
      <c r="M169" s="405"/>
      <c r="N169" s="405"/>
      <c r="O169" s="405"/>
      <c r="P169" s="405"/>
      <c r="Q169" s="382">
        <f t="shared" si="6"/>
        <v>97.4</v>
      </c>
      <c r="R169" s="382" t="str">
        <f t="shared" si="7"/>
        <v>NO</v>
      </c>
      <c r="S169" s="382" t="str">
        <f t="shared" si="8"/>
        <v>Inviable Sanitariamente</v>
      </c>
    </row>
    <row r="170" spans="1:19" s="181" customFormat="1" ht="32.1" customHeight="1" x14ac:dyDescent="0.2">
      <c r="A170" s="361" t="s">
        <v>145</v>
      </c>
      <c r="B170" s="362" t="s">
        <v>2853</v>
      </c>
      <c r="C170" s="362" t="s">
        <v>4441</v>
      </c>
      <c r="D170" s="364">
        <v>25</v>
      </c>
      <c r="E170" s="405"/>
      <c r="F170" s="405"/>
      <c r="G170" s="405"/>
      <c r="H170" s="405"/>
      <c r="I170" s="405"/>
      <c r="J170" s="405">
        <v>97.4</v>
      </c>
      <c r="K170" s="405"/>
      <c r="L170" s="405"/>
      <c r="M170" s="405"/>
      <c r="N170" s="405"/>
      <c r="O170" s="405"/>
      <c r="P170" s="405"/>
      <c r="Q170" s="382">
        <f t="shared" si="6"/>
        <v>97.4</v>
      </c>
      <c r="R170" s="382" t="str">
        <f t="shared" si="7"/>
        <v>NO</v>
      </c>
      <c r="S170" s="382" t="str">
        <f t="shared" si="8"/>
        <v>Inviable Sanitariamente</v>
      </c>
    </row>
    <row r="171" spans="1:19" s="181" customFormat="1" ht="32.1" customHeight="1" x14ac:dyDescent="0.2">
      <c r="A171" s="361" t="s">
        <v>145</v>
      </c>
      <c r="B171" s="362" t="s">
        <v>2854</v>
      </c>
      <c r="C171" s="362" t="s">
        <v>4442</v>
      </c>
      <c r="D171" s="364">
        <v>45</v>
      </c>
      <c r="E171" s="405"/>
      <c r="F171" s="405"/>
      <c r="G171" s="405"/>
      <c r="H171" s="405"/>
      <c r="I171" s="405"/>
      <c r="J171" s="405"/>
      <c r="K171" s="405"/>
      <c r="L171" s="405"/>
      <c r="M171" s="405"/>
      <c r="N171" s="405">
        <v>97.4</v>
      </c>
      <c r="O171" s="405"/>
      <c r="P171" s="405"/>
      <c r="Q171" s="382">
        <f t="shared" si="6"/>
        <v>97.4</v>
      </c>
      <c r="R171" s="382" t="str">
        <f t="shared" si="7"/>
        <v>NO</v>
      </c>
      <c r="S171" s="382" t="str">
        <f t="shared" si="8"/>
        <v>Inviable Sanitariamente</v>
      </c>
    </row>
    <row r="172" spans="1:19" s="181" customFormat="1" ht="32.1" customHeight="1" x14ac:dyDescent="0.2">
      <c r="A172" s="361" t="s">
        <v>145</v>
      </c>
      <c r="B172" s="362" t="s">
        <v>2855</v>
      </c>
      <c r="C172" s="362" t="s">
        <v>2856</v>
      </c>
      <c r="D172" s="364">
        <v>8</v>
      </c>
      <c r="E172" s="405"/>
      <c r="F172" s="405"/>
      <c r="G172" s="405"/>
      <c r="H172" s="405"/>
      <c r="I172" s="405"/>
      <c r="J172" s="405"/>
      <c r="K172" s="405"/>
      <c r="L172" s="405"/>
      <c r="M172" s="405">
        <v>97.4</v>
      </c>
      <c r="N172" s="405"/>
      <c r="O172" s="405"/>
      <c r="P172" s="405"/>
      <c r="Q172" s="382">
        <f t="shared" si="6"/>
        <v>97.4</v>
      </c>
      <c r="R172" s="382" t="str">
        <f t="shared" si="7"/>
        <v>NO</v>
      </c>
      <c r="S172" s="382" t="str">
        <f t="shared" si="8"/>
        <v>Inviable Sanitariamente</v>
      </c>
    </row>
    <row r="173" spans="1:19" s="181" customFormat="1" ht="32.1" customHeight="1" x14ac:dyDescent="0.2">
      <c r="A173" s="361" t="s">
        <v>145</v>
      </c>
      <c r="B173" s="362" t="s">
        <v>2857</v>
      </c>
      <c r="C173" s="362" t="s">
        <v>4443</v>
      </c>
      <c r="D173" s="364">
        <v>60</v>
      </c>
      <c r="E173" s="405"/>
      <c r="F173" s="405"/>
      <c r="G173" s="405"/>
      <c r="H173" s="405"/>
      <c r="I173" s="405"/>
      <c r="J173" s="405"/>
      <c r="K173" s="405"/>
      <c r="L173" s="405"/>
      <c r="M173" s="405">
        <v>97.4</v>
      </c>
      <c r="N173" s="405"/>
      <c r="O173" s="405"/>
      <c r="P173" s="405"/>
      <c r="Q173" s="382">
        <f t="shared" si="6"/>
        <v>97.4</v>
      </c>
      <c r="R173" s="382" t="str">
        <f t="shared" si="7"/>
        <v>NO</v>
      </c>
      <c r="S173" s="382" t="str">
        <f t="shared" si="8"/>
        <v>Inviable Sanitariamente</v>
      </c>
    </row>
    <row r="174" spans="1:19" s="181" customFormat="1" ht="32.1" customHeight="1" x14ac:dyDescent="0.2">
      <c r="A174" s="361" t="s">
        <v>145</v>
      </c>
      <c r="B174" s="362" t="s">
        <v>2858</v>
      </c>
      <c r="C174" s="362" t="s">
        <v>2859</v>
      </c>
      <c r="D174" s="364">
        <v>72</v>
      </c>
      <c r="E174" s="405"/>
      <c r="F174" s="405">
        <v>97.4</v>
      </c>
      <c r="G174" s="405"/>
      <c r="H174" s="405"/>
      <c r="I174" s="405"/>
      <c r="J174" s="405"/>
      <c r="K174" s="405"/>
      <c r="L174" s="405"/>
      <c r="M174" s="405"/>
      <c r="N174" s="405"/>
      <c r="O174" s="405"/>
      <c r="P174" s="405"/>
      <c r="Q174" s="382">
        <f t="shared" si="6"/>
        <v>97.4</v>
      </c>
      <c r="R174" s="382" t="str">
        <f t="shared" si="7"/>
        <v>NO</v>
      </c>
      <c r="S174" s="382" t="str">
        <f t="shared" si="8"/>
        <v>Inviable Sanitariamente</v>
      </c>
    </row>
    <row r="175" spans="1:19" s="181" customFormat="1" ht="32.1" customHeight="1" x14ac:dyDescent="0.2">
      <c r="A175" s="361" t="s">
        <v>145</v>
      </c>
      <c r="B175" s="362" t="s">
        <v>2860</v>
      </c>
      <c r="C175" s="362" t="s">
        <v>4444</v>
      </c>
      <c r="D175" s="364">
        <v>40</v>
      </c>
      <c r="E175" s="405"/>
      <c r="F175" s="405">
        <v>97.4</v>
      </c>
      <c r="G175" s="405"/>
      <c r="H175" s="405"/>
      <c r="I175" s="405"/>
      <c r="J175" s="405"/>
      <c r="K175" s="405"/>
      <c r="L175" s="405"/>
      <c r="M175" s="405"/>
      <c r="N175" s="405"/>
      <c r="O175" s="405"/>
      <c r="P175" s="405"/>
      <c r="Q175" s="382">
        <f t="shared" si="6"/>
        <v>97.4</v>
      </c>
      <c r="R175" s="382" t="str">
        <f t="shared" si="7"/>
        <v>NO</v>
      </c>
      <c r="S175" s="382" t="str">
        <f t="shared" si="8"/>
        <v>Inviable Sanitariamente</v>
      </c>
    </row>
    <row r="176" spans="1:19" s="181" customFormat="1" ht="32.1" customHeight="1" x14ac:dyDescent="0.2">
      <c r="A176" s="361" t="s">
        <v>145</v>
      </c>
      <c r="B176" s="362" t="s">
        <v>2861</v>
      </c>
      <c r="C176" s="362" t="s">
        <v>4445</v>
      </c>
      <c r="D176" s="364">
        <v>180</v>
      </c>
      <c r="E176" s="405"/>
      <c r="F176" s="405"/>
      <c r="G176" s="405"/>
      <c r="H176" s="405"/>
      <c r="I176" s="405"/>
      <c r="J176" s="405">
        <v>97.4</v>
      </c>
      <c r="K176" s="405"/>
      <c r="L176" s="405"/>
      <c r="M176" s="405"/>
      <c r="N176" s="405"/>
      <c r="O176" s="405"/>
      <c r="P176" s="405"/>
      <c r="Q176" s="382">
        <f>AVERAGE(E176:P176)</f>
        <v>97.4</v>
      </c>
      <c r="R176" s="382" t="str">
        <f>IF(Q176&lt;5,"SI","NO")</f>
        <v>NO</v>
      </c>
      <c r="S176" s="382" t="str">
        <f>IF(Q176&lt;=5,"Sin Riesgo",IF(Q176 &lt;=14,"Bajo",IF(Q176&lt;=35,"Medio",IF(Q176&lt;=80,"Alto","Inviable Sanitariamente"))))</f>
        <v>Inviable Sanitariamente</v>
      </c>
    </row>
    <row r="177" spans="1:20" s="181" customFormat="1" ht="32.1" customHeight="1" x14ac:dyDescent="0.2">
      <c r="A177" s="361" t="s">
        <v>145</v>
      </c>
      <c r="B177" s="362" t="s">
        <v>4211</v>
      </c>
      <c r="C177" s="362" t="s">
        <v>4212</v>
      </c>
      <c r="D177" s="364">
        <v>85</v>
      </c>
      <c r="E177" s="405"/>
      <c r="F177" s="405"/>
      <c r="G177" s="405"/>
      <c r="H177" s="405"/>
      <c r="I177" s="405"/>
      <c r="J177" s="405">
        <v>97.4</v>
      </c>
      <c r="K177" s="405"/>
      <c r="L177" s="405"/>
      <c r="M177" s="405"/>
      <c r="N177" s="405"/>
      <c r="O177" s="405"/>
      <c r="P177" s="405"/>
      <c r="Q177" s="382">
        <f t="shared" ref="Q177:Q242" si="9">AVERAGE(E177:P177)</f>
        <v>97.4</v>
      </c>
      <c r="R177" s="382" t="str">
        <f t="shared" si="7"/>
        <v>NO</v>
      </c>
      <c r="S177" s="382" t="str">
        <f t="shared" si="8"/>
        <v>Inviable Sanitariamente</v>
      </c>
    </row>
    <row r="178" spans="1:20" s="181" customFormat="1" ht="32.1" customHeight="1" x14ac:dyDescent="0.2">
      <c r="A178" s="361" t="s">
        <v>145</v>
      </c>
      <c r="B178" s="362" t="s">
        <v>4213</v>
      </c>
      <c r="C178" s="362" t="s">
        <v>4214</v>
      </c>
      <c r="D178" s="364">
        <v>25</v>
      </c>
      <c r="E178" s="405"/>
      <c r="F178" s="405"/>
      <c r="G178" s="405"/>
      <c r="H178" s="405"/>
      <c r="I178" s="405"/>
      <c r="J178" s="405">
        <v>97.4</v>
      </c>
      <c r="K178" s="405"/>
      <c r="L178" s="405"/>
      <c r="M178" s="405"/>
      <c r="N178" s="405"/>
      <c r="O178" s="405"/>
      <c r="P178" s="405"/>
      <c r="Q178" s="382">
        <f>AVERAGE(E178:P178)</f>
        <v>97.4</v>
      </c>
      <c r="R178" s="382" t="str">
        <f>IF(Q178&lt;5,"SI","NO")</f>
        <v>NO</v>
      </c>
      <c r="S178" s="382" t="str">
        <f>IF(Q178&lt;=5,"Sin Riesgo",IF(Q178 &lt;=14,"Bajo",IF(Q178&lt;=35,"Medio",IF(Q178&lt;=80,"Alto","Inviable Sanitariamente"))))</f>
        <v>Inviable Sanitariamente</v>
      </c>
    </row>
    <row r="179" spans="1:20" s="181" customFormat="1" ht="32.1" customHeight="1" x14ac:dyDescent="0.2">
      <c r="A179" s="361" t="s">
        <v>145</v>
      </c>
      <c r="B179" s="362" t="s">
        <v>4215</v>
      </c>
      <c r="C179" s="362" t="s">
        <v>4216</v>
      </c>
      <c r="D179" s="364">
        <v>40</v>
      </c>
      <c r="E179" s="405"/>
      <c r="F179" s="405"/>
      <c r="G179" s="405"/>
      <c r="H179" s="405"/>
      <c r="I179" s="405"/>
      <c r="J179" s="405">
        <v>97.4</v>
      </c>
      <c r="K179" s="405"/>
      <c r="L179" s="405"/>
      <c r="M179" s="405"/>
      <c r="N179" s="405"/>
      <c r="O179" s="405"/>
      <c r="P179" s="405"/>
      <c r="Q179" s="382">
        <f>AVERAGE(E179:P179)</f>
        <v>97.4</v>
      </c>
      <c r="R179" s="382" t="str">
        <f>IF(Q179&lt;5,"SI","NO")</f>
        <v>NO</v>
      </c>
      <c r="S179" s="382" t="str">
        <f>IF(Q179&lt;=5,"Sin Riesgo",IF(Q179 &lt;=14,"Bajo",IF(Q179&lt;=35,"Medio",IF(Q179&lt;=80,"Alto","Inviable Sanitariamente"))))</f>
        <v>Inviable Sanitariamente</v>
      </c>
    </row>
    <row r="180" spans="1:20" s="181" customFormat="1" ht="32.1" customHeight="1" x14ac:dyDescent="0.2">
      <c r="A180" s="361" t="s">
        <v>145</v>
      </c>
      <c r="B180" s="362" t="s">
        <v>2862</v>
      </c>
      <c r="C180" s="362" t="s">
        <v>2863</v>
      </c>
      <c r="D180" s="364">
        <v>50</v>
      </c>
      <c r="E180" s="405"/>
      <c r="F180" s="405"/>
      <c r="G180" s="405">
        <v>97.4</v>
      </c>
      <c r="H180" s="405"/>
      <c r="I180" s="405"/>
      <c r="J180" s="405"/>
      <c r="K180" s="405"/>
      <c r="L180" s="405"/>
      <c r="M180" s="405"/>
      <c r="N180" s="405"/>
      <c r="O180" s="405"/>
      <c r="P180" s="405"/>
      <c r="Q180" s="382">
        <f t="shared" si="9"/>
        <v>97.4</v>
      </c>
      <c r="R180" s="382" t="str">
        <f t="shared" si="7"/>
        <v>NO</v>
      </c>
      <c r="S180" s="382" t="str">
        <f t="shared" si="8"/>
        <v>Inviable Sanitariamente</v>
      </c>
    </row>
    <row r="181" spans="1:20" s="181" customFormat="1" ht="32.1" customHeight="1" x14ac:dyDescent="0.2">
      <c r="A181" s="361" t="s">
        <v>145</v>
      </c>
      <c r="B181" s="362" t="s">
        <v>2864</v>
      </c>
      <c r="C181" s="362" t="s">
        <v>2865</v>
      </c>
      <c r="D181" s="364">
        <v>12</v>
      </c>
      <c r="E181" s="405"/>
      <c r="F181" s="405"/>
      <c r="G181" s="405"/>
      <c r="H181" s="405"/>
      <c r="I181" s="405"/>
      <c r="J181" s="405"/>
      <c r="K181" s="405"/>
      <c r="L181" s="405"/>
      <c r="M181" s="405">
        <v>97.4</v>
      </c>
      <c r="N181" s="405"/>
      <c r="O181" s="405"/>
      <c r="P181" s="405"/>
      <c r="Q181" s="382">
        <f t="shared" si="9"/>
        <v>97.4</v>
      </c>
      <c r="R181" s="382" t="str">
        <f t="shared" si="7"/>
        <v>NO</v>
      </c>
      <c r="S181" s="382" t="str">
        <f t="shared" si="8"/>
        <v>Inviable Sanitariamente</v>
      </c>
    </row>
    <row r="182" spans="1:20" s="181" customFormat="1" ht="32.1" customHeight="1" x14ac:dyDescent="0.2">
      <c r="A182" s="361" t="s">
        <v>145</v>
      </c>
      <c r="B182" s="362" t="s">
        <v>2866</v>
      </c>
      <c r="C182" s="362" t="s">
        <v>2867</v>
      </c>
      <c r="D182" s="364">
        <v>20</v>
      </c>
      <c r="E182" s="405"/>
      <c r="F182" s="405"/>
      <c r="G182" s="405"/>
      <c r="H182" s="405"/>
      <c r="I182" s="405"/>
      <c r="J182" s="405"/>
      <c r="K182" s="405"/>
      <c r="L182" s="405"/>
      <c r="M182" s="405"/>
      <c r="N182" s="405">
        <v>97.4</v>
      </c>
      <c r="O182" s="405"/>
      <c r="P182" s="405"/>
      <c r="Q182" s="382">
        <f t="shared" si="9"/>
        <v>97.4</v>
      </c>
      <c r="R182" s="382" t="str">
        <f t="shared" si="7"/>
        <v>NO</v>
      </c>
      <c r="S182" s="382" t="str">
        <f t="shared" si="8"/>
        <v>Inviable Sanitariamente</v>
      </c>
    </row>
    <row r="183" spans="1:20" s="181" customFormat="1" ht="32.1" customHeight="1" x14ac:dyDescent="0.2">
      <c r="A183" s="361" t="s">
        <v>145</v>
      </c>
      <c r="B183" s="362" t="s">
        <v>2868</v>
      </c>
      <c r="C183" s="362" t="s">
        <v>2869</v>
      </c>
      <c r="D183" s="364">
        <v>15</v>
      </c>
      <c r="E183" s="405"/>
      <c r="F183" s="405"/>
      <c r="G183" s="405"/>
      <c r="H183" s="405"/>
      <c r="I183" s="405"/>
      <c r="J183" s="405"/>
      <c r="K183" s="405"/>
      <c r="L183" s="405"/>
      <c r="M183" s="405"/>
      <c r="N183" s="405"/>
      <c r="O183" s="405"/>
      <c r="P183" s="405">
        <v>97.4</v>
      </c>
      <c r="Q183" s="382">
        <f t="shared" si="9"/>
        <v>97.4</v>
      </c>
      <c r="R183" s="382" t="str">
        <f t="shared" si="7"/>
        <v>NO</v>
      </c>
      <c r="S183" s="382" t="str">
        <f t="shared" si="8"/>
        <v>Inviable Sanitariamente</v>
      </c>
    </row>
    <row r="184" spans="1:20" s="181" customFormat="1" ht="32.1" customHeight="1" x14ac:dyDescent="0.2">
      <c r="A184" s="361" t="s">
        <v>145</v>
      </c>
      <c r="B184" s="362" t="s">
        <v>2870</v>
      </c>
      <c r="C184" s="362" t="s">
        <v>2871</v>
      </c>
      <c r="D184" s="364">
        <v>45</v>
      </c>
      <c r="E184" s="405"/>
      <c r="F184" s="405"/>
      <c r="G184" s="405"/>
      <c r="H184" s="405"/>
      <c r="I184" s="405"/>
      <c r="J184" s="405"/>
      <c r="K184" s="405"/>
      <c r="L184" s="405"/>
      <c r="M184" s="405"/>
      <c r="N184" s="405">
        <v>97.4</v>
      </c>
      <c r="O184" s="405"/>
      <c r="P184" s="405"/>
      <c r="Q184" s="382">
        <f t="shared" si="9"/>
        <v>97.4</v>
      </c>
      <c r="R184" s="382" t="str">
        <f t="shared" si="7"/>
        <v>NO</v>
      </c>
      <c r="S184" s="382" t="str">
        <f t="shared" si="8"/>
        <v>Inviable Sanitariamente</v>
      </c>
    </row>
    <row r="185" spans="1:20" s="181" customFormat="1" ht="32.1" customHeight="1" x14ac:dyDescent="0.2">
      <c r="A185" s="361" t="s">
        <v>145</v>
      </c>
      <c r="B185" s="362" t="s">
        <v>2872</v>
      </c>
      <c r="C185" s="362" t="s">
        <v>2873</v>
      </c>
      <c r="D185" s="364">
        <v>25</v>
      </c>
      <c r="E185" s="405"/>
      <c r="F185" s="405"/>
      <c r="G185" s="405"/>
      <c r="H185" s="405"/>
      <c r="I185" s="405"/>
      <c r="J185" s="405"/>
      <c r="K185" s="405"/>
      <c r="L185" s="405"/>
      <c r="M185" s="405"/>
      <c r="N185" s="405">
        <v>97.4</v>
      </c>
      <c r="O185" s="405"/>
      <c r="P185" s="405"/>
      <c r="Q185" s="382">
        <f t="shared" si="9"/>
        <v>97.4</v>
      </c>
      <c r="R185" s="382" t="str">
        <f t="shared" si="7"/>
        <v>NO</v>
      </c>
      <c r="S185" s="382" t="str">
        <f t="shared" si="8"/>
        <v>Inviable Sanitariamente</v>
      </c>
    </row>
    <row r="186" spans="1:20" s="181" customFormat="1" ht="32.1" customHeight="1" x14ac:dyDescent="0.2">
      <c r="A186" s="361" t="s">
        <v>145</v>
      </c>
      <c r="B186" s="362" t="s">
        <v>2874</v>
      </c>
      <c r="C186" s="362" t="s">
        <v>2875</v>
      </c>
      <c r="D186" s="364">
        <v>26</v>
      </c>
      <c r="E186" s="405"/>
      <c r="F186" s="405"/>
      <c r="G186" s="405"/>
      <c r="H186" s="405">
        <v>97.4</v>
      </c>
      <c r="I186" s="405"/>
      <c r="J186" s="405"/>
      <c r="K186" s="405"/>
      <c r="L186" s="405"/>
      <c r="M186" s="405"/>
      <c r="N186" s="405"/>
      <c r="O186" s="405"/>
      <c r="P186" s="405"/>
      <c r="Q186" s="382">
        <f t="shared" si="9"/>
        <v>97.4</v>
      </c>
      <c r="R186" s="382" t="str">
        <f t="shared" si="7"/>
        <v>NO</v>
      </c>
      <c r="S186" s="382" t="str">
        <f t="shared" si="8"/>
        <v>Inviable Sanitariamente</v>
      </c>
    </row>
    <row r="187" spans="1:20" s="181" customFormat="1" ht="32.1" customHeight="1" x14ac:dyDescent="0.2">
      <c r="A187" s="361" t="s">
        <v>145</v>
      </c>
      <c r="B187" s="362" t="s">
        <v>2876</v>
      </c>
      <c r="C187" s="362" t="s">
        <v>2877</v>
      </c>
      <c r="D187" s="364">
        <v>14</v>
      </c>
      <c r="E187" s="405"/>
      <c r="F187" s="405"/>
      <c r="G187" s="405"/>
      <c r="H187" s="405">
        <v>97.4</v>
      </c>
      <c r="I187" s="405"/>
      <c r="J187" s="405"/>
      <c r="K187" s="405"/>
      <c r="L187" s="405"/>
      <c r="M187" s="405"/>
      <c r="N187" s="405"/>
      <c r="O187" s="405"/>
      <c r="P187" s="405"/>
      <c r="Q187" s="382">
        <f t="shared" si="9"/>
        <v>97.4</v>
      </c>
      <c r="R187" s="382" t="str">
        <f t="shared" si="7"/>
        <v>NO</v>
      </c>
      <c r="S187" s="382" t="str">
        <f t="shared" si="8"/>
        <v>Inviable Sanitariamente</v>
      </c>
      <c r="T187" s="184"/>
    </row>
    <row r="188" spans="1:20" s="181" customFormat="1" ht="32.1" customHeight="1" x14ac:dyDescent="0.2">
      <c r="A188" s="361" t="s">
        <v>145</v>
      </c>
      <c r="B188" s="362" t="s">
        <v>2878</v>
      </c>
      <c r="C188" s="362" t="s">
        <v>2879</v>
      </c>
      <c r="D188" s="364">
        <v>15</v>
      </c>
      <c r="E188" s="405"/>
      <c r="F188" s="405"/>
      <c r="G188" s="405">
        <v>97.4</v>
      </c>
      <c r="H188" s="405"/>
      <c r="I188" s="405"/>
      <c r="J188" s="405"/>
      <c r="K188" s="405"/>
      <c r="L188" s="405"/>
      <c r="M188" s="405"/>
      <c r="N188" s="405"/>
      <c r="O188" s="405"/>
      <c r="P188" s="405"/>
      <c r="Q188" s="382">
        <f t="shared" si="9"/>
        <v>97.4</v>
      </c>
      <c r="R188" s="382" t="str">
        <f t="shared" si="7"/>
        <v>NO</v>
      </c>
      <c r="S188" s="382" t="str">
        <f t="shared" si="8"/>
        <v>Inviable Sanitariamente</v>
      </c>
      <c r="T188" s="184"/>
    </row>
    <row r="189" spans="1:20" s="181" customFormat="1" ht="32.1" customHeight="1" x14ac:dyDescent="0.2">
      <c r="A189" s="361" t="s">
        <v>145</v>
      </c>
      <c r="B189" s="362" t="s">
        <v>2880</v>
      </c>
      <c r="C189" s="362" t="s">
        <v>2881</v>
      </c>
      <c r="D189" s="364">
        <v>25</v>
      </c>
      <c r="E189" s="405"/>
      <c r="F189" s="405"/>
      <c r="G189" s="405">
        <v>97.4</v>
      </c>
      <c r="H189" s="405"/>
      <c r="I189" s="405"/>
      <c r="J189" s="405"/>
      <c r="K189" s="405"/>
      <c r="L189" s="405"/>
      <c r="M189" s="405"/>
      <c r="N189" s="405"/>
      <c r="O189" s="405"/>
      <c r="P189" s="405"/>
      <c r="Q189" s="382">
        <f t="shared" si="9"/>
        <v>97.4</v>
      </c>
      <c r="R189" s="382" t="str">
        <f t="shared" si="7"/>
        <v>NO</v>
      </c>
      <c r="S189" s="382" t="str">
        <f t="shared" si="8"/>
        <v>Inviable Sanitariamente</v>
      </c>
      <c r="T189" s="184"/>
    </row>
    <row r="190" spans="1:20" s="181" customFormat="1" ht="32.1" customHeight="1" x14ac:dyDescent="0.2">
      <c r="A190" s="361" t="s">
        <v>145</v>
      </c>
      <c r="B190" s="362" t="s">
        <v>2093</v>
      </c>
      <c r="C190" s="362" t="s">
        <v>2882</v>
      </c>
      <c r="D190" s="364">
        <v>27</v>
      </c>
      <c r="E190" s="405"/>
      <c r="F190" s="405"/>
      <c r="G190" s="405"/>
      <c r="H190" s="405"/>
      <c r="I190" s="405"/>
      <c r="J190" s="405">
        <v>97.4</v>
      </c>
      <c r="K190" s="405"/>
      <c r="L190" s="405"/>
      <c r="M190" s="405"/>
      <c r="N190" s="405"/>
      <c r="O190" s="405"/>
      <c r="P190" s="405"/>
      <c r="Q190" s="382">
        <f t="shared" si="9"/>
        <v>97.4</v>
      </c>
      <c r="R190" s="382" t="str">
        <f t="shared" si="7"/>
        <v>NO</v>
      </c>
      <c r="S190" s="382" t="str">
        <f t="shared" si="8"/>
        <v>Inviable Sanitariamente</v>
      </c>
      <c r="T190" s="184"/>
    </row>
    <row r="191" spans="1:20" s="181" customFormat="1" ht="32.1" customHeight="1" x14ac:dyDescent="0.2">
      <c r="A191" s="361" t="s">
        <v>145</v>
      </c>
      <c r="B191" s="362" t="s">
        <v>2883</v>
      </c>
      <c r="C191" s="362" t="s">
        <v>2884</v>
      </c>
      <c r="D191" s="364">
        <v>17</v>
      </c>
      <c r="E191" s="405"/>
      <c r="F191" s="405"/>
      <c r="G191" s="405"/>
      <c r="H191" s="405"/>
      <c r="I191" s="405"/>
      <c r="J191" s="405">
        <v>97.4</v>
      </c>
      <c r="K191" s="405"/>
      <c r="L191" s="405"/>
      <c r="M191" s="405"/>
      <c r="N191" s="405"/>
      <c r="O191" s="405"/>
      <c r="P191" s="405"/>
      <c r="Q191" s="382">
        <f t="shared" si="9"/>
        <v>97.4</v>
      </c>
      <c r="R191" s="382" t="str">
        <f t="shared" si="7"/>
        <v>NO</v>
      </c>
      <c r="S191" s="382" t="str">
        <f t="shared" si="8"/>
        <v>Inviable Sanitariamente</v>
      </c>
      <c r="T191" s="184"/>
    </row>
    <row r="192" spans="1:20" s="181" customFormat="1" ht="32.1" customHeight="1" x14ac:dyDescent="0.2">
      <c r="A192" s="361" t="s">
        <v>145</v>
      </c>
      <c r="B192" s="362" t="s">
        <v>4617</v>
      </c>
      <c r="C192" s="362" t="s">
        <v>2885</v>
      </c>
      <c r="D192" s="364">
        <v>10</v>
      </c>
      <c r="E192" s="405"/>
      <c r="F192" s="405"/>
      <c r="G192" s="405"/>
      <c r="H192" s="405"/>
      <c r="I192" s="405"/>
      <c r="J192" s="405"/>
      <c r="K192" s="405"/>
      <c r="L192" s="405">
        <v>97.4</v>
      </c>
      <c r="M192" s="405"/>
      <c r="N192" s="405"/>
      <c r="O192" s="405"/>
      <c r="P192" s="405"/>
      <c r="Q192" s="382">
        <f t="shared" si="9"/>
        <v>97.4</v>
      </c>
      <c r="R192" s="382" t="str">
        <f t="shared" si="7"/>
        <v>NO</v>
      </c>
      <c r="S192" s="382" t="str">
        <f t="shared" si="8"/>
        <v>Inviable Sanitariamente</v>
      </c>
      <c r="T192" s="184"/>
    </row>
    <row r="193" spans="1:20" s="181" customFormat="1" ht="32.1" customHeight="1" x14ac:dyDescent="0.2">
      <c r="A193" s="361" t="s">
        <v>145</v>
      </c>
      <c r="B193" s="362" t="s">
        <v>2767</v>
      </c>
      <c r="C193" s="362" t="s">
        <v>2886</v>
      </c>
      <c r="D193" s="364">
        <v>25</v>
      </c>
      <c r="E193" s="405"/>
      <c r="F193" s="405"/>
      <c r="G193" s="405"/>
      <c r="H193" s="405"/>
      <c r="I193" s="405"/>
      <c r="J193" s="405"/>
      <c r="K193" s="405"/>
      <c r="L193" s="405"/>
      <c r="M193" s="405">
        <v>97.4</v>
      </c>
      <c r="N193" s="405"/>
      <c r="O193" s="405"/>
      <c r="P193" s="405"/>
      <c r="Q193" s="382">
        <f t="shared" si="9"/>
        <v>97.4</v>
      </c>
      <c r="R193" s="382" t="str">
        <f t="shared" si="7"/>
        <v>NO</v>
      </c>
      <c r="S193" s="382" t="str">
        <f t="shared" si="8"/>
        <v>Inviable Sanitariamente</v>
      </c>
      <c r="T193" s="184"/>
    </row>
    <row r="194" spans="1:20" s="181" customFormat="1" ht="32.1" customHeight="1" x14ac:dyDescent="0.2">
      <c r="A194" s="361" t="s">
        <v>145</v>
      </c>
      <c r="B194" s="362" t="s">
        <v>2887</v>
      </c>
      <c r="C194" s="362" t="s">
        <v>2888</v>
      </c>
      <c r="D194" s="364">
        <v>37</v>
      </c>
      <c r="E194" s="405"/>
      <c r="F194" s="405"/>
      <c r="G194" s="405"/>
      <c r="H194" s="405"/>
      <c r="I194" s="405"/>
      <c r="J194" s="405"/>
      <c r="K194" s="405"/>
      <c r="L194" s="405"/>
      <c r="M194" s="405"/>
      <c r="N194" s="405"/>
      <c r="O194" s="405"/>
      <c r="P194" s="405">
        <v>97.4</v>
      </c>
      <c r="Q194" s="382">
        <f t="shared" si="9"/>
        <v>97.4</v>
      </c>
      <c r="R194" s="382" t="str">
        <f t="shared" si="7"/>
        <v>NO</v>
      </c>
      <c r="S194" s="382" t="str">
        <f t="shared" si="8"/>
        <v>Inviable Sanitariamente</v>
      </c>
      <c r="T194" s="184"/>
    </row>
    <row r="195" spans="1:20" s="181" customFormat="1" ht="32.1" customHeight="1" x14ac:dyDescent="0.2">
      <c r="A195" s="361" t="s">
        <v>3942</v>
      </c>
      <c r="B195" s="362" t="s">
        <v>2889</v>
      </c>
      <c r="C195" s="362" t="s">
        <v>2890</v>
      </c>
      <c r="D195" s="364">
        <v>119</v>
      </c>
      <c r="E195" s="405"/>
      <c r="F195" s="405"/>
      <c r="G195" s="405"/>
      <c r="H195" s="405"/>
      <c r="I195" s="405"/>
      <c r="J195" s="405"/>
      <c r="K195" s="405"/>
      <c r="L195" s="405"/>
      <c r="M195" s="405"/>
      <c r="N195" s="405">
        <v>0</v>
      </c>
      <c r="O195" s="405"/>
      <c r="P195" s="405"/>
      <c r="Q195" s="382">
        <f t="shared" si="9"/>
        <v>0</v>
      </c>
      <c r="R195" s="382" t="str">
        <f t="shared" si="7"/>
        <v>SI</v>
      </c>
      <c r="S195" s="382" t="str">
        <f t="shared" si="8"/>
        <v>Sin Riesgo</v>
      </c>
      <c r="T195" s="184"/>
    </row>
    <row r="196" spans="1:20" s="181" customFormat="1" ht="32.1" customHeight="1" x14ac:dyDescent="0.2">
      <c r="A196" s="361" t="s">
        <v>3942</v>
      </c>
      <c r="B196" s="362" t="s">
        <v>2891</v>
      </c>
      <c r="C196" s="362" t="s">
        <v>2892</v>
      </c>
      <c r="D196" s="364"/>
      <c r="E196" s="405"/>
      <c r="F196" s="405"/>
      <c r="G196" s="405"/>
      <c r="H196" s="405"/>
      <c r="I196" s="405"/>
      <c r="J196" s="405"/>
      <c r="K196" s="405"/>
      <c r="L196" s="405"/>
      <c r="M196" s="405"/>
      <c r="N196" s="405"/>
      <c r="O196" s="405"/>
      <c r="P196" s="405"/>
      <c r="Q196" s="382" t="e">
        <f t="shared" si="9"/>
        <v>#DIV/0!</v>
      </c>
      <c r="R196" s="382" t="e">
        <f t="shared" si="7"/>
        <v>#DIV/0!</v>
      </c>
      <c r="S196" s="382" t="e">
        <f t="shared" si="8"/>
        <v>#DIV/0!</v>
      </c>
      <c r="T196" s="184"/>
    </row>
    <row r="197" spans="1:20" s="181" customFormat="1" ht="32.1" customHeight="1" x14ac:dyDescent="0.2">
      <c r="A197" s="361" t="s">
        <v>3942</v>
      </c>
      <c r="B197" s="362" t="s">
        <v>766</v>
      </c>
      <c r="C197" s="362" t="s">
        <v>2893</v>
      </c>
      <c r="D197" s="378"/>
      <c r="E197" s="405"/>
      <c r="F197" s="405"/>
      <c r="G197" s="405"/>
      <c r="H197" s="405"/>
      <c r="I197" s="405"/>
      <c r="J197" s="405"/>
      <c r="K197" s="405"/>
      <c r="L197" s="405"/>
      <c r="M197" s="405"/>
      <c r="N197" s="405"/>
      <c r="O197" s="405"/>
      <c r="P197" s="405"/>
      <c r="Q197" s="382" t="e">
        <f t="shared" si="9"/>
        <v>#DIV/0!</v>
      </c>
      <c r="R197" s="382" t="e">
        <f t="shared" si="7"/>
        <v>#DIV/0!</v>
      </c>
      <c r="S197" s="382" t="e">
        <f t="shared" si="8"/>
        <v>#DIV/0!</v>
      </c>
      <c r="T197" s="184"/>
    </row>
    <row r="198" spans="1:20" s="181" customFormat="1" ht="32.1" customHeight="1" x14ac:dyDescent="0.2">
      <c r="A198" s="361" t="s">
        <v>3942</v>
      </c>
      <c r="B198" s="362" t="s">
        <v>1707</v>
      </c>
      <c r="C198" s="362" t="s">
        <v>2894</v>
      </c>
      <c r="D198" s="378"/>
      <c r="E198" s="405"/>
      <c r="F198" s="405"/>
      <c r="G198" s="405"/>
      <c r="H198" s="405"/>
      <c r="I198" s="405"/>
      <c r="J198" s="405"/>
      <c r="K198" s="405"/>
      <c r="L198" s="405"/>
      <c r="M198" s="405"/>
      <c r="N198" s="405"/>
      <c r="O198" s="405"/>
      <c r="P198" s="405"/>
      <c r="Q198" s="382" t="e">
        <f t="shared" si="9"/>
        <v>#DIV/0!</v>
      </c>
      <c r="R198" s="382" t="e">
        <f t="shared" si="7"/>
        <v>#DIV/0!</v>
      </c>
      <c r="S198" s="382" t="e">
        <f t="shared" si="8"/>
        <v>#DIV/0!</v>
      </c>
      <c r="T198" s="184"/>
    </row>
    <row r="199" spans="1:20" s="181" customFormat="1" ht="32.1" customHeight="1" x14ac:dyDescent="0.2">
      <c r="A199" s="361" t="s">
        <v>3942</v>
      </c>
      <c r="B199" s="362" t="s">
        <v>2895</v>
      </c>
      <c r="C199" s="362" t="s">
        <v>2896</v>
      </c>
      <c r="D199" s="364"/>
      <c r="E199" s="405"/>
      <c r="F199" s="405"/>
      <c r="G199" s="405"/>
      <c r="H199" s="405"/>
      <c r="I199" s="405"/>
      <c r="J199" s="405"/>
      <c r="K199" s="405"/>
      <c r="L199" s="405"/>
      <c r="M199" s="405"/>
      <c r="N199" s="405"/>
      <c r="O199" s="405"/>
      <c r="P199" s="405"/>
      <c r="Q199" s="382" t="e">
        <f t="shared" si="9"/>
        <v>#DIV/0!</v>
      </c>
      <c r="R199" s="382" t="e">
        <f t="shared" si="7"/>
        <v>#DIV/0!</v>
      </c>
      <c r="S199" s="382" t="e">
        <f t="shared" si="8"/>
        <v>#DIV/0!</v>
      </c>
      <c r="T199" s="184"/>
    </row>
    <row r="200" spans="1:20" s="181" customFormat="1" ht="32.1" customHeight="1" x14ac:dyDescent="0.2">
      <c r="A200" s="361" t="s">
        <v>3942</v>
      </c>
      <c r="B200" s="362" t="s">
        <v>2897</v>
      </c>
      <c r="C200" s="362" t="s">
        <v>2898</v>
      </c>
      <c r="D200" s="364"/>
      <c r="E200" s="405"/>
      <c r="F200" s="405"/>
      <c r="G200" s="405"/>
      <c r="H200" s="405"/>
      <c r="I200" s="405"/>
      <c r="J200" s="405"/>
      <c r="K200" s="405"/>
      <c r="L200" s="405"/>
      <c r="M200" s="405"/>
      <c r="N200" s="405"/>
      <c r="O200" s="405"/>
      <c r="P200" s="405"/>
      <c r="Q200" s="382" t="e">
        <f t="shared" si="9"/>
        <v>#DIV/0!</v>
      </c>
      <c r="R200" s="382" t="e">
        <f t="shared" si="7"/>
        <v>#DIV/0!</v>
      </c>
      <c r="S200" s="382" t="e">
        <f t="shared" si="8"/>
        <v>#DIV/0!</v>
      </c>
      <c r="T200" s="184"/>
    </row>
    <row r="201" spans="1:20" s="181" customFormat="1" ht="32.1" customHeight="1" x14ac:dyDescent="0.2">
      <c r="A201" s="361" t="s">
        <v>3942</v>
      </c>
      <c r="B201" s="362" t="s">
        <v>2748</v>
      </c>
      <c r="C201" s="362" t="s">
        <v>2899</v>
      </c>
      <c r="D201" s="364"/>
      <c r="E201" s="405"/>
      <c r="F201" s="405"/>
      <c r="G201" s="405"/>
      <c r="H201" s="405"/>
      <c r="I201" s="405"/>
      <c r="J201" s="405"/>
      <c r="K201" s="405"/>
      <c r="L201" s="405"/>
      <c r="M201" s="405"/>
      <c r="N201" s="405"/>
      <c r="O201" s="405"/>
      <c r="P201" s="405"/>
      <c r="Q201" s="382" t="e">
        <f t="shared" si="9"/>
        <v>#DIV/0!</v>
      </c>
      <c r="R201" s="382" t="e">
        <f t="shared" si="7"/>
        <v>#DIV/0!</v>
      </c>
      <c r="S201" s="382" t="e">
        <f t="shared" si="8"/>
        <v>#DIV/0!</v>
      </c>
      <c r="T201" s="184"/>
    </row>
    <row r="202" spans="1:20" s="181" customFormat="1" ht="32.1" customHeight="1" x14ac:dyDescent="0.2">
      <c r="A202" s="361" t="s">
        <v>3942</v>
      </c>
      <c r="B202" s="362" t="s">
        <v>2900</v>
      </c>
      <c r="C202" s="362" t="s">
        <v>2901</v>
      </c>
      <c r="D202" s="364"/>
      <c r="E202" s="405"/>
      <c r="F202" s="405"/>
      <c r="G202" s="405"/>
      <c r="H202" s="405"/>
      <c r="I202" s="405"/>
      <c r="J202" s="405"/>
      <c r="K202" s="405"/>
      <c r="L202" s="405"/>
      <c r="M202" s="405"/>
      <c r="N202" s="405"/>
      <c r="O202" s="405"/>
      <c r="P202" s="405"/>
      <c r="Q202" s="382" t="e">
        <f t="shared" si="9"/>
        <v>#DIV/0!</v>
      </c>
      <c r="R202" s="382" t="e">
        <f t="shared" si="7"/>
        <v>#DIV/0!</v>
      </c>
      <c r="S202" s="382" t="e">
        <f t="shared" si="8"/>
        <v>#DIV/0!</v>
      </c>
      <c r="T202" s="184"/>
    </row>
    <row r="203" spans="1:20" s="181" customFormat="1" ht="32.1" customHeight="1" x14ac:dyDescent="0.2">
      <c r="A203" s="361" t="s">
        <v>3942</v>
      </c>
      <c r="B203" s="362" t="s">
        <v>2902</v>
      </c>
      <c r="C203" s="362" t="s">
        <v>2903</v>
      </c>
      <c r="D203" s="364"/>
      <c r="E203" s="405"/>
      <c r="F203" s="405"/>
      <c r="G203" s="405"/>
      <c r="H203" s="405"/>
      <c r="I203" s="405"/>
      <c r="J203" s="405"/>
      <c r="K203" s="405"/>
      <c r="L203" s="405"/>
      <c r="M203" s="405"/>
      <c r="N203" s="405"/>
      <c r="O203" s="405"/>
      <c r="P203" s="405"/>
      <c r="Q203" s="382" t="e">
        <f t="shared" si="9"/>
        <v>#DIV/0!</v>
      </c>
      <c r="R203" s="382" t="e">
        <f t="shared" si="7"/>
        <v>#DIV/0!</v>
      </c>
      <c r="S203" s="382" t="e">
        <f t="shared" si="8"/>
        <v>#DIV/0!</v>
      </c>
      <c r="T203" s="184"/>
    </row>
    <row r="204" spans="1:20" s="181" customFormat="1" ht="32.1" customHeight="1" x14ac:dyDescent="0.2">
      <c r="A204" s="361" t="s">
        <v>3942</v>
      </c>
      <c r="B204" s="362" t="s">
        <v>2904</v>
      </c>
      <c r="C204" s="362" t="s">
        <v>2905</v>
      </c>
      <c r="D204" s="364">
        <v>50</v>
      </c>
      <c r="E204" s="405"/>
      <c r="F204" s="405">
        <v>0</v>
      </c>
      <c r="G204" s="405"/>
      <c r="H204" s="405"/>
      <c r="I204" s="405"/>
      <c r="J204" s="405"/>
      <c r="K204" s="405"/>
      <c r="L204" s="405"/>
      <c r="M204" s="405"/>
      <c r="N204" s="405"/>
      <c r="O204" s="405"/>
      <c r="P204" s="405"/>
      <c r="Q204" s="382">
        <f t="shared" si="9"/>
        <v>0</v>
      </c>
      <c r="R204" s="382" t="str">
        <f t="shared" si="7"/>
        <v>SI</v>
      </c>
      <c r="S204" s="382" t="str">
        <f t="shared" si="8"/>
        <v>Sin Riesgo</v>
      </c>
      <c r="T204" s="184"/>
    </row>
    <row r="205" spans="1:20" s="181" customFormat="1" ht="32.1" customHeight="1" x14ac:dyDescent="0.2">
      <c r="A205" s="361" t="s">
        <v>3942</v>
      </c>
      <c r="B205" s="362" t="s">
        <v>2906</v>
      </c>
      <c r="C205" s="362" t="s">
        <v>2907</v>
      </c>
      <c r="D205" s="364"/>
      <c r="E205" s="405"/>
      <c r="F205" s="405"/>
      <c r="G205" s="405"/>
      <c r="H205" s="405"/>
      <c r="I205" s="405"/>
      <c r="J205" s="405"/>
      <c r="K205" s="405"/>
      <c r="L205" s="405"/>
      <c r="M205" s="405"/>
      <c r="N205" s="405"/>
      <c r="O205" s="405"/>
      <c r="P205" s="405"/>
      <c r="Q205" s="382" t="e">
        <f t="shared" si="9"/>
        <v>#DIV/0!</v>
      </c>
      <c r="R205" s="382" t="e">
        <f t="shared" si="7"/>
        <v>#DIV/0!</v>
      </c>
      <c r="S205" s="382" t="e">
        <f t="shared" si="8"/>
        <v>#DIV/0!</v>
      </c>
      <c r="T205" s="184"/>
    </row>
    <row r="206" spans="1:20" s="181" customFormat="1" ht="32.1" customHeight="1" x14ac:dyDescent="0.2">
      <c r="A206" s="361" t="s">
        <v>3942</v>
      </c>
      <c r="B206" s="362" t="s">
        <v>2908</v>
      </c>
      <c r="C206" s="362" t="s">
        <v>2909</v>
      </c>
      <c r="D206" s="364"/>
      <c r="E206" s="405"/>
      <c r="F206" s="405"/>
      <c r="G206" s="405"/>
      <c r="H206" s="405"/>
      <c r="I206" s="405"/>
      <c r="J206" s="405"/>
      <c r="K206" s="405"/>
      <c r="L206" s="405"/>
      <c r="M206" s="405"/>
      <c r="N206" s="405"/>
      <c r="O206" s="405"/>
      <c r="P206" s="405"/>
      <c r="Q206" s="382" t="e">
        <f t="shared" si="9"/>
        <v>#DIV/0!</v>
      </c>
      <c r="R206" s="382" t="e">
        <f t="shared" si="7"/>
        <v>#DIV/0!</v>
      </c>
      <c r="S206" s="382" t="e">
        <f t="shared" si="8"/>
        <v>#DIV/0!</v>
      </c>
      <c r="T206" s="184"/>
    </row>
    <row r="207" spans="1:20" s="181" customFormat="1" ht="36.75" customHeight="1" x14ac:dyDescent="0.2">
      <c r="A207" s="361" t="s">
        <v>3942</v>
      </c>
      <c r="B207" s="362" t="s">
        <v>2910</v>
      </c>
      <c r="C207" s="362" t="s">
        <v>2911</v>
      </c>
      <c r="D207" s="364"/>
      <c r="E207" s="405"/>
      <c r="F207" s="405"/>
      <c r="G207" s="405"/>
      <c r="H207" s="405"/>
      <c r="I207" s="405"/>
      <c r="J207" s="405"/>
      <c r="K207" s="405"/>
      <c r="L207" s="405"/>
      <c r="M207" s="405"/>
      <c r="N207" s="405"/>
      <c r="O207" s="405"/>
      <c r="P207" s="405"/>
      <c r="Q207" s="382" t="e">
        <f t="shared" si="9"/>
        <v>#DIV/0!</v>
      </c>
      <c r="R207" s="382" t="e">
        <f t="shared" si="7"/>
        <v>#DIV/0!</v>
      </c>
      <c r="S207" s="382" t="e">
        <f t="shared" si="8"/>
        <v>#DIV/0!</v>
      </c>
      <c r="T207" s="184"/>
    </row>
    <row r="208" spans="1:20" s="181" customFormat="1" ht="39.950000000000003" customHeight="1" x14ac:dyDescent="0.2">
      <c r="A208" s="361" t="s">
        <v>3942</v>
      </c>
      <c r="B208" s="362" t="s">
        <v>2912</v>
      </c>
      <c r="C208" s="362" t="s">
        <v>2913</v>
      </c>
      <c r="D208" s="364"/>
      <c r="E208" s="405"/>
      <c r="F208" s="405"/>
      <c r="G208" s="405"/>
      <c r="H208" s="405"/>
      <c r="I208" s="405"/>
      <c r="J208" s="405"/>
      <c r="K208" s="405"/>
      <c r="L208" s="405"/>
      <c r="M208" s="405"/>
      <c r="N208" s="405"/>
      <c r="O208" s="405"/>
      <c r="P208" s="405"/>
      <c r="Q208" s="382" t="e">
        <f t="shared" si="9"/>
        <v>#DIV/0!</v>
      </c>
      <c r="R208" s="382" t="e">
        <f t="shared" si="7"/>
        <v>#DIV/0!</v>
      </c>
      <c r="S208" s="382" t="e">
        <f t="shared" si="8"/>
        <v>#DIV/0!</v>
      </c>
      <c r="T208" s="184"/>
    </row>
    <row r="209" spans="1:20" s="181" customFormat="1" ht="39.950000000000003" customHeight="1" x14ac:dyDescent="0.2">
      <c r="A209" s="361" t="s">
        <v>3942</v>
      </c>
      <c r="B209" s="362" t="s">
        <v>1237</v>
      </c>
      <c r="C209" s="362" t="s">
        <v>2914</v>
      </c>
      <c r="D209" s="364"/>
      <c r="E209" s="405"/>
      <c r="F209" s="405"/>
      <c r="G209" s="405"/>
      <c r="H209" s="405"/>
      <c r="I209" s="405"/>
      <c r="J209" s="405"/>
      <c r="K209" s="405"/>
      <c r="L209" s="405"/>
      <c r="M209" s="405"/>
      <c r="N209" s="405"/>
      <c r="O209" s="405"/>
      <c r="P209" s="405"/>
      <c r="Q209" s="382" t="e">
        <f t="shared" si="9"/>
        <v>#DIV/0!</v>
      </c>
      <c r="R209" s="382" t="e">
        <f t="shared" si="7"/>
        <v>#DIV/0!</v>
      </c>
      <c r="S209" s="382" t="e">
        <f t="shared" si="8"/>
        <v>#DIV/0!</v>
      </c>
      <c r="T209" s="184"/>
    </row>
    <row r="210" spans="1:20" s="181" customFormat="1" ht="39.950000000000003" customHeight="1" x14ac:dyDescent="0.2">
      <c r="A210" s="361" t="s">
        <v>3942</v>
      </c>
      <c r="B210" s="362" t="s">
        <v>10</v>
      </c>
      <c r="C210" s="362" t="s">
        <v>2915</v>
      </c>
      <c r="D210" s="364">
        <v>49</v>
      </c>
      <c r="E210" s="405"/>
      <c r="F210" s="405"/>
      <c r="G210" s="405"/>
      <c r="H210" s="405">
        <v>0</v>
      </c>
      <c r="I210" s="405"/>
      <c r="J210" s="405"/>
      <c r="K210" s="405"/>
      <c r="L210" s="405"/>
      <c r="M210" s="405"/>
      <c r="N210" s="405"/>
      <c r="O210" s="405"/>
      <c r="P210" s="405"/>
      <c r="Q210" s="382">
        <f t="shared" si="9"/>
        <v>0</v>
      </c>
      <c r="R210" s="382" t="str">
        <f t="shared" si="7"/>
        <v>SI</v>
      </c>
      <c r="S210" s="382" t="str">
        <f t="shared" si="8"/>
        <v>Sin Riesgo</v>
      </c>
      <c r="T210" s="184"/>
    </row>
    <row r="211" spans="1:20" s="181" customFormat="1" ht="39.950000000000003" customHeight="1" x14ac:dyDescent="0.2">
      <c r="A211" s="361" t="s">
        <v>3942</v>
      </c>
      <c r="B211" s="362" t="s">
        <v>2916</v>
      </c>
      <c r="C211" s="362" t="s">
        <v>2917</v>
      </c>
      <c r="D211" s="364">
        <v>87</v>
      </c>
      <c r="E211" s="405"/>
      <c r="F211" s="405"/>
      <c r="G211" s="405"/>
      <c r="H211" s="405"/>
      <c r="I211" s="405"/>
      <c r="J211" s="405"/>
      <c r="K211" s="405"/>
      <c r="L211" s="405"/>
      <c r="M211" s="405"/>
      <c r="N211" s="405">
        <v>97.3</v>
      </c>
      <c r="O211" s="405"/>
      <c r="P211" s="405"/>
      <c r="Q211" s="382">
        <f t="shared" si="9"/>
        <v>97.3</v>
      </c>
      <c r="R211" s="382" t="str">
        <f t="shared" si="7"/>
        <v>NO</v>
      </c>
      <c r="S211" s="382" t="str">
        <f t="shared" si="8"/>
        <v>Inviable Sanitariamente</v>
      </c>
      <c r="T211" s="184"/>
    </row>
    <row r="212" spans="1:20" s="181" customFormat="1" ht="39.950000000000003" customHeight="1" x14ac:dyDescent="0.2">
      <c r="A212" s="361" t="s">
        <v>3942</v>
      </c>
      <c r="B212" s="362" t="s">
        <v>576</v>
      </c>
      <c r="C212" s="362" t="s">
        <v>2918</v>
      </c>
      <c r="D212" s="364"/>
      <c r="E212" s="405"/>
      <c r="F212" s="405"/>
      <c r="G212" s="405"/>
      <c r="H212" s="405"/>
      <c r="I212" s="405"/>
      <c r="J212" s="405"/>
      <c r="K212" s="405"/>
      <c r="L212" s="405"/>
      <c r="M212" s="405"/>
      <c r="N212" s="405"/>
      <c r="O212" s="405"/>
      <c r="P212" s="405"/>
      <c r="Q212" s="382" t="e">
        <f t="shared" si="9"/>
        <v>#DIV/0!</v>
      </c>
      <c r="R212" s="382" t="e">
        <f t="shared" si="7"/>
        <v>#DIV/0!</v>
      </c>
      <c r="S212" s="382" t="e">
        <f t="shared" si="8"/>
        <v>#DIV/0!</v>
      </c>
      <c r="T212" s="184"/>
    </row>
    <row r="213" spans="1:20" s="181" customFormat="1" ht="39.950000000000003" customHeight="1" x14ac:dyDescent="0.2">
      <c r="A213" s="361" t="s">
        <v>3942</v>
      </c>
      <c r="B213" s="362" t="s">
        <v>647</v>
      </c>
      <c r="C213" s="362" t="s">
        <v>2919</v>
      </c>
      <c r="D213" s="364"/>
      <c r="E213" s="405"/>
      <c r="F213" s="405"/>
      <c r="G213" s="405"/>
      <c r="H213" s="405"/>
      <c r="I213" s="405"/>
      <c r="J213" s="405"/>
      <c r="K213" s="405"/>
      <c r="L213" s="405"/>
      <c r="M213" s="405"/>
      <c r="N213" s="405"/>
      <c r="O213" s="405"/>
      <c r="P213" s="405"/>
      <c r="Q213" s="382" t="e">
        <f t="shared" si="9"/>
        <v>#DIV/0!</v>
      </c>
      <c r="R213" s="382" t="e">
        <f t="shared" si="7"/>
        <v>#DIV/0!</v>
      </c>
      <c r="S213" s="382" t="e">
        <f t="shared" si="8"/>
        <v>#DIV/0!</v>
      </c>
      <c r="T213" s="184"/>
    </row>
    <row r="214" spans="1:20" s="181" customFormat="1" ht="39.950000000000003" customHeight="1" x14ac:dyDescent="0.2">
      <c r="A214" s="361" t="s">
        <v>3942</v>
      </c>
      <c r="B214" s="362" t="s">
        <v>2920</v>
      </c>
      <c r="C214" s="362" t="s">
        <v>2921</v>
      </c>
      <c r="D214" s="364">
        <v>23</v>
      </c>
      <c r="E214" s="405"/>
      <c r="F214" s="405"/>
      <c r="G214" s="405"/>
      <c r="H214" s="405"/>
      <c r="I214" s="405"/>
      <c r="J214" s="405"/>
      <c r="K214" s="405"/>
      <c r="L214" s="405">
        <v>0</v>
      </c>
      <c r="M214" s="405"/>
      <c r="N214" s="405"/>
      <c r="O214" s="405"/>
      <c r="P214" s="405"/>
      <c r="Q214" s="382">
        <f t="shared" si="9"/>
        <v>0</v>
      </c>
      <c r="R214" s="382" t="str">
        <f t="shared" si="7"/>
        <v>SI</v>
      </c>
      <c r="S214" s="382" t="str">
        <f t="shared" si="8"/>
        <v>Sin Riesgo</v>
      </c>
      <c r="T214" s="184"/>
    </row>
    <row r="215" spans="1:20" s="181" customFormat="1" ht="39.950000000000003" customHeight="1" x14ac:dyDescent="0.2">
      <c r="A215" s="361" t="s">
        <v>3942</v>
      </c>
      <c r="B215" s="362" t="s">
        <v>2922</v>
      </c>
      <c r="C215" s="362" t="s">
        <v>2923</v>
      </c>
      <c r="D215" s="364"/>
      <c r="E215" s="405"/>
      <c r="F215" s="405"/>
      <c r="G215" s="405"/>
      <c r="H215" s="405"/>
      <c r="I215" s="405"/>
      <c r="J215" s="405"/>
      <c r="K215" s="405"/>
      <c r="L215" s="405"/>
      <c r="M215" s="405"/>
      <c r="N215" s="405"/>
      <c r="O215" s="405"/>
      <c r="P215" s="405"/>
      <c r="Q215" s="382" t="e">
        <f t="shared" si="9"/>
        <v>#DIV/0!</v>
      </c>
      <c r="R215" s="382" t="e">
        <f t="shared" si="7"/>
        <v>#DIV/0!</v>
      </c>
      <c r="S215" s="382" t="e">
        <f t="shared" si="8"/>
        <v>#DIV/0!</v>
      </c>
      <c r="T215" s="184"/>
    </row>
    <row r="216" spans="1:20" s="181" customFormat="1" ht="39.950000000000003" customHeight="1" x14ac:dyDescent="0.2">
      <c r="A216" s="361" t="s">
        <v>3942</v>
      </c>
      <c r="B216" s="362" t="s">
        <v>2924</v>
      </c>
      <c r="C216" s="362" t="s">
        <v>2925</v>
      </c>
      <c r="D216" s="364">
        <v>77</v>
      </c>
      <c r="E216" s="405"/>
      <c r="F216" s="405"/>
      <c r="G216" s="405"/>
      <c r="H216" s="405"/>
      <c r="I216" s="405"/>
      <c r="J216" s="405">
        <v>0</v>
      </c>
      <c r="K216" s="405"/>
      <c r="L216" s="405"/>
      <c r="M216" s="405"/>
      <c r="N216" s="405"/>
      <c r="O216" s="405"/>
      <c r="P216" s="405"/>
      <c r="Q216" s="382">
        <f t="shared" si="9"/>
        <v>0</v>
      </c>
      <c r="R216" s="382" t="str">
        <f t="shared" si="7"/>
        <v>SI</v>
      </c>
      <c r="S216" s="382" t="str">
        <f t="shared" si="8"/>
        <v>Sin Riesgo</v>
      </c>
      <c r="T216" s="184"/>
    </row>
    <row r="217" spans="1:20" s="181" customFormat="1" ht="39.950000000000003" customHeight="1" x14ac:dyDescent="0.2">
      <c r="A217" s="361" t="s">
        <v>3942</v>
      </c>
      <c r="B217" s="362" t="s">
        <v>2926</v>
      </c>
      <c r="C217" s="362" t="s">
        <v>2927</v>
      </c>
      <c r="D217" s="364">
        <v>118</v>
      </c>
      <c r="E217" s="405"/>
      <c r="F217" s="405"/>
      <c r="G217" s="405"/>
      <c r="H217" s="405"/>
      <c r="I217" s="405"/>
      <c r="J217" s="405"/>
      <c r="K217" s="405"/>
      <c r="L217" s="405"/>
      <c r="M217" s="405"/>
      <c r="N217" s="405">
        <v>97.3</v>
      </c>
      <c r="O217" s="405"/>
      <c r="P217" s="405"/>
      <c r="Q217" s="382">
        <f t="shared" si="9"/>
        <v>97.3</v>
      </c>
      <c r="R217" s="382" t="str">
        <f t="shared" si="7"/>
        <v>NO</v>
      </c>
      <c r="S217" s="382" t="str">
        <f t="shared" si="8"/>
        <v>Inviable Sanitariamente</v>
      </c>
      <c r="T217" s="184"/>
    </row>
    <row r="218" spans="1:20" s="181" customFormat="1" ht="39.950000000000003" customHeight="1" x14ac:dyDescent="0.2">
      <c r="A218" s="361" t="s">
        <v>3942</v>
      </c>
      <c r="B218" s="362" t="s">
        <v>1486</v>
      </c>
      <c r="C218" s="362" t="s">
        <v>2928</v>
      </c>
      <c r="D218" s="364">
        <v>106</v>
      </c>
      <c r="E218" s="405"/>
      <c r="F218" s="405"/>
      <c r="G218" s="405"/>
      <c r="H218" s="405"/>
      <c r="I218" s="405"/>
      <c r="J218" s="405"/>
      <c r="K218" s="405"/>
      <c r="L218" s="405"/>
      <c r="M218" s="405"/>
      <c r="N218" s="405">
        <v>97.3</v>
      </c>
      <c r="O218" s="405"/>
      <c r="P218" s="405"/>
      <c r="Q218" s="382">
        <f t="shared" si="9"/>
        <v>97.3</v>
      </c>
      <c r="R218" s="382" t="str">
        <f t="shared" si="7"/>
        <v>NO</v>
      </c>
      <c r="S218" s="382" t="str">
        <f t="shared" si="8"/>
        <v>Inviable Sanitariamente</v>
      </c>
      <c r="T218" s="184"/>
    </row>
    <row r="219" spans="1:20" s="181" customFormat="1" ht="39.950000000000003" customHeight="1" x14ac:dyDescent="0.2">
      <c r="A219" s="361" t="s">
        <v>3942</v>
      </c>
      <c r="B219" s="362" t="s">
        <v>2929</v>
      </c>
      <c r="C219" s="362" t="s">
        <v>2930</v>
      </c>
      <c r="D219" s="364"/>
      <c r="E219" s="405"/>
      <c r="F219" s="405"/>
      <c r="G219" s="405"/>
      <c r="H219" s="405"/>
      <c r="I219" s="405"/>
      <c r="J219" s="405"/>
      <c r="K219" s="405"/>
      <c r="L219" s="405"/>
      <c r="M219" s="405"/>
      <c r="N219" s="405"/>
      <c r="O219" s="405"/>
      <c r="P219" s="405"/>
      <c r="Q219" s="382" t="e">
        <f t="shared" si="9"/>
        <v>#DIV/0!</v>
      </c>
      <c r="R219" s="382" t="e">
        <f t="shared" ref="R219:R282" si="10">IF(Q219&lt;5,"SI","NO")</f>
        <v>#DIV/0!</v>
      </c>
      <c r="S219" s="382" t="e">
        <f t="shared" si="8"/>
        <v>#DIV/0!</v>
      </c>
      <c r="T219" s="184"/>
    </row>
    <row r="220" spans="1:20" s="181" customFormat="1" ht="39.950000000000003" customHeight="1" x14ac:dyDescent="0.2">
      <c r="A220" s="361" t="s">
        <v>3942</v>
      </c>
      <c r="B220" s="362" t="s">
        <v>2931</v>
      </c>
      <c r="C220" s="362" t="s">
        <v>2932</v>
      </c>
      <c r="D220" s="364"/>
      <c r="E220" s="405"/>
      <c r="F220" s="405"/>
      <c r="G220" s="405"/>
      <c r="H220" s="405"/>
      <c r="I220" s="405"/>
      <c r="J220" s="405"/>
      <c r="K220" s="405"/>
      <c r="L220" s="405"/>
      <c r="M220" s="405"/>
      <c r="N220" s="405"/>
      <c r="O220" s="405"/>
      <c r="P220" s="405"/>
      <c r="Q220" s="382" t="e">
        <f t="shared" si="9"/>
        <v>#DIV/0!</v>
      </c>
      <c r="R220" s="382" t="e">
        <f t="shared" si="10"/>
        <v>#DIV/0!</v>
      </c>
      <c r="S220" s="382" t="e">
        <f t="shared" ref="S220:S285" si="11">IF(Q220&lt;=5,"Sin Riesgo",IF(Q220 &lt;=14,"Bajo",IF(Q220&lt;=35,"Medio",IF(Q220&lt;=80,"Alto","Inviable Sanitariamente"))))</f>
        <v>#DIV/0!</v>
      </c>
      <c r="T220" s="184"/>
    </row>
    <row r="221" spans="1:20" s="181" customFormat="1" ht="39.950000000000003" customHeight="1" x14ac:dyDescent="0.2">
      <c r="A221" s="361" t="s">
        <v>3942</v>
      </c>
      <c r="B221" s="362" t="s">
        <v>2155</v>
      </c>
      <c r="C221" s="362" t="s">
        <v>2933</v>
      </c>
      <c r="D221" s="364">
        <v>72</v>
      </c>
      <c r="E221" s="405"/>
      <c r="F221" s="405"/>
      <c r="G221" s="405">
        <v>96.7</v>
      </c>
      <c r="H221" s="405"/>
      <c r="I221" s="405"/>
      <c r="J221" s="405"/>
      <c r="K221" s="405"/>
      <c r="L221" s="405"/>
      <c r="M221" s="405"/>
      <c r="N221" s="405"/>
      <c r="O221" s="405"/>
      <c r="P221" s="405"/>
      <c r="Q221" s="382">
        <f t="shared" si="9"/>
        <v>96.7</v>
      </c>
      <c r="R221" s="382" t="str">
        <f t="shared" si="10"/>
        <v>NO</v>
      </c>
      <c r="S221" s="382" t="str">
        <f t="shared" si="11"/>
        <v>Inviable Sanitariamente</v>
      </c>
      <c r="T221" s="184"/>
    </row>
    <row r="222" spans="1:20" s="181" customFormat="1" ht="39.950000000000003" customHeight="1" x14ac:dyDescent="0.2">
      <c r="A222" s="361" t="s">
        <v>3942</v>
      </c>
      <c r="B222" s="362" t="s">
        <v>2934</v>
      </c>
      <c r="C222" s="362" t="s">
        <v>2935</v>
      </c>
      <c r="D222" s="364">
        <v>60</v>
      </c>
      <c r="E222" s="405"/>
      <c r="F222" s="405"/>
      <c r="G222" s="405"/>
      <c r="H222" s="405"/>
      <c r="I222" s="405"/>
      <c r="J222" s="405"/>
      <c r="K222" s="405"/>
      <c r="L222" s="405"/>
      <c r="M222" s="405"/>
      <c r="N222" s="405"/>
      <c r="O222" s="405"/>
      <c r="P222" s="405"/>
      <c r="Q222" s="382" t="e">
        <f t="shared" si="9"/>
        <v>#DIV/0!</v>
      </c>
      <c r="R222" s="382" t="e">
        <f t="shared" si="10"/>
        <v>#DIV/0!</v>
      </c>
      <c r="S222" s="382" t="e">
        <f t="shared" si="11"/>
        <v>#DIV/0!</v>
      </c>
      <c r="T222" s="184"/>
    </row>
    <row r="223" spans="1:20" s="181" customFormat="1" ht="32.1" customHeight="1" x14ac:dyDescent="0.2">
      <c r="A223" s="361" t="s">
        <v>3942</v>
      </c>
      <c r="B223" s="362" t="s">
        <v>1253</v>
      </c>
      <c r="C223" s="362" t="s">
        <v>2936</v>
      </c>
      <c r="D223" s="364">
        <v>30</v>
      </c>
      <c r="E223" s="405"/>
      <c r="F223" s="405"/>
      <c r="G223" s="405"/>
      <c r="H223" s="405"/>
      <c r="I223" s="405"/>
      <c r="J223" s="405"/>
      <c r="K223" s="405"/>
      <c r="L223" s="405"/>
      <c r="M223" s="405"/>
      <c r="N223" s="405"/>
      <c r="O223" s="405"/>
      <c r="P223" s="405"/>
      <c r="Q223" s="382" t="e">
        <f t="shared" si="9"/>
        <v>#DIV/0!</v>
      </c>
      <c r="R223" s="382" t="e">
        <f t="shared" si="10"/>
        <v>#DIV/0!</v>
      </c>
      <c r="S223" s="382" t="e">
        <f t="shared" si="11"/>
        <v>#DIV/0!</v>
      </c>
      <c r="T223" s="184"/>
    </row>
    <row r="224" spans="1:20" s="181" customFormat="1" ht="32.1" customHeight="1" x14ac:dyDescent="0.2">
      <c r="A224" s="361" t="s">
        <v>3942</v>
      </c>
      <c r="B224" s="362" t="s">
        <v>2937</v>
      </c>
      <c r="C224" s="362" t="s">
        <v>2938</v>
      </c>
      <c r="D224" s="364">
        <v>95</v>
      </c>
      <c r="E224" s="405"/>
      <c r="F224" s="405"/>
      <c r="G224" s="405"/>
      <c r="H224" s="405"/>
      <c r="I224" s="405"/>
      <c r="J224" s="405"/>
      <c r="K224" s="405"/>
      <c r="L224" s="405"/>
      <c r="M224" s="405"/>
      <c r="N224" s="405"/>
      <c r="O224" s="405"/>
      <c r="P224" s="405"/>
      <c r="Q224" s="382" t="e">
        <f t="shared" si="9"/>
        <v>#DIV/0!</v>
      </c>
      <c r="R224" s="382" t="e">
        <f t="shared" si="10"/>
        <v>#DIV/0!</v>
      </c>
      <c r="S224" s="382" t="e">
        <f t="shared" si="11"/>
        <v>#DIV/0!</v>
      </c>
      <c r="T224" s="184"/>
    </row>
    <row r="225" spans="1:20" s="181" customFormat="1" ht="32.1" customHeight="1" x14ac:dyDescent="0.2">
      <c r="A225" s="361" t="s">
        <v>3942</v>
      </c>
      <c r="B225" s="362" t="s">
        <v>2939</v>
      </c>
      <c r="C225" s="362" t="s">
        <v>2940</v>
      </c>
      <c r="D225" s="364">
        <v>80</v>
      </c>
      <c r="E225" s="405"/>
      <c r="F225" s="405"/>
      <c r="G225" s="405"/>
      <c r="H225" s="405"/>
      <c r="I225" s="405"/>
      <c r="J225" s="405"/>
      <c r="K225" s="405"/>
      <c r="L225" s="405"/>
      <c r="M225" s="405"/>
      <c r="N225" s="405"/>
      <c r="O225" s="405"/>
      <c r="P225" s="405">
        <v>0</v>
      </c>
      <c r="Q225" s="382">
        <f t="shared" si="9"/>
        <v>0</v>
      </c>
      <c r="R225" s="382" t="str">
        <f t="shared" si="10"/>
        <v>SI</v>
      </c>
      <c r="S225" s="382" t="str">
        <f t="shared" si="11"/>
        <v>Sin Riesgo</v>
      </c>
      <c r="T225" s="184"/>
    </row>
    <row r="226" spans="1:20" s="181" customFormat="1" ht="32.1" customHeight="1" x14ac:dyDescent="0.2">
      <c r="A226" s="361" t="s">
        <v>3942</v>
      </c>
      <c r="B226" s="362" t="s">
        <v>2077</v>
      </c>
      <c r="C226" s="362" t="s">
        <v>2941</v>
      </c>
      <c r="D226" s="364"/>
      <c r="E226" s="405"/>
      <c r="F226" s="405"/>
      <c r="G226" s="405"/>
      <c r="H226" s="405"/>
      <c r="I226" s="405"/>
      <c r="J226" s="405"/>
      <c r="K226" s="405"/>
      <c r="L226" s="405"/>
      <c r="M226" s="405"/>
      <c r="N226" s="405"/>
      <c r="O226" s="405"/>
      <c r="P226" s="405"/>
      <c r="Q226" s="382" t="e">
        <f t="shared" si="9"/>
        <v>#DIV/0!</v>
      </c>
      <c r="R226" s="382" t="e">
        <f t="shared" si="10"/>
        <v>#DIV/0!</v>
      </c>
      <c r="S226" s="382" t="e">
        <f t="shared" si="11"/>
        <v>#DIV/0!</v>
      </c>
      <c r="T226" s="184"/>
    </row>
    <row r="227" spans="1:20" s="181" customFormat="1" ht="32.1" customHeight="1" x14ac:dyDescent="0.2">
      <c r="A227" s="361" t="s">
        <v>3942</v>
      </c>
      <c r="B227" s="362" t="s">
        <v>2942</v>
      </c>
      <c r="C227" s="362" t="s">
        <v>2943</v>
      </c>
      <c r="D227" s="364"/>
      <c r="E227" s="405"/>
      <c r="F227" s="405"/>
      <c r="G227" s="405"/>
      <c r="H227" s="405"/>
      <c r="I227" s="405"/>
      <c r="J227" s="405"/>
      <c r="K227" s="405"/>
      <c r="L227" s="405"/>
      <c r="M227" s="405"/>
      <c r="N227" s="405"/>
      <c r="O227" s="405"/>
      <c r="P227" s="405"/>
      <c r="Q227" s="382" t="e">
        <f t="shared" si="9"/>
        <v>#DIV/0!</v>
      </c>
      <c r="R227" s="382" t="e">
        <f t="shared" si="10"/>
        <v>#DIV/0!</v>
      </c>
      <c r="S227" s="382" t="e">
        <f t="shared" si="11"/>
        <v>#DIV/0!</v>
      </c>
      <c r="T227" s="184"/>
    </row>
    <row r="228" spans="1:20" s="181" customFormat="1" ht="32.1" customHeight="1" x14ac:dyDescent="0.2">
      <c r="A228" s="361" t="s">
        <v>3942</v>
      </c>
      <c r="B228" s="362" t="s">
        <v>974</v>
      </c>
      <c r="C228" s="362" t="s">
        <v>2944</v>
      </c>
      <c r="D228" s="364"/>
      <c r="E228" s="405"/>
      <c r="F228" s="405"/>
      <c r="G228" s="405"/>
      <c r="H228" s="405"/>
      <c r="I228" s="405"/>
      <c r="J228" s="405"/>
      <c r="K228" s="405"/>
      <c r="L228" s="405"/>
      <c r="M228" s="405"/>
      <c r="N228" s="405"/>
      <c r="O228" s="405"/>
      <c r="P228" s="405"/>
      <c r="Q228" s="382" t="e">
        <f t="shared" si="9"/>
        <v>#DIV/0!</v>
      </c>
      <c r="R228" s="382" t="e">
        <f t="shared" si="10"/>
        <v>#DIV/0!</v>
      </c>
      <c r="S228" s="382" t="e">
        <f t="shared" si="11"/>
        <v>#DIV/0!</v>
      </c>
      <c r="T228" s="184"/>
    </row>
    <row r="229" spans="1:20" s="181" customFormat="1" ht="32.1" customHeight="1" x14ac:dyDescent="0.2">
      <c r="A229" s="361" t="s">
        <v>3942</v>
      </c>
      <c r="B229" s="362" t="s">
        <v>2945</v>
      </c>
      <c r="C229" s="362" t="s">
        <v>2946</v>
      </c>
      <c r="D229" s="364"/>
      <c r="E229" s="405"/>
      <c r="F229" s="405"/>
      <c r="G229" s="405"/>
      <c r="H229" s="405"/>
      <c r="I229" s="405"/>
      <c r="J229" s="405"/>
      <c r="K229" s="405"/>
      <c r="L229" s="405"/>
      <c r="M229" s="405"/>
      <c r="N229" s="405"/>
      <c r="O229" s="405"/>
      <c r="P229" s="405"/>
      <c r="Q229" s="382" t="e">
        <f t="shared" si="9"/>
        <v>#DIV/0!</v>
      </c>
      <c r="R229" s="382" t="e">
        <f t="shared" si="10"/>
        <v>#DIV/0!</v>
      </c>
      <c r="S229" s="382" t="e">
        <f t="shared" si="11"/>
        <v>#DIV/0!</v>
      </c>
      <c r="T229" s="184"/>
    </row>
    <row r="230" spans="1:20" s="181" customFormat="1" ht="32.1" customHeight="1" x14ac:dyDescent="0.2">
      <c r="A230" s="361" t="s">
        <v>3942</v>
      </c>
      <c r="B230" s="362" t="s">
        <v>2947</v>
      </c>
      <c r="C230" s="362" t="s">
        <v>2948</v>
      </c>
      <c r="D230" s="364"/>
      <c r="E230" s="405"/>
      <c r="F230" s="405"/>
      <c r="G230" s="405"/>
      <c r="H230" s="405"/>
      <c r="I230" s="405"/>
      <c r="J230" s="405"/>
      <c r="K230" s="405"/>
      <c r="L230" s="405"/>
      <c r="M230" s="405"/>
      <c r="N230" s="405"/>
      <c r="O230" s="405"/>
      <c r="P230" s="405"/>
      <c r="Q230" s="382" t="e">
        <f t="shared" si="9"/>
        <v>#DIV/0!</v>
      </c>
      <c r="R230" s="382" t="e">
        <f t="shared" si="10"/>
        <v>#DIV/0!</v>
      </c>
      <c r="S230" s="382" t="e">
        <f t="shared" si="11"/>
        <v>#DIV/0!</v>
      </c>
      <c r="T230" s="184"/>
    </row>
    <row r="231" spans="1:20" s="181" customFormat="1" ht="32.1" customHeight="1" x14ac:dyDescent="0.2">
      <c r="A231" s="361" t="s">
        <v>3942</v>
      </c>
      <c r="B231" s="362" t="s">
        <v>2949</v>
      </c>
      <c r="C231" s="362" t="s">
        <v>2950</v>
      </c>
      <c r="D231" s="364"/>
      <c r="E231" s="405"/>
      <c r="F231" s="405"/>
      <c r="G231" s="405"/>
      <c r="H231" s="405"/>
      <c r="I231" s="405"/>
      <c r="J231" s="405"/>
      <c r="K231" s="405"/>
      <c r="L231" s="405"/>
      <c r="M231" s="405"/>
      <c r="N231" s="405"/>
      <c r="O231" s="405"/>
      <c r="P231" s="405"/>
      <c r="Q231" s="382" t="e">
        <f t="shared" si="9"/>
        <v>#DIV/0!</v>
      </c>
      <c r="R231" s="382" t="e">
        <f t="shared" si="10"/>
        <v>#DIV/0!</v>
      </c>
      <c r="S231" s="382" t="e">
        <f t="shared" si="11"/>
        <v>#DIV/0!</v>
      </c>
      <c r="T231" s="184"/>
    </row>
    <row r="232" spans="1:20" s="181" customFormat="1" ht="32.1" customHeight="1" x14ac:dyDescent="0.2">
      <c r="A232" s="361" t="s">
        <v>3942</v>
      </c>
      <c r="B232" s="362" t="s">
        <v>2951</v>
      </c>
      <c r="C232" s="362" t="s">
        <v>2952</v>
      </c>
      <c r="D232" s="364">
        <v>97</v>
      </c>
      <c r="E232" s="405"/>
      <c r="F232" s="405"/>
      <c r="G232" s="405"/>
      <c r="H232" s="405"/>
      <c r="I232" s="405">
        <v>96.7</v>
      </c>
      <c r="J232" s="405"/>
      <c r="K232" s="405"/>
      <c r="L232" s="405"/>
      <c r="M232" s="405"/>
      <c r="N232" s="405"/>
      <c r="O232" s="405"/>
      <c r="P232" s="405"/>
      <c r="Q232" s="382">
        <f t="shared" si="9"/>
        <v>96.7</v>
      </c>
      <c r="R232" s="382" t="str">
        <f t="shared" si="10"/>
        <v>NO</v>
      </c>
      <c r="S232" s="382" t="str">
        <f t="shared" si="11"/>
        <v>Inviable Sanitariamente</v>
      </c>
      <c r="T232" s="184"/>
    </row>
    <row r="233" spans="1:20" s="181" customFormat="1" ht="32.1" customHeight="1" x14ac:dyDescent="0.2">
      <c r="A233" s="361" t="s">
        <v>3942</v>
      </c>
      <c r="B233" s="362" t="s">
        <v>2953</v>
      </c>
      <c r="C233" s="362" t="s">
        <v>2954</v>
      </c>
      <c r="D233" s="364">
        <v>25</v>
      </c>
      <c r="E233" s="405"/>
      <c r="F233" s="405"/>
      <c r="G233" s="405"/>
      <c r="H233" s="405"/>
      <c r="I233" s="405">
        <v>96.7</v>
      </c>
      <c r="J233" s="405"/>
      <c r="K233" s="405"/>
      <c r="L233" s="405"/>
      <c r="M233" s="405"/>
      <c r="N233" s="405"/>
      <c r="O233" s="405"/>
      <c r="P233" s="405"/>
      <c r="Q233" s="382">
        <f t="shared" si="9"/>
        <v>96.7</v>
      </c>
      <c r="R233" s="382" t="str">
        <f t="shared" si="10"/>
        <v>NO</v>
      </c>
      <c r="S233" s="382" t="str">
        <f t="shared" si="11"/>
        <v>Inviable Sanitariamente</v>
      </c>
      <c r="T233" s="184"/>
    </row>
    <row r="234" spans="1:20" s="181" customFormat="1" ht="32.1" customHeight="1" x14ac:dyDescent="0.2">
      <c r="A234" s="361" t="s">
        <v>3942</v>
      </c>
      <c r="B234" s="362" t="s">
        <v>2955</v>
      </c>
      <c r="C234" s="362" t="s">
        <v>2956</v>
      </c>
      <c r="D234" s="364">
        <v>120</v>
      </c>
      <c r="E234" s="405"/>
      <c r="F234" s="405"/>
      <c r="G234" s="405"/>
      <c r="H234" s="405"/>
      <c r="I234" s="405">
        <v>96.7</v>
      </c>
      <c r="J234" s="405"/>
      <c r="K234" s="405"/>
      <c r="L234" s="405"/>
      <c r="M234" s="405"/>
      <c r="N234" s="405"/>
      <c r="O234" s="405"/>
      <c r="P234" s="405"/>
      <c r="Q234" s="382">
        <f t="shared" si="9"/>
        <v>96.7</v>
      </c>
      <c r="R234" s="382" t="str">
        <f t="shared" si="10"/>
        <v>NO</v>
      </c>
      <c r="S234" s="382" t="str">
        <f t="shared" si="11"/>
        <v>Inviable Sanitariamente</v>
      </c>
      <c r="T234" s="184"/>
    </row>
    <row r="235" spans="1:20" s="181" customFormat="1" ht="32.1" customHeight="1" x14ac:dyDescent="0.2">
      <c r="A235" s="361" t="s">
        <v>3942</v>
      </c>
      <c r="B235" s="362" t="s">
        <v>2957</v>
      </c>
      <c r="C235" s="362" t="s">
        <v>2958</v>
      </c>
      <c r="D235" s="364">
        <v>197</v>
      </c>
      <c r="E235" s="405"/>
      <c r="F235" s="405"/>
      <c r="G235" s="405"/>
      <c r="H235" s="405">
        <v>97.6</v>
      </c>
      <c r="I235" s="405"/>
      <c r="J235" s="405"/>
      <c r="K235" s="405"/>
      <c r="L235" s="405"/>
      <c r="M235" s="405"/>
      <c r="N235" s="405"/>
      <c r="O235" s="405"/>
      <c r="P235" s="405"/>
      <c r="Q235" s="382">
        <f t="shared" si="9"/>
        <v>97.6</v>
      </c>
      <c r="R235" s="382" t="str">
        <f t="shared" si="10"/>
        <v>NO</v>
      </c>
      <c r="S235" s="382" t="str">
        <f t="shared" si="11"/>
        <v>Inviable Sanitariamente</v>
      </c>
      <c r="T235" s="184"/>
    </row>
    <row r="236" spans="1:20" s="181" customFormat="1" ht="32.1" customHeight="1" x14ac:dyDescent="0.2">
      <c r="A236" s="361" t="s">
        <v>3942</v>
      </c>
      <c r="B236" s="362" t="s">
        <v>2959</v>
      </c>
      <c r="C236" s="362" t="s">
        <v>2960</v>
      </c>
      <c r="D236" s="364"/>
      <c r="E236" s="405"/>
      <c r="F236" s="405"/>
      <c r="G236" s="405"/>
      <c r="H236" s="405"/>
      <c r="I236" s="405"/>
      <c r="J236" s="405"/>
      <c r="K236" s="405"/>
      <c r="L236" s="405"/>
      <c r="M236" s="405"/>
      <c r="N236" s="405"/>
      <c r="O236" s="405"/>
      <c r="P236" s="405"/>
      <c r="Q236" s="382" t="e">
        <f t="shared" si="9"/>
        <v>#DIV/0!</v>
      </c>
      <c r="R236" s="382" t="e">
        <f t="shared" si="10"/>
        <v>#DIV/0!</v>
      </c>
      <c r="S236" s="382" t="e">
        <f t="shared" si="11"/>
        <v>#DIV/0!</v>
      </c>
      <c r="T236" s="184"/>
    </row>
    <row r="237" spans="1:20" s="181" customFormat="1" ht="32.1" customHeight="1" x14ac:dyDescent="0.2">
      <c r="A237" s="361" t="s">
        <v>3942</v>
      </c>
      <c r="B237" s="362" t="s">
        <v>2961</v>
      </c>
      <c r="C237" s="362" t="s">
        <v>2962</v>
      </c>
      <c r="D237" s="364"/>
      <c r="E237" s="405"/>
      <c r="F237" s="405"/>
      <c r="G237" s="405"/>
      <c r="H237" s="405"/>
      <c r="I237" s="405"/>
      <c r="J237" s="405"/>
      <c r="K237" s="405"/>
      <c r="L237" s="405"/>
      <c r="M237" s="405"/>
      <c r="N237" s="405"/>
      <c r="O237" s="405"/>
      <c r="P237" s="405"/>
      <c r="Q237" s="382" t="e">
        <f t="shared" si="9"/>
        <v>#DIV/0!</v>
      </c>
      <c r="R237" s="382" t="e">
        <f t="shared" si="10"/>
        <v>#DIV/0!</v>
      </c>
      <c r="S237" s="382" t="e">
        <f t="shared" si="11"/>
        <v>#DIV/0!</v>
      </c>
      <c r="T237" s="184"/>
    </row>
    <row r="238" spans="1:20" s="181" customFormat="1" ht="32.1" customHeight="1" x14ac:dyDescent="0.2">
      <c r="A238" s="361" t="s">
        <v>3942</v>
      </c>
      <c r="B238" s="362" t="s">
        <v>2963</v>
      </c>
      <c r="C238" s="362" t="s">
        <v>2964</v>
      </c>
      <c r="D238" s="364">
        <v>52</v>
      </c>
      <c r="E238" s="405"/>
      <c r="F238" s="405"/>
      <c r="G238" s="405">
        <v>96.7</v>
      </c>
      <c r="H238" s="405"/>
      <c r="I238" s="405"/>
      <c r="J238" s="405"/>
      <c r="K238" s="405"/>
      <c r="L238" s="405"/>
      <c r="M238" s="405"/>
      <c r="N238" s="405"/>
      <c r="O238" s="405"/>
      <c r="P238" s="405"/>
      <c r="Q238" s="382">
        <f t="shared" si="9"/>
        <v>96.7</v>
      </c>
      <c r="R238" s="382" t="str">
        <f t="shared" si="10"/>
        <v>NO</v>
      </c>
      <c r="S238" s="382" t="str">
        <f t="shared" si="11"/>
        <v>Inviable Sanitariamente</v>
      </c>
      <c r="T238" s="184"/>
    </row>
    <row r="239" spans="1:20" s="181" customFormat="1" ht="32.1" customHeight="1" x14ac:dyDescent="0.2">
      <c r="A239" s="361" t="s">
        <v>3942</v>
      </c>
      <c r="B239" s="362" t="s">
        <v>2965</v>
      </c>
      <c r="C239" s="362" t="s">
        <v>2966</v>
      </c>
      <c r="D239" s="364">
        <v>118</v>
      </c>
      <c r="E239" s="405"/>
      <c r="F239" s="405"/>
      <c r="G239" s="405"/>
      <c r="H239" s="405">
        <v>96.7</v>
      </c>
      <c r="I239" s="405"/>
      <c r="J239" s="405"/>
      <c r="K239" s="405"/>
      <c r="L239" s="405"/>
      <c r="M239" s="405"/>
      <c r="N239" s="405"/>
      <c r="O239" s="405"/>
      <c r="P239" s="405"/>
      <c r="Q239" s="382">
        <f t="shared" si="9"/>
        <v>96.7</v>
      </c>
      <c r="R239" s="382" t="str">
        <f t="shared" si="10"/>
        <v>NO</v>
      </c>
      <c r="S239" s="382" t="str">
        <f t="shared" si="11"/>
        <v>Inviable Sanitariamente</v>
      </c>
      <c r="T239" s="184"/>
    </row>
    <row r="240" spans="1:20" s="181" customFormat="1" ht="32.1" customHeight="1" x14ac:dyDescent="0.2">
      <c r="A240" s="361" t="s">
        <v>147</v>
      </c>
      <c r="B240" s="362" t="s">
        <v>2967</v>
      </c>
      <c r="C240" s="362" t="s">
        <v>2968</v>
      </c>
      <c r="D240" s="364"/>
      <c r="E240" s="405"/>
      <c r="F240" s="405"/>
      <c r="G240" s="405"/>
      <c r="H240" s="405"/>
      <c r="I240" s="405"/>
      <c r="J240" s="405"/>
      <c r="K240" s="405"/>
      <c r="L240" s="405"/>
      <c r="M240" s="405"/>
      <c r="N240" s="405"/>
      <c r="O240" s="405"/>
      <c r="P240" s="405"/>
      <c r="Q240" s="382" t="e">
        <f t="shared" si="9"/>
        <v>#DIV/0!</v>
      </c>
      <c r="R240" s="382" t="e">
        <f t="shared" si="10"/>
        <v>#DIV/0!</v>
      </c>
      <c r="S240" s="382" t="e">
        <f t="shared" si="11"/>
        <v>#DIV/0!</v>
      </c>
      <c r="T240" s="184"/>
    </row>
    <row r="241" spans="1:20" s="181" customFormat="1" ht="32.1" customHeight="1" x14ac:dyDescent="0.2">
      <c r="A241" s="361" t="s">
        <v>147</v>
      </c>
      <c r="B241" s="362" t="s">
        <v>2969</v>
      </c>
      <c r="C241" s="362" t="s">
        <v>2970</v>
      </c>
      <c r="D241" s="364">
        <v>28</v>
      </c>
      <c r="E241" s="405"/>
      <c r="F241" s="405"/>
      <c r="G241" s="405"/>
      <c r="H241" s="405"/>
      <c r="I241" s="405"/>
      <c r="J241" s="405"/>
      <c r="K241" s="405">
        <v>53.1</v>
      </c>
      <c r="L241" s="405"/>
      <c r="M241" s="405"/>
      <c r="N241" s="405"/>
      <c r="O241" s="405"/>
      <c r="P241" s="405"/>
      <c r="Q241" s="382">
        <f t="shared" si="9"/>
        <v>53.1</v>
      </c>
      <c r="R241" s="382" t="str">
        <f t="shared" si="10"/>
        <v>NO</v>
      </c>
      <c r="S241" s="382" t="str">
        <f t="shared" si="11"/>
        <v>Alto</v>
      </c>
      <c r="T241" s="184"/>
    </row>
    <row r="242" spans="1:20" s="181" customFormat="1" ht="32.1" customHeight="1" x14ac:dyDescent="0.2">
      <c r="A242" s="361" t="s">
        <v>147</v>
      </c>
      <c r="B242" s="362" t="s">
        <v>2971</v>
      </c>
      <c r="C242" s="362" t="s">
        <v>2972</v>
      </c>
      <c r="D242" s="364">
        <v>7</v>
      </c>
      <c r="E242" s="405"/>
      <c r="F242" s="405"/>
      <c r="G242" s="405"/>
      <c r="H242" s="405"/>
      <c r="I242" s="405"/>
      <c r="J242" s="405">
        <v>53.1</v>
      </c>
      <c r="K242" s="405"/>
      <c r="L242" s="405"/>
      <c r="M242" s="405"/>
      <c r="N242" s="405"/>
      <c r="O242" s="405"/>
      <c r="P242" s="405"/>
      <c r="Q242" s="382">
        <f t="shared" si="9"/>
        <v>53.1</v>
      </c>
      <c r="R242" s="382" t="str">
        <f t="shared" si="10"/>
        <v>NO</v>
      </c>
      <c r="S242" s="382" t="str">
        <f t="shared" si="11"/>
        <v>Alto</v>
      </c>
      <c r="T242" s="184"/>
    </row>
    <row r="243" spans="1:20" s="181" customFormat="1" ht="32.1" customHeight="1" x14ac:dyDescent="0.2">
      <c r="A243" s="361" t="s">
        <v>147</v>
      </c>
      <c r="B243" s="362" t="s">
        <v>2973</v>
      </c>
      <c r="C243" s="362" t="s">
        <v>2974</v>
      </c>
      <c r="D243" s="364">
        <v>6</v>
      </c>
      <c r="E243" s="405"/>
      <c r="F243" s="405"/>
      <c r="G243" s="405"/>
      <c r="H243" s="405"/>
      <c r="I243" s="405"/>
      <c r="J243" s="405">
        <v>53.1</v>
      </c>
      <c r="K243" s="405"/>
      <c r="L243" s="405"/>
      <c r="M243" s="405"/>
      <c r="N243" s="405"/>
      <c r="O243" s="405"/>
      <c r="P243" s="405"/>
      <c r="Q243" s="382">
        <f t="shared" ref="Q243:Q285" si="12">AVERAGE(E243:P243)</f>
        <v>53.1</v>
      </c>
      <c r="R243" s="382" t="str">
        <f t="shared" si="10"/>
        <v>NO</v>
      </c>
      <c r="S243" s="382" t="str">
        <f t="shared" si="11"/>
        <v>Alto</v>
      </c>
      <c r="T243" s="184"/>
    </row>
    <row r="244" spans="1:20" s="181" customFormat="1" ht="32.1" customHeight="1" x14ac:dyDescent="0.2">
      <c r="A244" s="361" t="s">
        <v>147</v>
      </c>
      <c r="B244" s="362" t="s">
        <v>2820</v>
      </c>
      <c r="C244" s="362" t="s">
        <v>2975</v>
      </c>
      <c r="D244" s="364">
        <v>24</v>
      </c>
      <c r="E244" s="405"/>
      <c r="F244" s="405"/>
      <c r="G244" s="405"/>
      <c r="H244" s="405"/>
      <c r="I244" s="405"/>
      <c r="J244" s="405">
        <v>53.1</v>
      </c>
      <c r="K244" s="405"/>
      <c r="L244" s="405"/>
      <c r="M244" s="405"/>
      <c r="N244" s="405"/>
      <c r="O244" s="405"/>
      <c r="P244" s="405"/>
      <c r="Q244" s="382">
        <f t="shared" si="12"/>
        <v>53.1</v>
      </c>
      <c r="R244" s="382" t="str">
        <f t="shared" si="10"/>
        <v>NO</v>
      </c>
      <c r="S244" s="382" t="str">
        <f t="shared" si="11"/>
        <v>Alto</v>
      </c>
      <c r="T244" s="184"/>
    </row>
    <row r="245" spans="1:20" s="181" customFormat="1" ht="32.1" customHeight="1" x14ac:dyDescent="0.2">
      <c r="A245" s="361" t="s">
        <v>147</v>
      </c>
      <c r="B245" s="362" t="s">
        <v>2976</v>
      </c>
      <c r="C245" s="362" t="s">
        <v>2977</v>
      </c>
      <c r="D245" s="364">
        <v>49</v>
      </c>
      <c r="E245" s="405"/>
      <c r="F245" s="405">
        <v>53.1</v>
      </c>
      <c r="G245" s="405"/>
      <c r="H245" s="405"/>
      <c r="I245" s="405"/>
      <c r="J245" s="405"/>
      <c r="K245" s="405"/>
      <c r="L245" s="405"/>
      <c r="M245" s="405"/>
      <c r="N245" s="405"/>
      <c r="O245" s="405"/>
      <c r="P245" s="405"/>
      <c r="Q245" s="382">
        <f t="shared" si="12"/>
        <v>53.1</v>
      </c>
      <c r="R245" s="382" t="str">
        <f t="shared" si="10"/>
        <v>NO</v>
      </c>
      <c r="S245" s="382" t="str">
        <f t="shared" si="11"/>
        <v>Alto</v>
      </c>
      <c r="T245" s="184"/>
    </row>
    <row r="246" spans="1:20" s="181" customFormat="1" ht="32.1" customHeight="1" x14ac:dyDescent="0.2">
      <c r="A246" s="361" t="s">
        <v>147</v>
      </c>
      <c r="B246" s="362" t="s">
        <v>2978</v>
      </c>
      <c r="C246" s="362" t="s">
        <v>2979</v>
      </c>
      <c r="D246" s="364"/>
      <c r="E246" s="405"/>
      <c r="F246" s="405"/>
      <c r="G246" s="405"/>
      <c r="H246" s="405"/>
      <c r="I246" s="405"/>
      <c r="J246" s="405"/>
      <c r="K246" s="405"/>
      <c r="L246" s="405"/>
      <c r="M246" s="405"/>
      <c r="N246" s="405"/>
      <c r="O246" s="405"/>
      <c r="P246" s="405"/>
      <c r="Q246" s="382" t="e">
        <f t="shared" si="12"/>
        <v>#DIV/0!</v>
      </c>
      <c r="R246" s="382" t="e">
        <f t="shared" si="10"/>
        <v>#DIV/0!</v>
      </c>
      <c r="S246" s="382" t="e">
        <f t="shared" si="11"/>
        <v>#DIV/0!</v>
      </c>
      <c r="T246" s="184"/>
    </row>
    <row r="247" spans="1:20" s="181" customFormat="1" ht="32.1" customHeight="1" x14ac:dyDescent="0.2">
      <c r="A247" s="361" t="s">
        <v>147</v>
      </c>
      <c r="B247" s="362" t="s">
        <v>2980</v>
      </c>
      <c r="C247" s="362" t="s">
        <v>2981</v>
      </c>
      <c r="D247" s="364">
        <v>40</v>
      </c>
      <c r="E247" s="405"/>
      <c r="F247" s="405">
        <v>53.1</v>
      </c>
      <c r="G247" s="405"/>
      <c r="H247" s="405"/>
      <c r="I247" s="405"/>
      <c r="J247" s="405"/>
      <c r="K247" s="405"/>
      <c r="L247" s="405"/>
      <c r="M247" s="405"/>
      <c r="N247" s="405"/>
      <c r="O247" s="405"/>
      <c r="P247" s="405"/>
      <c r="Q247" s="382">
        <f t="shared" si="12"/>
        <v>53.1</v>
      </c>
      <c r="R247" s="382" t="str">
        <f t="shared" si="10"/>
        <v>NO</v>
      </c>
      <c r="S247" s="382" t="str">
        <f t="shared" si="11"/>
        <v>Alto</v>
      </c>
      <c r="T247" s="184"/>
    </row>
    <row r="248" spans="1:20" s="181" customFormat="1" ht="32.1" customHeight="1" x14ac:dyDescent="0.2">
      <c r="A248" s="361" t="s">
        <v>147</v>
      </c>
      <c r="B248" s="362" t="s">
        <v>2982</v>
      </c>
      <c r="C248" s="362" t="s">
        <v>2983</v>
      </c>
      <c r="D248" s="364"/>
      <c r="E248" s="405"/>
      <c r="F248" s="405"/>
      <c r="G248" s="405"/>
      <c r="H248" s="405"/>
      <c r="I248" s="405"/>
      <c r="J248" s="405"/>
      <c r="K248" s="405"/>
      <c r="L248" s="405"/>
      <c r="M248" s="405"/>
      <c r="N248" s="405"/>
      <c r="O248" s="405"/>
      <c r="P248" s="405"/>
      <c r="Q248" s="382" t="e">
        <f t="shared" si="12"/>
        <v>#DIV/0!</v>
      </c>
      <c r="R248" s="382" t="e">
        <f t="shared" si="10"/>
        <v>#DIV/0!</v>
      </c>
      <c r="S248" s="382" t="e">
        <f t="shared" si="11"/>
        <v>#DIV/0!</v>
      </c>
      <c r="T248" s="184"/>
    </row>
    <row r="249" spans="1:20" s="181" customFormat="1" ht="32.1" customHeight="1" x14ac:dyDescent="0.2">
      <c r="A249" s="361" t="s">
        <v>147</v>
      </c>
      <c r="B249" s="362" t="s">
        <v>2984</v>
      </c>
      <c r="C249" s="362" t="s">
        <v>2985</v>
      </c>
      <c r="D249" s="364">
        <v>85</v>
      </c>
      <c r="E249" s="405"/>
      <c r="F249" s="405"/>
      <c r="G249" s="405"/>
      <c r="H249" s="405">
        <v>53.1</v>
      </c>
      <c r="I249" s="405"/>
      <c r="J249" s="405"/>
      <c r="K249" s="405"/>
      <c r="L249" s="405"/>
      <c r="M249" s="405"/>
      <c r="N249" s="405"/>
      <c r="O249" s="405"/>
      <c r="P249" s="405"/>
      <c r="Q249" s="382">
        <f t="shared" si="12"/>
        <v>53.1</v>
      </c>
      <c r="R249" s="382" t="str">
        <f t="shared" si="10"/>
        <v>NO</v>
      </c>
      <c r="S249" s="382" t="str">
        <f t="shared" si="11"/>
        <v>Alto</v>
      </c>
      <c r="T249" s="184"/>
    </row>
    <row r="250" spans="1:20" s="181" customFormat="1" ht="32.1" customHeight="1" x14ac:dyDescent="0.2">
      <c r="A250" s="361" t="s">
        <v>147</v>
      </c>
      <c r="B250" s="362" t="s">
        <v>2986</v>
      </c>
      <c r="C250" s="362" t="s">
        <v>2987</v>
      </c>
      <c r="D250" s="364"/>
      <c r="E250" s="405"/>
      <c r="F250" s="405"/>
      <c r="G250" s="405"/>
      <c r="H250" s="405"/>
      <c r="I250" s="405"/>
      <c r="J250" s="405"/>
      <c r="K250" s="405"/>
      <c r="L250" s="405"/>
      <c r="M250" s="405"/>
      <c r="N250" s="405"/>
      <c r="O250" s="405"/>
      <c r="P250" s="405"/>
      <c r="Q250" s="382" t="e">
        <f t="shared" si="12"/>
        <v>#DIV/0!</v>
      </c>
      <c r="R250" s="382" t="e">
        <f t="shared" si="10"/>
        <v>#DIV/0!</v>
      </c>
      <c r="S250" s="382" t="e">
        <f t="shared" si="11"/>
        <v>#DIV/0!</v>
      </c>
      <c r="T250" s="184"/>
    </row>
    <row r="251" spans="1:20" s="181" customFormat="1" ht="32.1" customHeight="1" x14ac:dyDescent="0.2">
      <c r="A251" s="361" t="s">
        <v>147</v>
      </c>
      <c r="B251" s="362" t="s">
        <v>832</v>
      </c>
      <c r="C251" s="362" t="s">
        <v>2988</v>
      </c>
      <c r="D251" s="364">
        <v>30</v>
      </c>
      <c r="E251" s="405"/>
      <c r="F251" s="405"/>
      <c r="G251" s="405"/>
      <c r="H251" s="405"/>
      <c r="I251" s="405"/>
      <c r="J251" s="405">
        <v>53.1</v>
      </c>
      <c r="K251" s="405"/>
      <c r="L251" s="405"/>
      <c r="M251" s="405"/>
      <c r="N251" s="405"/>
      <c r="O251" s="405"/>
      <c r="P251" s="405"/>
      <c r="Q251" s="382">
        <f t="shared" si="12"/>
        <v>53.1</v>
      </c>
      <c r="R251" s="382" t="str">
        <f t="shared" si="10"/>
        <v>NO</v>
      </c>
      <c r="S251" s="382" t="str">
        <f t="shared" si="11"/>
        <v>Alto</v>
      </c>
      <c r="T251" s="184"/>
    </row>
    <row r="252" spans="1:20" s="181" customFormat="1" ht="32.1" customHeight="1" x14ac:dyDescent="0.2">
      <c r="A252" s="361" t="s">
        <v>147</v>
      </c>
      <c r="B252" s="362" t="s">
        <v>2967</v>
      </c>
      <c r="C252" s="362" t="s">
        <v>2989</v>
      </c>
      <c r="D252" s="364"/>
      <c r="E252" s="405"/>
      <c r="F252" s="405"/>
      <c r="G252" s="405"/>
      <c r="H252" s="405"/>
      <c r="I252" s="405"/>
      <c r="J252" s="405"/>
      <c r="K252" s="405"/>
      <c r="L252" s="405"/>
      <c r="M252" s="405"/>
      <c r="N252" s="405"/>
      <c r="O252" s="405"/>
      <c r="P252" s="405"/>
      <c r="Q252" s="382" t="e">
        <f t="shared" si="12"/>
        <v>#DIV/0!</v>
      </c>
      <c r="R252" s="382" t="e">
        <f t="shared" si="10"/>
        <v>#DIV/0!</v>
      </c>
      <c r="S252" s="382" t="e">
        <f t="shared" si="11"/>
        <v>#DIV/0!</v>
      </c>
      <c r="T252" s="184"/>
    </row>
    <row r="253" spans="1:20" s="181" customFormat="1" ht="32.1" customHeight="1" x14ac:dyDescent="0.2">
      <c r="A253" s="361" t="s">
        <v>147</v>
      </c>
      <c r="B253" s="362" t="s">
        <v>2969</v>
      </c>
      <c r="C253" s="362" t="s">
        <v>2990</v>
      </c>
      <c r="D253" s="364">
        <v>10</v>
      </c>
      <c r="E253" s="405"/>
      <c r="F253" s="405"/>
      <c r="G253" s="405"/>
      <c r="H253" s="405"/>
      <c r="I253" s="405"/>
      <c r="J253" s="405"/>
      <c r="K253" s="405">
        <v>53.1</v>
      </c>
      <c r="L253" s="405"/>
      <c r="M253" s="405"/>
      <c r="N253" s="405"/>
      <c r="O253" s="405"/>
      <c r="P253" s="405"/>
      <c r="Q253" s="382">
        <f t="shared" si="12"/>
        <v>53.1</v>
      </c>
      <c r="R253" s="382" t="str">
        <f t="shared" si="10"/>
        <v>NO</v>
      </c>
      <c r="S253" s="382" t="str">
        <f t="shared" si="11"/>
        <v>Alto</v>
      </c>
      <c r="T253" s="184"/>
    </row>
    <row r="254" spans="1:20" s="181" customFormat="1" ht="32.1" customHeight="1" x14ac:dyDescent="0.2">
      <c r="A254" s="361" t="s">
        <v>147</v>
      </c>
      <c r="B254" s="362" t="s">
        <v>2991</v>
      </c>
      <c r="C254" s="362" t="s">
        <v>2992</v>
      </c>
      <c r="D254" s="364"/>
      <c r="E254" s="405"/>
      <c r="F254" s="405"/>
      <c r="G254" s="405"/>
      <c r="H254" s="405"/>
      <c r="I254" s="405"/>
      <c r="J254" s="405"/>
      <c r="K254" s="405"/>
      <c r="L254" s="405"/>
      <c r="M254" s="405"/>
      <c r="N254" s="405"/>
      <c r="O254" s="405"/>
      <c r="P254" s="405"/>
      <c r="Q254" s="382" t="e">
        <f t="shared" si="12"/>
        <v>#DIV/0!</v>
      </c>
      <c r="R254" s="382" t="e">
        <f t="shared" si="10"/>
        <v>#DIV/0!</v>
      </c>
      <c r="S254" s="382" t="e">
        <f t="shared" si="11"/>
        <v>#DIV/0!</v>
      </c>
      <c r="T254" s="184"/>
    </row>
    <row r="255" spans="1:20" s="181" customFormat="1" ht="32.1" customHeight="1" x14ac:dyDescent="0.2">
      <c r="A255" s="361" t="s">
        <v>147</v>
      </c>
      <c r="B255" s="362" t="s">
        <v>2993</v>
      </c>
      <c r="C255" s="362" t="s">
        <v>2994</v>
      </c>
      <c r="D255" s="364">
        <v>42</v>
      </c>
      <c r="E255" s="405"/>
      <c r="F255" s="405"/>
      <c r="G255" s="405">
        <v>53.5</v>
      </c>
      <c r="H255" s="405"/>
      <c r="I255" s="405"/>
      <c r="J255" s="405"/>
      <c r="K255" s="405"/>
      <c r="L255" s="405"/>
      <c r="M255" s="405"/>
      <c r="N255" s="405"/>
      <c r="O255" s="405"/>
      <c r="P255" s="405"/>
      <c r="Q255" s="382">
        <f t="shared" si="12"/>
        <v>53.5</v>
      </c>
      <c r="R255" s="382" t="str">
        <f t="shared" si="10"/>
        <v>NO</v>
      </c>
      <c r="S255" s="382" t="str">
        <f t="shared" si="11"/>
        <v>Alto</v>
      </c>
      <c r="T255" s="184"/>
    </row>
    <row r="256" spans="1:20" s="181" customFormat="1" ht="32.1" customHeight="1" x14ac:dyDescent="0.2">
      <c r="A256" s="361" t="s">
        <v>147</v>
      </c>
      <c r="B256" s="362" t="s">
        <v>2995</v>
      </c>
      <c r="C256" s="362" t="s">
        <v>2996</v>
      </c>
      <c r="D256" s="364"/>
      <c r="E256" s="405"/>
      <c r="F256" s="405"/>
      <c r="G256" s="405"/>
      <c r="H256" s="405"/>
      <c r="I256" s="405"/>
      <c r="J256" s="405"/>
      <c r="K256" s="405"/>
      <c r="L256" s="405"/>
      <c r="M256" s="405"/>
      <c r="N256" s="405"/>
      <c r="O256" s="405"/>
      <c r="P256" s="405"/>
      <c r="Q256" s="382" t="e">
        <f t="shared" si="12"/>
        <v>#DIV/0!</v>
      </c>
      <c r="R256" s="382" t="e">
        <f t="shared" si="10"/>
        <v>#DIV/0!</v>
      </c>
      <c r="S256" s="382" t="e">
        <f t="shared" si="11"/>
        <v>#DIV/0!</v>
      </c>
      <c r="T256" s="184"/>
    </row>
    <row r="257" spans="1:20" s="181" customFormat="1" ht="32.1" customHeight="1" x14ac:dyDescent="0.2">
      <c r="A257" s="361" t="s">
        <v>147</v>
      </c>
      <c r="B257" s="362" t="s">
        <v>2997</v>
      </c>
      <c r="C257" s="362" t="s">
        <v>2998</v>
      </c>
      <c r="D257" s="364">
        <v>38</v>
      </c>
      <c r="E257" s="405"/>
      <c r="F257" s="405"/>
      <c r="G257" s="405"/>
      <c r="H257" s="405"/>
      <c r="I257" s="405"/>
      <c r="J257" s="405"/>
      <c r="K257" s="405"/>
      <c r="L257" s="405">
        <v>53.1</v>
      </c>
      <c r="M257" s="405"/>
      <c r="N257" s="405"/>
      <c r="O257" s="405"/>
      <c r="P257" s="405"/>
      <c r="Q257" s="382">
        <f t="shared" si="12"/>
        <v>53.1</v>
      </c>
      <c r="R257" s="382" t="str">
        <f t="shared" si="10"/>
        <v>NO</v>
      </c>
      <c r="S257" s="382" t="str">
        <f t="shared" si="11"/>
        <v>Alto</v>
      </c>
      <c r="T257" s="184"/>
    </row>
    <row r="258" spans="1:20" s="181" customFormat="1" ht="32.1" customHeight="1" x14ac:dyDescent="0.2">
      <c r="A258" s="361" t="s">
        <v>147</v>
      </c>
      <c r="B258" s="362" t="s">
        <v>2999</v>
      </c>
      <c r="C258" s="362" t="s">
        <v>3000</v>
      </c>
      <c r="D258" s="364"/>
      <c r="E258" s="405"/>
      <c r="F258" s="405"/>
      <c r="G258" s="405"/>
      <c r="H258" s="405"/>
      <c r="I258" s="405"/>
      <c r="J258" s="405"/>
      <c r="K258" s="405"/>
      <c r="L258" s="405"/>
      <c r="M258" s="405"/>
      <c r="N258" s="405"/>
      <c r="O258" s="405"/>
      <c r="P258" s="405"/>
      <c r="Q258" s="382" t="e">
        <f t="shared" si="12"/>
        <v>#DIV/0!</v>
      </c>
      <c r="R258" s="382" t="e">
        <f t="shared" si="10"/>
        <v>#DIV/0!</v>
      </c>
      <c r="S258" s="382" t="e">
        <f t="shared" si="11"/>
        <v>#DIV/0!</v>
      </c>
      <c r="T258" s="184"/>
    </row>
    <row r="259" spans="1:20" s="181" customFormat="1" ht="32.1" customHeight="1" x14ac:dyDescent="0.2">
      <c r="A259" s="361" t="s">
        <v>147</v>
      </c>
      <c r="B259" s="362" t="s">
        <v>3001</v>
      </c>
      <c r="C259" s="362" t="s">
        <v>3002</v>
      </c>
      <c r="D259" s="364"/>
      <c r="E259" s="405"/>
      <c r="F259" s="405"/>
      <c r="G259" s="405"/>
      <c r="H259" s="405"/>
      <c r="I259" s="405"/>
      <c r="J259" s="405"/>
      <c r="K259" s="405"/>
      <c r="L259" s="405"/>
      <c r="M259" s="405"/>
      <c r="N259" s="405"/>
      <c r="O259" s="405"/>
      <c r="P259" s="405"/>
      <c r="Q259" s="382" t="e">
        <f t="shared" si="12"/>
        <v>#DIV/0!</v>
      </c>
      <c r="R259" s="382" t="e">
        <f t="shared" si="10"/>
        <v>#DIV/0!</v>
      </c>
      <c r="S259" s="382" t="e">
        <f t="shared" si="11"/>
        <v>#DIV/0!</v>
      </c>
      <c r="T259" s="184"/>
    </row>
    <row r="260" spans="1:20" s="181" customFormat="1" ht="32.1" customHeight="1" x14ac:dyDescent="0.2">
      <c r="A260" s="361" t="s">
        <v>147</v>
      </c>
      <c r="B260" s="362" t="s">
        <v>1431</v>
      </c>
      <c r="C260" s="362" t="s">
        <v>3003</v>
      </c>
      <c r="D260" s="364">
        <v>45</v>
      </c>
      <c r="E260" s="405"/>
      <c r="F260" s="405"/>
      <c r="G260" s="405"/>
      <c r="H260" s="405"/>
      <c r="I260" s="405">
        <v>53.1</v>
      </c>
      <c r="J260" s="405"/>
      <c r="K260" s="405"/>
      <c r="L260" s="405"/>
      <c r="M260" s="405"/>
      <c r="N260" s="405"/>
      <c r="O260" s="405"/>
      <c r="P260" s="405"/>
      <c r="Q260" s="382">
        <f t="shared" si="12"/>
        <v>53.1</v>
      </c>
      <c r="R260" s="382" t="str">
        <f t="shared" si="10"/>
        <v>NO</v>
      </c>
      <c r="S260" s="382" t="str">
        <f t="shared" si="11"/>
        <v>Alto</v>
      </c>
      <c r="T260" s="184"/>
    </row>
    <row r="261" spans="1:20" s="181" customFormat="1" ht="32.1" customHeight="1" x14ac:dyDescent="0.2">
      <c r="A261" s="361" t="s">
        <v>147</v>
      </c>
      <c r="B261" s="362" t="s">
        <v>3004</v>
      </c>
      <c r="C261" s="362" t="s">
        <v>3005</v>
      </c>
      <c r="D261" s="364">
        <v>23</v>
      </c>
      <c r="E261" s="405"/>
      <c r="F261" s="405">
        <v>53.1</v>
      </c>
      <c r="G261" s="405"/>
      <c r="H261" s="405"/>
      <c r="I261" s="405"/>
      <c r="J261" s="405"/>
      <c r="K261" s="405"/>
      <c r="L261" s="405"/>
      <c r="M261" s="405"/>
      <c r="N261" s="405"/>
      <c r="O261" s="405"/>
      <c r="P261" s="405"/>
      <c r="Q261" s="382">
        <f t="shared" si="12"/>
        <v>53.1</v>
      </c>
      <c r="R261" s="382" t="str">
        <f t="shared" si="10"/>
        <v>NO</v>
      </c>
      <c r="S261" s="382" t="str">
        <f t="shared" si="11"/>
        <v>Alto</v>
      </c>
      <c r="T261" s="184"/>
    </row>
    <row r="262" spans="1:20" s="181" customFormat="1" ht="32.1" customHeight="1" x14ac:dyDescent="0.2">
      <c r="A262" s="361" t="s">
        <v>147</v>
      </c>
      <c r="B262" s="362" t="s">
        <v>77</v>
      </c>
      <c r="C262" s="362" t="s">
        <v>3006</v>
      </c>
      <c r="D262" s="364"/>
      <c r="E262" s="405"/>
      <c r="F262" s="405"/>
      <c r="G262" s="405"/>
      <c r="H262" s="405"/>
      <c r="I262" s="405"/>
      <c r="J262" s="405"/>
      <c r="K262" s="405"/>
      <c r="L262" s="405"/>
      <c r="M262" s="405"/>
      <c r="N262" s="405"/>
      <c r="O262" s="405"/>
      <c r="P262" s="405"/>
      <c r="Q262" s="382" t="e">
        <f t="shared" si="12"/>
        <v>#DIV/0!</v>
      </c>
      <c r="R262" s="382" t="e">
        <f t="shared" si="10"/>
        <v>#DIV/0!</v>
      </c>
      <c r="S262" s="382" t="e">
        <f t="shared" si="11"/>
        <v>#DIV/0!</v>
      </c>
      <c r="T262" s="184"/>
    </row>
    <row r="263" spans="1:20" s="181" customFormat="1" ht="32.1" customHeight="1" x14ac:dyDescent="0.2">
      <c r="A263" s="361" t="s">
        <v>147</v>
      </c>
      <c r="B263" s="362" t="s">
        <v>3007</v>
      </c>
      <c r="C263" s="362" t="s">
        <v>3008</v>
      </c>
      <c r="D263" s="364">
        <v>21</v>
      </c>
      <c r="E263" s="405"/>
      <c r="F263" s="405"/>
      <c r="G263" s="405"/>
      <c r="H263" s="405"/>
      <c r="I263" s="405">
        <v>53.5</v>
      </c>
      <c r="J263" s="405"/>
      <c r="K263" s="405"/>
      <c r="L263" s="405"/>
      <c r="M263" s="405"/>
      <c r="N263" s="405"/>
      <c r="O263" s="405"/>
      <c r="P263" s="405"/>
      <c r="Q263" s="382">
        <f t="shared" si="12"/>
        <v>53.5</v>
      </c>
      <c r="R263" s="382" t="str">
        <f t="shared" si="10"/>
        <v>NO</v>
      </c>
      <c r="S263" s="382" t="str">
        <f t="shared" si="11"/>
        <v>Alto</v>
      </c>
      <c r="T263" s="184"/>
    </row>
    <row r="264" spans="1:20" s="181" customFormat="1" ht="32.1" customHeight="1" x14ac:dyDescent="0.2">
      <c r="A264" s="361" t="s">
        <v>147</v>
      </c>
      <c r="B264" s="362" t="s">
        <v>1090</v>
      </c>
      <c r="C264" s="362" t="s">
        <v>3009</v>
      </c>
      <c r="D264" s="364"/>
      <c r="E264" s="405"/>
      <c r="F264" s="405"/>
      <c r="G264" s="405"/>
      <c r="H264" s="405"/>
      <c r="I264" s="405"/>
      <c r="J264" s="405"/>
      <c r="K264" s="405"/>
      <c r="L264" s="405"/>
      <c r="M264" s="405"/>
      <c r="N264" s="405"/>
      <c r="O264" s="405"/>
      <c r="P264" s="405"/>
      <c r="Q264" s="382" t="e">
        <f t="shared" si="12"/>
        <v>#DIV/0!</v>
      </c>
      <c r="R264" s="382" t="e">
        <f t="shared" si="10"/>
        <v>#DIV/0!</v>
      </c>
      <c r="S264" s="382" t="e">
        <f t="shared" si="11"/>
        <v>#DIV/0!</v>
      </c>
      <c r="T264" s="184"/>
    </row>
    <row r="265" spans="1:20" s="181" customFormat="1" ht="32.1" customHeight="1" x14ac:dyDescent="0.2">
      <c r="A265" s="361" t="s">
        <v>147</v>
      </c>
      <c r="B265" s="362" t="s">
        <v>2649</v>
      </c>
      <c r="C265" s="362" t="s">
        <v>3010</v>
      </c>
      <c r="D265" s="364">
        <v>66</v>
      </c>
      <c r="E265" s="405"/>
      <c r="F265" s="405"/>
      <c r="G265" s="405"/>
      <c r="H265" s="405"/>
      <c r="I265" s="405">
        <v>53.1</v>
      </c>
      <c r="J265" s="405"/>
      <c r="K265" s="405"/>
      <c r="L265" s="405"/>
      <c r="M265" s="405"/>
      <c r="N265" s="405"/>
      <c r="O265" s="405"/>
      <c r="P265" s="405"/>
      <c r="Q265" s="382">
        <f t="shared" si="12"/>
        <v>53.1</v>
      </c>
      <c r="R265" s="382" t="str">
        <f t="shared" si="10"/>
        <v>NO</v>
      </c>
      <c r="S265" s="382" t="str">
        <f t="shared" si="11"/>
        <v>Alto</v>
      </c>
      <c r="T265" s="184"/>
    </row>
    <row r="266" spans="1:20" s="181" customFormat="1" ht="32.1" customHeight="1" x14ac:dyDescent="0.2">
      <c r="A266" s="361" t="s">
        <v>147</v>
      </c>
      <c r="B266" s="362" t="s">
        <v>3011</v>
      </c>
      <c r="C266" s="362" t="s">
        <v>3012</v>
      </c>
      <c r="D266" s="364"/>
      <c r="E266" s="405"/>
      <c r="F266" s="405"/>
      <c r="G266" s="405"/>
      <c r="H266" s="405"/>
      <c r="I266" s="405"/>
      <c r="J266" s="405"/>
      <c r="K266" s="405"/>
      <c r="L266" s="405"/>
      <c r="M266" s="405"/>
      <c r="N266" s="405"/>
      <c r="O266" s="405"/>
      <c r="P266" s="405"/>
      <c r="Q266" s="382" t="e">
        <f t="shared" si="12"/>
        <v>#DIV/0!</v>
      </c>
      <c r="R266" s="382" t="e">
        <f t="shared" si="10"/>
        <v>#DIV/0!</v>
      </c>
      <c r="S266" s="382" t="e">
        <f t="shared" si="11"/>
        <v>#DIV/0!</v>
      </c>
      <c r="T266" s="184"/>
    </row>
    <row r="267" spans="1:20" s="181" customFormat="1" ht="32.1" customHeight="1" x14ac:dyDescent="0.2">
      <c r="A267" s="361" t="s">
        <v>147</v>
      </c>
      <c r="B267" s="362" t="s">
        <v>3013</v>
      </c>
      <c r="C267" s="362" t="s">
        <v>3014</v>
      </c>
      <c r="D267" s="364">
        <v>10</v>
      </c>
      <c r="E267" s="405"/>
      <c r="F267" s="405"/>
      <c r="G267" s="405"/>
      <c r="H267" s="405"/>
      <c r="I267" s="405"/>
      <c r="J267" s="405"/>
      <c r="K267" s="405"/>
      <c r="L267" s="405">
        <v>53.1</v>
      </c>
      <c r="M267" s="405"/>
      <c r="N267" s="405"/>
      <c r="O267" s="405"/>
      <c r="P267" s="405"/>
      <c r="Q267" s="382">
        <f t="shared" si="12"/>
        <v>53.1</v>
      </c>
      <c r="R267" s="382" t="str">
        <f t="shared" si="10"/>
        <v>NO</v>
      </c>
      <c r="S267" s="382" t="str">
        <f t="shared" si="11"/>
        <v>Alto</v>
      </c>
      <c r="T267" s="184"/>
    </row>
    <row r="268" spans="1:20" s="181" customFormat="1" ht="32.1" customHeight="1" x14ac:dyDescent="0.2">
      <c r="A268" s="361" t="s">
        <v>147</v>
      </c>
      <c r="B268" s="362" t="s">
        <v>3015</v>
      </c>
      <c r="C268" s="362" t="s">
        <v>3016</v>
      </c>
      <c r="D268" s="364">
        <v>28</v>
      </c>
      <c r="E268" s="405"/>
      <c r="F268" s="405"/>
      <c r="G268" s="405"/>
      <c r="H268" s="405"/>
      <c r="I268" s="405"/>
      <c r="J268" s="405"/>
      <c r="K268" s="405"/>
      <c r="L268" s="405">
        <v>53.1</v>
      </c>
      <c r="M268" s="405"/>
      <c r="N268" s="405"/>
      <c r="O268" s="405"/>
      <c r="P268" s="405"/>
      <c r="Q268" s="382">
        <f t="shared" si="12"/>
        <v>53.1</v>
      </c>
      <c r="R268" s="382" t="str">
        <f t="shared" si="10"/>
        <v>NO</v>
      </c>
      <c r="S268" s="382" t="str">
        <f t="shared" si="11"/>
        <v>Alto</v>
      </c>
      <c r="T268" s="184"/>
    </row>
    <row r="269" spans="1:20" s="181" customFormat="1" ht="32.1" customHeight="1" x14ac:dyDescent="0.2">
      <c r="A269" s="361" t="s">
        <v>147</v>
      </c>
      <c r="B269" s="362" t="s">
        <v>3017</v>
      </c>
      <c r="C269" s="362" t="s">
        <v>3018</v>
      </c>
      <c r="D269" s="364"/>
      <c r="E269" s="405"/>
      <c r="F269" s="405"/>
      <c r="G269" s="405"/>
      <c r="H269" s="405"/>
      <c r="I269" s="405"/>
      <c r="J269" s="405"/>
      <c r="K269" s="405"/>
      <c r="L269" s="405"/>
      <c r="M269" s="405"/>
      <c r="N269" s="405"/>
      <c r="O269" s="405"/>
      <c r="P269" s="405"/>
      <c r="Q269" s="382" t="e">
        <f t="shared" si="12"/>
        <v>#DIV/0!</v>
      </c>
      <c r="R269" s="382" t="e">
        <f t="shared" si="10"/>
        <v>#DIV/0!</v>
      </c>
      <c r="S269" s="382" t="e">
        <f t="shared" si="11"/>
        <v>#DIV/0!</v>
      </c>
      <c r="T269" s="184"/>
    </row>
    <row r="270" spans="1:20" s="181" customFormat="1" ht="32.1" customHeight="1" x14ac:dyDescent="0.2">
      <c r="A270" s="361" t="s">
        <v>147</v>
      </c>
      <c r="B270" s="362" t="s">
        <v>3019</v>
      </c>
      <c r="C270" s="362" t="s">
        <v>3020</v>
      </c>
      <c r="D270" s="364">
        <v>100</v>
      </c>
      <c r="E270" s="405"/>
      <c r="F270" s="405">
        <v>53.1</v>
      </c>
      <c r="G270" s="405"/>
      <c r="H270" s="405"/>
      <c r="I270" s="405"/>
      <c r="J270" s="405"/>
      <c r="K270" s="405"/>
      <c r="L270" s="405"/>
      <c r="M270" s="405"/>
      <c r="N270" s="405"/>
      <c r="O270" s="405"/>
      <c r="P270" s="405"/>
      <c r="Q270" s="382">
        <f t="shared" si="12"/>
        <v>53.1</v>
      </c>
      <c r="R270" s="382" t="str">
        <f t="shared" si="10"/>
        <v>NO</v>
      </c>
      <c r="S270" s="382" t="str">
        <f t="shared" si="11"/>
        <v>Alto</v>
      </c>
      <c r="T270" s="184"/>
    </row>
    <row r="271" spans="1:20" s="181" customFormat="1" ht="32.1" customHeight="1" x14ac:dyDescent="0.2">
      <c r="A271" s="361" t="s">
        <v>147</v>
      </c>
      <c r="B271" s="362" t="s">
        <v>3021</v>
      </c>
      <c r="C271" s="362" t="s">
        <v>3018</v>
      </c>
      <c r="D271" s="364"/>
      <c r="E271" s="405"/>
      <c r="F271" s="405"/>
      <c r="G271" s="405"/>
      <c r="H271" s="405"/>
      <c r="I271" s="405"/>
      <c r="J271" s="405"/>
      <c r="K271" s="405"/>
      <c r="L271" s="405"/>
      <c r="M271" s="405"/>
      <c r="N271" s="405"/>
      <c r="O271" s="405"/>
      <c r="P271" s="405"/>
      <c r="Q271" s="382" t="e">
        <f t="shared" si="12"/>
        <v>#DIV/0!</v>
      </c>
      <c r="R271" s="382" t="e">
        <f t="shared" si="10"/>
        <v>#DIV/0!</v>
      </c>
      <c r="S271" s="382" t="e">
        <f t="shared" si="11"/>
        <v>#DIV/0!</v>
      </c>
      <c r="T271" s="184"/>
    </row>
    <row r="272" spans="1:20" s="181" customFormat="1" ht="32.1" customHeight="1" x14ac:dyDescent="0.2">
      <c r="A272" s="361" t="s">
        <v>147</v>
      </c>
      <c r="B272" s="362" t="s">
        <v>3022</v>
      </c>
      <c r="C272" s="362" t="s">
        <v>3023</v>
      </c>
      <c r="D272" s="364"/>
      <c r="E272" s="405"/>
      <c r="F272" s="405"/>
      <c r="G272" s="405"/>
      <c r="H272" s="405"/>
      <c r="I272" s="405"/>
      <c r="J272" s="405"/>
      <c r="K272" s="405"/>
      <c r="L272" s="405"/>
      <c r="M272" s="405"/>
      <c r="N272" s="405"/>
      <c r="O272" s="405"/>
      <c r="P272" s="405"/>
      <c r="Q272" s="382" t="e">
        <f t="shared" si="12"/>
        <v>#DIV/0!</v>
      </c>
      <c r="R272" s="382" t="e">
        <f t="shared" si="10"/>
        <v>#DIV/0!</v>
      </c>
      <c r="S272" s="382" t="e">
        <f t="shared" si="11"/>
        <v>#DIV/0!</v>
      </c>
      <c r="T272" s="184"/>
    </row>
    <row r="273" spans="1:20" s="181" customFormat="1" ht="32.1" customHeight="1" x14ac:dyDescent="0.2">
      <c r="A273" s="361" t="s">
        <v>147</v>
      </c>
      <c r="B273" s="362" t="s">
        <v>3024</v>
      </c>
      <c r="C273" s="362" t="s">
        <v>3025</v>
      </c>
      <c r="D273" s="364"/>
      <c r="E273" s="405"/>
      <c r="F273" s="405"/>
      <c r="G273" s="405"/>
      <c r="H273" s="405"/>
      <c r="I273" s="405"/>
      <c r="J273" s="405"/>
      <c r="K273" s="405"/>
      <c r="L273" s="405"/>
      <c r="M273" s="405"/>
      <c r="N273" s="405"/>
      <c r="O273" s="405"/>
      <c r="P273" s="405"/>
      <c r="Q273" s="382" t="e">
        <f t="shared" si="12"/>
        <v>#DIV/0!</v>
      </c>
      <c r="R273" s="382" t="e">
        <f t="shared" si="10"/>
        <v>#DIV/0!</v>
      </c>
      <c r="S273" s="382" t="e">
        <f t="shared" si="11"/>
        <v>#DIV/0!</v>
      </c>
      <c r="T273" s="184"/>
    </row>
    <row r="274" spans="1:20" s="181" customFormat="1" ht="32.1" customHeight="1" x14ac:dyDescent="0.2">
      <c r="A274" s="361" t="s">
        <v>147</v>
      </c>
      <c r="B274" s="362" t="s">
        <v>3026</v>
      </c>
      <c r="C274" s="362" t="s">
        <v>3027</v>
      </c>
      <c r="D274" s="364">
        <v>20</v>
      </c>
      <c r="E274" s="405"/>
      <c r="F274" s="405"/>
      <c r="G274" s="405"/>
      <c r="H274" s="405"/>
      <c r="I274" s="405"/>
      <c r="J274" s="405"/>
      <c r="K274" s="405"/>
      <c r="L274" s="405"/>
      <c r="M274" s="405">
        <v>53.1</v>
      </c>
      <c r="N274" s="405"/>
      <c r="O274" s="405"/>
      <c r="P274" s="405"/>
      <c r="Q274" s="382">
        <f t="shared" si="12"/>
        <v>53.1</v>
      </c>
      <c r="R274" s="382" t="str">
        <f t="shared" si="10"/>
        <v>NO</v>
      </c>
      <c r="S274" s="382" t="str">
        <f t="shared" si="11"/>
        <v>Alto</v>
      </c>
      <c r="T274" s="184"/>
    </row>
    <row r="275" spans="1:20" s="181" customFormat="1" ht="32.1" customHeight="1" x14ac:dyDescent="0.2">
      <c r="A275" s="361" t="s">
        <v>147</v>
      </c>
      <c r="B275" s="362" t="s">
        <v>3028</v>
      </c>
      <c r="C275" s="362" t="s">
        <v>3029</v>
      </c>
      <c r="D275" s="364"/>
      <c r="E275" s="405"/>
      <c r="F275" s="405"/>
      <c r="G275" s="405"/>
      <c r="H275" s="405"/>
      <c r="I275" s="405"/>
      <c r="J275" s="405"/>
      <c r="K275" s="405"/>
      <c r="L275" s="405"/>
      <c r="M275" s="405"/>
      <c r="N275" s="405"/>
      <c r="O275" s="405"/>
      <c r="P275" s="405"/>
      <c r="Q275" s="382" t="e">
        <f t="shared" si="12"/>
        <v>#DIV/0!</v>
      </c>
      <c r="R275" s="382" t="e">
        <f t="shared" si="10"/>
        <v>#DIV/0!</v>
      </c>
      <c r="S275" s="382" t="e">
        <f t="shared" si="11"/>
        <v>#DIV/0!</v>
      </c>
      <c r="T275" s="184"/>
    </row>
    <row r="276" spans="1:20" s="181" customFormat="1" ht="32.1" customHeight="1" x14ac:dyDescent="0.2">
      <c r="A276" s="361" t="s">
        <v>147</v>
      </c>
      <c r="B276" s="362" t="s">
        <v>3030</v>
      </c>
      <c r="C276" s="362" t="s">
        <v>3031</v>
      </c>
      <c r="D276" s="364">
        <v>30</v>
      </c>
      <c r="E276" s="405"/>
      <c r="F276" s="405"/>
      <c r="G276" s="405"/>
      <c r="H276" s="405"/>
      <c r="I276" s="405"/>
      <c r="J276" s="405">
        <v>53.1</v>
      </c>
      <c r="K276" s="405"/>
      <c r="L276" s="405"/>
      <c r="M276" s="405"/>
      <c r="N276" s="405"/>
      <c r="O276" s="405"/>
      <c r="P276" s="405"/>
      <c r="Q276" s="382">
        <f t="shared" si="12"/>
        <v>53.1</v>
      </c>
      <c r="R276" s="382" t="str">
        <f t="shared" si="10"/>
        <v>NO</v>
      </c>
      <c r="S276" s="382" t="str">
        <f t="shared" si="11"/>
        <v>Alto</v>
      </c>
      <c r="T276" s="184"/>
    </row>
    <row r="277" spans="1:20" s="181" customFormat="1" ht="32.1" customHeight="1" x14ac:dyDescent="0.2">
      <c r="A277" s="361" t="s">
        <v>147</v>
      </c>
      <c r="B277" s="362" t="s">
        <v>1160</v>
      </c>
      <c r="C277" s="362" t="s">
        <v>3032</v>
      </c>
      <c r="D277" s="364"/>
      <c r="E277" s="405"/>
      <c r="F277" s="405"/>
      <c r="G277" s="405"/>
      <c r="H277" s="405"/>
      <c r="I277" s="405"/>
      <c r="J277" s="405"/>
      <c r="K277" s="405"/>
      <c r="L277" s="405"/>
      <c r="M277" s="405"/>
      <c r="N277" s="405"/>
      <c r="O277" s="405"/>
      <c r="P277" s="405"/>
      <c r="Q277" s="382" t="e">
        <f t="shared" si="12"/>
        <v>#DIV/0!</v>
      </c>
      <c r="R277" s="382" t="e">
        <f t="shared" si="10"/>
        <v>#DIV/0!</v>
      </c>
      <c r="S277" s="382" t="e">
        <f t="shared" si="11"/>
        <v>#DIV/0!</v>
      </c>
      <c r="T277" s="184"/>
    </row>
    <row r="278" spans="1:20" s="181" customFormat="1" ht="32.1" customHeight="1" x14ac:dyDescent="0.2">
      <c r="A278" s="361" t="s">
        <v>147</v>
      </c>
      <c r="B278" s="362" t="s">
        <v>3033</v>
      </c>
      <c r="C278" s="362" t="s">
        <v>3034</v>
      </c>
      <c r="D278" s="364"/>
      <c r="E278" s="405"/>
      <c r="F278" s="405"/>
      <c r="G278" s="405">
        <v>97.3</v>
      </c>
      <c r="H278" s="405"/>
      <c r="I278" s="405"/>
      <c r="J278" s="405"/>
      <c r="K278" s="405"/>
      <c r="L278" s="405"/>
      <c r="M278" s="405"/>
      <c r="N278" s="405"/>
      <c r="O278" s="405"/>
      <c r="P278" s="405"/>
      <c r="Q278" s="382">
        <f t="shared" si="12"/>
        <v>97.3</v>
      </c>
      <c r="R278" s="382" t="str">
        <f t="shared" si="10"/>
        <v>NO</v>
      </c>
      <c r="S278" s="382" t="str">
        <f t="shared" si="11"/>
        <v>Inviable Sanitariamente</v>
      </c>
      <c r="T278" s="184"/>
    </row>
    <row r="279" spans="1:20" s="181" customFormat="1" ht="32.1" customHeight="1" x14ac:dyDescent="0.2">
      <c r="A279" s="361" t="s">
        <v>147</v>
      </c>
      <c r="B279" s="362" t="s">
        <v>62</v>
      </c>
      <c r="C279" s="362" t="s">
        <v>3035</v>
      </c>
      <c r="D279" s="364">
        <v>16</v>
      </c>
      <c r="E279" s="405"/>
      <c r="F279" s="405">
        <v>53.1</v>
      </c>
      <c r="G279" s="405"/>
      <c r="H279" s="405"/>
      <c r="I279" s="405"/>
      <c r="J279" s="405"/>
      <c r="K279" s="405"/>
      <c r="L279" s="405"/>
      <c r="M279" s="405"/>
      <c r="N279" s="405"/>
      <c r="O279" s="405"/>
      <c r="P279" s="405"/>
      <c r="Q279" s="382">
        <f t="shared" si="12"/>
        <v>53.1</v>
      </c>
      <c r="R279" s="382" t="str">
        <f t="shared" si="10"/>
        <v>NO</v>
      </c>
      <c r="S279" s="382" t="str">
        <f t="shared" si="11"/>
        <v>Alto</v>
      </c>
      <c r="T279" s="184"/>
    </row>
    <row r="280" spans="1:20" s="181" customFormat="1" ht="32.1" customHeight="1" x14ac:dyDescent="0.2">
      <c r="A280" s="361" t="s">
        <v>147</v>
      </c>
      <c r="B280" s="362" t="s">
        <v>3036</v>
      </c>
      <c r="C280" s="362" t="s">
        <v>3037</v>
      </c>
      <c r="D280" s="364">
        <v>87</v>
      </c>
      <c r="E280" s="405"/>
      <c r="F280" s="405"/>
      <c r="G280" s="405"/>
      <c r="H280" s="405"/>
      <c r="I280" s="405"/>
      <c r="J280" s="405">
        <v>53.1</v>
      </c>
      <c r="K280" s="405"/>
      <c r="L280" s="405"/>
      <c r="M280" s="405"/>
      <c r="N280" s="405"/>
      <c r="O280" s="405"/>
      <c r="P280" s="405"/>
      <c r="Q280" s="382">
        <f t="shared" si="12"/>
        <v>53.1</v>
      </c>
      <c r="R280" s="382" t="str">
        <f t="shared" si="10"/>
        <v>NO</v>
      </c>
      <c r="S280" s="382" t="str">
        <f t="shared" si="11"/>
        <v>Alto</v>
      </c>
      <c r="T280" s="184"/>
    </row>
    <row r="281" spans="1:20" s="181" customFormat="1" ht="32.1" customHeight="1" x14ac:dyDescent="0.2">
      <c r="A281" s="361" t="s">
        <v>147</v>
      </c>
      <c r="B281" s="362" t="s">
        <v>3038</v>
      </c>
      <c r="C281" s="362" t="s">
        <v>3039</v>
      </c>
      <c r="D281" s="364">
        <v>30</v>
      </c>
      <c r="E281" s="405"/>
      <c r="F281" s="405"/>
      <c r="G281" s="405"/>
      <c r="H281" s="405"/>
      <c r="I281" s="405"/>
      <c r="J281" s="405"/>
      <c r="K281" s="405">
        <v>53.1</v>
      </c>
      <c r="L281" s="405"/>
      <c r="M281" s="405"/>
      <c r="N281" s="405"/>
      <c r="O281" s="405"/>
      <c r="P281" s="405"/>
      <c r="Q281" s="382">
        <f t="shared" si="12"/>
        <v>53.1</v>
      </c>
      <c r="R281" s="382" t="str">
        <f t="shared" si="10"/>
        <v>NO</v>
      </c>
      <c r="S281" s="382" t="str">
        <f t="shared" si="11"/>
        <v>Alto</v>
      </c>
      <c r="T281" s="184"/>
    </row>
    <row r="282" spans="1:20" s="181" customFormat="1" ht="32.1" customHeight="1" x14ac:dyDescent="0.2">
      <c r="A282" s="361" t="s">
        <v>147</v>
      </c>
      <c r="B282" s="362" t="s">
        <v>3040</v>
      </c>
      <c r="C282" s="362" t="s">
        <v>3041</v>
      </c>
      <c r="D282" s="364"/>
      <c r="E282" s="405"/>
      <c r="F282" s="405"/>
      <c r="G282" s="405"/>
      <c r="H282" s="405"/>
      <c r="I282" s="405"/>
      <c r="J282" s="405"/>
      <c r="K282" s="405"/>
      <c r="L282" s="405"/>
      <c r="M282" s="405"/>
      <c r="N282" s="405"/>
      <c r="O282" s="405"/>
      <c r="P282" s="405"/>
      <c r="Q282" s="382" t="e">
        <f t="shared" si="12"/>
        <v>#DIV/0!</v>
      </c>
      <c r="R282" s="382" t="e">
        <f t="shared" si="10"/>
        <v>#DIV/0!</v>
      </c>
      <c r="S282" s="382" t="e">
        <f t="shared" si="11"/>
        <v>#DIV/0!</v>
      </c>
      <c r="T282" s="184"/>
    </row>
    <row r="283" spans="1:20" s="181" customFormat="1" ht="32.1" customHeight="1" x14ac:dyDescent="0.2">
      <c r="A283" s="361" t="s">
        <v>147</v>
      </c>
      <c r="B283" s="362" t="s">
        <v>3042</v>
      </c>
      <c r="C283" s="362" t="s">
        <v>3043</v>
      </c>
      <c r="D283" s="364">
        <v>300</v>
      </c>
      <c r="E283" s="405">
        <v>0</v>
      </c>
      <c r="F283" s="405">
        <v>0</v>
      </c>
      <c r="G283" s="405">
        <v>0</v>
      </c>
      <c r="H283" s="405">
        <v>0</v>
      </c>
      <c r="I283" s="405">
        <v>0</v>
      </c>
      <c r="J283" s="405">
        <v>0</v>
      </c>
      <c r="K283" s="405">
        <v>0</v>
      </c>
      <c r="L283" s="405">
        <v>0</v>
      </c>
      <c r="M283" s="405">
        <v>0</v>
      </c>
      <c r="N283" s="405">
        <v>0</v>
      </c>
      <c r="O283" s="405">
        <v>0</v>
      </c>
      <c r="P283" s="405">
        <v>0</v>
      </c>
      <c r="Q283" s="382">
        <f>AVERAGE(E283:P283)</f>
        <v>0</v>
      </c>
      <c r="R283" s="382" t="str">
        <f>IF(Q283&lt;5,"SI","NO")</f>
        <v>SI</v>
      </c>
      <c r="S283" s="382" t="str">
        <f>IF(Q283&lt;=5,"Sin Riesgo",IF(Q283 &lt;=14,"Bajo",IF(Q283&lt;=35,"Medio",IF(Q283&lt;=80,"Alto","Inviable Sanitariamente"))))</f>
        <v>Sin Riesgo</v>
      </c>
      <c r="T283" s="184"/>
    </row>
    <row r="284" spans="1:20" s="181" customFormat="1" ht="32.1" customHeight="1" x14ac:dyDescent="0.2">
      <c r="A284" s="361" t="s">
        <v>147</v>
      </c>
      <c r="B284" s="362" t="s">
        <v>1431</v>
      </c>
      <c r="C284" s="362" t="s">
        <v>3110</v>
      </c>
      <c r="D284" s="364"/>
      <c r="E284" s="405"/>
      <c r="F284" s="405"/>
      <c r="G284" s="405"/>
      <c r="H284" s="405"/>
      <c r="I284" s="405">
        <v>53.1</v>
      </c>
      <c r="J284" s="405"/>
      <c r="K284" s="405"/>
      <c r="L284" s="405"/>
      <c r="M284" s="405"/>
      <c r="N284" s="405"/>
      <c r="O284" s="405"/>
      <c r="P284" s="405"/>
      <c r="Q284" s="382">
        <f>AVERAGE(E284:P284)</f>
        <v>53.1</v>
      </c>
      <c r="R284" s="382" t="str">
        <f>IF(Q284&lt;5,"SI","NO")</f>
        <v>NO</v>
      </c>
      <c r="S284" s="382" t="str">
        <f>IF(Q284&lt;=5,"Sin Riesgo",IF(Q284 &lt;=14,"Bajo",IF(Q284&lt;=35,"Medio",IF(Q284&lt;=80,"Alto","Inviable Sanitariamente"))))</f>
        <v>Alto</v>
      </c>
      <c r="T284" s="184"/>
    </row>
    <row r="285" spans="1:20" s="181" customFormat="1" ht="32.1" customHeight="1" x14ac:dyDescent="0.2">
      <c r="A285" s="361" t="s">
        <v>147</v>
      </c>
      <c r="B285" s="362" t="s">
        <v>4217</v>
      </c>
      <c r="C285" s="362" t="s">
        <v>4218</v>
      </c>
      <c r="D285" s="364"/>
      <c r="E285" s="405"/>
      <c r="F285" s="405"/>
      <c r="G285" s="405"/>
      <c r="H285" s="405"/>
      <c r="I285" s="405"/>
      <c r="J285" s="405"/>
      <c r="K285" s="405"/>
      <c r="L285" s="405">
        <v>53.1</v>
      </c>
      <c r="M285" s="405"/>
      <c r="N285" s="405"/>
      <c r="O285" s="405"/>
      <c r="P285" s="405"/>
      <c r="Q285" s="382">
        <f t="shared" si="12"/>
        <v>53.1</v>
      </c>
      <c r="R285" s="382" t="str">
        <f t="shared" ref="R285:R351" si="13">IF(Q285&lt;5,"SI","NO")</f>
        <v>NO</v>
      </c>
      <c r="S285" s="382" t="str">
        <f t="shared" si="11"/>
        <v>Alto</v>
      </c>
      <c r="T285" s="184"/>
    </row>
    <row r="286" spans="1:20" s="181" customFormat="1" ht="32.1" customHeight="1" x14ac:dyDescent="0.2">
      <c r="A286" s="361" t="s">
        <v>149</v>
      </c>
      <c r="B286" s="362" t="s">
        <v>3044</v>
      </c>
      <c r="C286" s="362" t="s">
        <v>3045</v>
      </c>
      <c r="D286" s="364">
        <v>28</v>
      </c>
      <c r="E286" s="405"/>
      <c r="F286" s="405"/>
      <c r="G286" s="405"/>
      <c r="H286" s="405"/>
      <c r="I286" s="405"/>
      <c r="J286" s="405"/>
      <c r="K286" s="405">
        <v>97.3</v>
      </c>
      <c r="L286" s="405"/>
      <c r="M286" s="405"/>
      <c r="N286" s="405"/>
      <c r="O286" s="405"/>
      <c r="P286" s="405"/>
      <c r="Q286" s="382">
        <v>97.3</v>
      </c>
      <c r="R286" s="382" t="str">
        <f t="shared" si="13"/>
        <v>NO</v>
      </c>
      <c r="S286" s="382" t="str">
        <f t="shared" ref="S286:S352" si="14">IF(Q286&lt;=5,"Sin Riesgo",IF(Q286 &lt;=14,"Bajo",IF(Q286&lt;=35,"Medio",IF(Q286&lt;=80,"Alto","Inviable Sanitariamente"))))</f>
        <v>Inviable Sanitariamente</v>
      </c>
      <c r="T286" s="184"/>
    </row>
    <row r="287" spans="1:20" s="181" customFormat="1" ht="32.1" customHeight="1" x14ac:dyDescent="0.2">
      <c r="A287" s="361" t="s">
        <v>149</v>
      </c>
      <c r="B287" s="362" t="s">
        <v>3046</v>
      </c>
      <c r="C287" s="362" t="s">
        <v>3047</v>
      </c>
      <c r="D287" s="364">
        <v>12</v>
      </c>
      <c r="E287" s="405"/>
      <c r="F287" s="405"/>
      <c r="G287" s="405"/>
      <c r="H287" s="405"/>
      <c r="I287" s="405"/>
      <c r="J287" s="405">
        <v>97.3</v>
      </c>
      <c r="K287" s="405"/>
      <c r="L287" s="405"/>
      <c r="M287" s="405"/>
      <c r="N287" s="405"/>
      <c r="O287" s="405"/>
      <c r="P287" s="405"/>
      <c r="Q287" s="382">
        <v>97.3</v>
      </c>
      <c r="R287" s="382" t="str">
        <f t="shared" si="13"/>
        <v>NO</v>
      </c>
      <c r="S287" s="382" t="str">
        <f t="shared" si="14"/>
        <v>Inviable Sanitariamente</v>
      </c>
      <c r="T287" s="184"/>
    </row>
    <row r="288" spans="1:20" s="181" customFormat="1" ht="32.1" customHeight="1" x14ac:dyDescent="0.2">
      <c r="A288" s="361" t="s">
        <v>149</v>
      </c>
      <c r="B288" s="362" t="s">
        <v>3048</v>
      </c>
      <c r="C288" s="362" t="s">
        <v>3049</v>
      </c>
      <c r="D288" s="364">
        <v>25</v>
      </c>
      <c r="E288" s="405"/>
      <c r="F288" s="405"/>
      <c r="G288" s="405"/>
      <c r="H288" s="405"/>
      <c r="I288" s="405"/>
      <c r="J288" s="405">
        <v>97.3</v>
      </c>
      <c r="K288" s="405"/>
      <c r="L288" s="405"/>
      <c r="M288" s="405"/>
      <c r="N288" s="405"/>
      <c r="O288" s="405"/>
      <c r="P288" s="405"/>
      <c r="Q288" s="382">
        <v>97.3</v>
      </c>
      <c r="R288" s="382" t="str">
        <f t="shared" si="13"/>
        <v>NO</v>
      </c>
      <c r="S288" s="382" t="str">
        <f t="shared" si="14"/>
        <v>Inviable Sanitariamente</v>
      </c>
      <c r="T288" s="184"/>
    </row>
    <row r="289" spans="1:20" s="181" customFormat="1" ht="32.1" customHeight="1" x14ac:dyDescent="0.2">
      <c r="A289" s="361" t="s">
        <v>149</v>
      </c>
      <c r="B289" s="362" t="s">
        <v>3050</v>
      </c>
      <c r="C289" s="362" t="s">
        <v>3051</v>
      </c>
      <c r="D289" s="364">
        <v>23</v>
      </c>
      <c r="E289" s="405"/>
      <c r="F289" s="405"/>
      <c r="G289" s="405"/>
      <c r="H289" s="405"/>
      <c r="I289" s="405"/>
      <c r="J289" s="405">
        <v>97.3</v>
      </c>
      <c r="K289" s="405"/>
      <c r="L289" s="405"/>
      <c r="M289" s="405"/>
      <c r="N289" s="405"/>
      <c r="O289" s="405"/>
      <c r="P289" s="405"/>
      <c r="Q289" s="382">
        <v>97.3</v>
      </c>
      <c r="R289" s="382" t="str">
        <f t="shared" si="13"/>
        <v>NO</v>
      </c>
      <c r="S289" s="382" t="str">
        <f t="shared" si="14"/>
        <v>Inviable Sanitariamente</v>
      </c>
      <c r="T289" s="184"/>
    </row>
    <row r="290" spans="1:20" s="181" customFormat="1" ht="32.1" customHeight="1" x14ac:dyDescent="0.2">
      <c r="A290" s="361" t="s">
        <v>149</v>
      </c>
      <c r="B290" s="362" t="s">
        <v>3052</v>
      </c>
      <c r="C290" s="362" t="s">
        <v>3053</v>
      </c>
      <c r="D290" s="364">
        <v>36</v>
      </c>
      <c r="E290" s="405"/>
      <c r="F290" s="405"/>
      <c r="G290" s="405"/>
      <c r="H290" s="405"/>
      <c r="I290" s="405"/>
      <c r="J290" s="405"/>
      <c r="K290" s="405"/>
      <c r="L290" s="405"/>
      <c r="M290" s="405">
        <v>97.3</v>
      </c>
      <c r="N290" s="405"/>
      <c r="O290" s="405"/>
      <c r="P290" s="405"/>
      <c r="Q290" s="382">
        <v>97.3</v>
      </c>
      <c r="R290" s="382" t="str">
        <f t="shared" si="13"/>
        <v>NO</v>
      </c>
      <c r="S290" s="382" t="str">
        <f t="shared" si="14"/>
        <v>Inviable Sanitariamente</v>
      </c>
      <c r="T290" s="184"/>
    </row>
    <row r="291" spans="1:20" s="181" customFormat="1" ht="32.1" customHeight="1" x14ac:dyDescent="0.2">
      <c r="A291" s="361" t="s">
        <v>149</v>
      </c>
      <c r="B291" s="362" t="s">
        <v>3054</v>
      </c>
      <c r="C291" s="362" t="s">
        <v>3055</v>
      </c>
      <c r="D291" s="364">
        <v>35</v>
      </c>
      <c r="E291" s="405"/>
      <c r="F291" s="405"/>
      <c r="G291" s="405"/>
      <c r="H291" s="405"/>
      <c r="I291" s="405"/>
      <c r="J291" s="405"/>
      <c r="K291" s="405"/>
      <c r="L291" s="405">
        <v>97.3</v>
      </c>
      <c r="M291" s="405"/>
      <c r="N291" s="405"/>
      <c r="O291" s="405"/>
      <c r="P291" s="405"/>
      <c r="Q291" s="382">
        <v>97.3</v>
      </c>
      <c r="R291" s="382" t="str">
        <f t="shared" si="13"/>
        <v>NO</v>
      </c>
      <c r="S291" s="382" t="str">
        <f t="shared" si="14"/>
        <v>Inviable Sanitariamente</v>
      </c>
      <c r="T291" s="184"/>
    </row>
    <row r="292" spans="1:20" s="181" customFormat="1" ht="32.1" customHeight="1" x14ac:dyDescent="0.2">
      <c r="A292" s="361" t="s">
        <v>149</v>
      </c>
      <c r="B292" s="362" t="s">
        <v>3056</v>
      </c>
      <c r="C292" s="362" t="s">
        <v>3057</v>
      </c>
      <c r="D292" s="364">
        <v>25</v>
      </c>
      <c r="E292" s="405"/>
      <c r="F292" s="405"/>
      <c r="G292" s="405"/>
      <c r="H292" s="405"/>
      <c r="I292" s="405"/>
      <c r="J292" s="405"/>
      <c r="K292" s="405">
        <v>97.3</v>
      </c>
      <c r="L292" s="405"/>
      <c r="M292" s="405"/>
      <c r="N292" s="405"/>
      <c r="O292" s="405"/>
      <c r="P292" s="405"/>
      <c r="Q292" s="382">
        <f>AVERAGE(E292:P292)</f>
        <v>97.3</v>
      </c>
      <c r="R292" s="382" t="str">
        <f t="shared" si="13"/>
        <v>NO</v>
      </c>
      <c r="S292" s="382" t="str">
        <f t="shared" si="14"/>
        <v>Inviable Sanitariamente</v>
      </c>
      <c r="T292" s="184"/>
    </row>
    <row r="293" spans="1:20" s="181" customFormat="1" ht="32.1" customHeight="1" x14ac:dyDescent="0.2">
      <c r="A293" s="361" t="s">
        <v>149</v>
      </c>
      <c r="B293" s="362" t="s">
        <v>878</v>
      </c>
      <c r="C293" s="362" t="s">
        <v>3058</v>
      </c>
      <c r="D293" s="364">
        <v>98</v>
      </c>
      <c r="E293" s="405"/>
      <c r="F293" s="405"/>
      <c r="G293" s="405"/>
      <c r="H293" s="405"/>
      <c r="I293" s="405"/>
      <c r="J293" s="405"/>
      <c r="K293" s="405"/>
      <c r="L293" s="405"/>
      <c r="M293" s="405">
        <v>97.3</v>
      </c>
      <c r="N293" s="405"/>
      <c r="O293" s="405"/>
      <c r="P293" s="405"/>
      <c r="Q293" s="382">
        <f>AVERAGE(E293:P293)</f>
        <v>97.3</v>
      </c>
      <c r="R293" s="382" t="str">
        <f t="shared" si="13"/>
        <v>NO</v>
      </c>
      <c r="S293" s="382" t="str">
        <f t="shared" si="14"/>
        <v>Inviable Sanitariamente</v>
      </c>
      <c r="T293" s="184"/>
    </row>
    <row r="294" spans="1:20" s="181" customFormat="1" ht="32.1" customHeight="1" x14ac:dyDescent="0.2">
      <c r="A294" s="361" t="s">
        <v>149</v>
      </c>
      <c r="B294" s="362" t="s">
        <v>1206</v>
      </c>
      <c r="C294" s="362" t="s">
        <v>3059</v>
      </c>
      <c r="D294" s="364">
        <v>41</v>
      </c>
      <c r="E294" s="405"/>
      <c r="F294" s="405"/>
      <c r="G294" s="405"/>
      <c r="H294" s="405"/>
      <c r="I294" s="405"/>
      <c r="J294" s="405"/>
      <c r="K294" s="405">
        <v>97.3</v>
      </c>
      <c r="L294" s="405"/>
      <c r="M294" s="405"/>
      <c r="N294" s="405"/>
      <c r="O294" s="405"/>
      <c r="P294" s="405"/>
      <c r="Q294" s="382">
        <v>97.3</v>
      </c>
      <c r="R294" s="382" t="str">
        <f t="shared" si="13"/>
        <v>NO</v>
      </c>
      <c r="S294" s="382" t="str">
        <f t="shared" si="14"/>
        <v>Inviable Sanitariamente</v>
      </c>
      <c r="T294" s="184"/>
    </row>
    <row r="295" spans="1:20" s="181" customFormat="1" ht="32.1" customHeight="1" x14ac:dyDescent="0.2">
      <c r="A295" s="361" t="s">
        <v>149</v>
      </c>
      <c r="B295" s="362" t="s">
        <v>3060</v>
      </c>
      <c r="C295" s="362" t="s">
        <v>3061</v>
      </c>
      <c r="D295" s="364">
        <v>32</v>
      </c>
      <c r="E295" s="405"/>
      <c r="F295" s="405"/>
      <c r="G295" s="405"/>
      <c r="H295" s="405"/>
      <c r="I295" s="405"/>
      <c r="J295" s="405"/>
      <c r="K295" s="405">
        <v>97.3</v>
      </c>
      <c r="L295" s="405"/>
      <c r="M295" s="405"/>
      <c r="N295" s="405"/>
      <c r="O295" s="405"/>
      <c r="P295" s="405"/>
      <c r="Q295" s="382">
        <f>AVERAGE(E295:P295)</f>
        <v>97.3</v>
      </c>
      <c r="R295" s="382" t="str">
        <f t="shared" si="13"/>
        <v>NO</v>
      </c>
      <c r="S295" s="382" t="str">
        <f t="shared" si="14"/>
        <v>Inviable Sanitariamente</v>
      </c>
      <c r="T295" s="184"/>
    </row>
    <row r="296" spans="1:20" s="181" customFormat="1" ht="32.1" customHeight="1" x14ac:dyDescent="0.2">
      <c r="A296" s="361" t="s">
        <v>149</v>
      </c>
      <c r="B296" s="362" t="s">
        <v>3062</v>
      </c>
      <c r="C296" s="362" t="s">
        <v>3063</v>
      </c>
      <c r="D296" s="364">
        <v>25</v>
      </c>
      <c r="E296" s="405"/>
      <c r="F296" s="405" t="s">
        <v>1600</v>
      </c>
      <c r="G296" s="405"/>
      <c r="H296" s="405"/>
      <c r="I296" s="405"/>
      <c r="J296" s="405"/>
      <c r="K296" s="405"/>
      <c r="L296" s="405"/>
      <c r="M296" s="405">
        <v>97.3</v>
      </c>
      <c r="N296" s="405"/>
      <c r="O296" s="405"/>
      <c r="P296" s="405"/>
      <c r="Q296" s="382">
        <v>97.3</v>
      </c>
      <c r="R296" s="382" t="str">
        <f t="shared" si="13"/>
        <v>NO</v>
      </c>
      <c r="S296" s="382" t="str">
        <f t="shared" si="14"/>
        <v>Inviable Sanitariamente</v>
      </c>
      <c r="T296" s="184"/>
    </row>
    <row r="297" spans="1:20" s="181" customFormat="1" ht="32.1" customHeight="1" x14ac:dyDescent="0.2">
      <c r="A297" s="361" t="s">
        <v>149</v>
      </c>
      <c r="B297" s="362" t="s">
        <v>3064</v>
      </c>
      <c r="C297" s="362" t="s">
        <v>3065</v>
      </c>
      <c r="D297" s="364">
        <v>10</v>
      </c>
      <c r="E297" s="405"/>
      <c r="F297" s="405"/>
      <c r="G297" s="405"/>
      <c r="H297" s="405"/>
      <c r="I297" s="405"/>
      <c r="J297" s="405"/>
      <c r="K297" s="405"/>
      <c r="L297" s="405">
        <v>97.3</v>
      </c>
      <c r="M297" s="405"/>
      <c r="N297" s="405"/>
      <c r="O297" s="405"/>
      <c r="P297" s="405"/>
      <c r="Q297" s="382">
        <f>AVERAGE(E297:P297)</f>
        <v>97.3</v>
      </c>
      <c r="R297" s="382" t="str">
        <f t="shared" si="13"/>
        <v>NO</v>
      </c>
      <c r="S297" s="382" t="str">
        <f t="shared" si="14"/>
        <v>Inviable Sanitariamente</v>
      </c>
      <c r="T297" s="184"/>
    </row>
    <row r="298" spans="1:20" s="181" customFormat="1" ht="32.1" customHeight="1" x14ac:dyDescent="0.2">
      <c r="A298" s="361" t="s">
        <v>149</v>
      </c>
      <c r="B298" s="362" t="s">
        <v>1960</v>
      </c>
      <c r="C298" s="362" t="s">
        <v>3066</v>
      </c>
      <c r="D298" s="364">
        <v>50</v>
      </c>
      <c r="E298" s="405"/>
      <c r="F298" s="405"/>
      <c r="G298" s="405">
        <v>97.3</v>
      </c>
      <c r="H298" s="405"/>
      <c r="I298" s="405"/>
      <c r="J298" s="405"/>
      <c r="K298" s="405"/>
      <c r="L298" s="405"/>
      <c r="M298" s="405"/>
      <c r="N298" s="405"/>
      <c r="O298" s="405"/>
      <c r="P298" s="405"/>
      <c r="Q298" s="382">
        <f>AVERAGE(E298:P298)</f>
        <v>97.3</v>
      </c>
      <c r="R298" s="382" t="str">
        <f t="shared" si="13"/>
        <v>NO</v>
      </c>
      <c r="S298" s="382" t="str">
        <f t="shared" si="14"/>
        <v>Inviable Sanitariamente</v>
      </c>
      <c r="T298" s="184"/>
    </row>
    <row r="299" spans="1:20" s="181" customFormat="1" ht="32.1" customHeight="1" x14ac:dyDescent="0.2">
      <c r="A299" s="361" t="s">
        <v>149</v>
      </c>
      <c r="B299" s="362" t="s">
        <v>3067</v>
      </c>
      <c r="C299" s="362" t="s">
        <v>3068</v>
      </c>
      <c r="D299" s="364">
        <v>260</v>
      </c>
      <c r="E299" s="405"/>
      <c r="F299" s="405"/>
      <c r="G299" s="405">
        <v>97.3</v>
      </c>
      <c r="H299" s="405"/>
      <c r="I299" s="405"/>
      <c r="J299" s="405"/>
      <c r="K299" s="405"/>
      <c r="L299" s="405"/>
      <c r="M299" s="405"/>
      <c r="N299" s="405"/>
      <c r="O299" s="405"/>
      <c r="P299" s="405"/>
      <c r="Q299" s="382">
        <v>97.3</v>
      </c>
      <c r="R299" s="382" t="str">
        <f t="shared" si="13"/>
        <v>NO</v>
      </c>
      <c r="S299" s="382" t="str">
        <f t="shared" si="14"/>
        <v>Inviable Sanitariamente</v>
      </c>
      <c r="T299" s="184"/>
    </row>
    <row r="300" spans="1:20" s="181" customFormat="1" ht="32.1" customHeight="1" x14ac:dyDescent="0.2">
      <c r="A300" s="361" t="s">
        <v>149</v>
      </c>
      <c r="B300" s="362" t="s">
        <v>3069</v>
      </c>
      <c r="C300" s="362" t="s">
        <v>3070</v>
      </c>
      <c r="D300" s="364">
        <v>24</v>
      </c>
      <c r="E300" s="405"/>
      <c r="F300" s="405"/>
      <c r="G300" s="405"/>
      <c r="H300" s="405"/>
      <c r="I300" s="405"/>
      <c r="J300" s="405"/>
      <c r="K300" s="405"/>
      <c r="L300" s="405"/>
      <c r="M300" s="405"/>
      <c r="N300" s="405"/>
      <c r="O300" s="405"/>
      <c r="P300" s="405">
        <v>97.3</v>
      </c>
      <c r="Q300" s="382">
        <f t="shared" ref="Q300:Q367" si="15">AVERAGE(E300:P300)</f>
        <v>97.3</v>
      </c>
      <c r="R300" s="382" t="str">
        <f t="shared" si="13"/>
        <v>NO</v>
      </c>
      <c r="S300" s="382" t="str">
        <f t="shared" si="14"/>
        <v>Inviable Sanitariamente</v>
      </c>
      <c r="T300" s="184"/>
    </row>
    <row r="301" spans="1:20" s="181" customFormat="1" ht="32.1" customHeight="1" x14ac:dyDescent="0.2">
      <c r="A301" s="361" t="s">
        <v>149</v>
      </c>
      <c r="B301" s="362" t="s">
        <v>3071</v>
      </c>
      <c r="C301" s="362" t="s">
        <v>3072</v>
      </c>
      <c r="D301" s="364">
        <v>10</v>
      </c>
      <c r="E301" s="405"/>
      <c r="F301" s="405"/>
      <c r="G301" s="405"/>
      <c r="H301" s="405"/>
      <c r="I301" s="405"/>
      <c r="J301" s="405"/>
      <c r="K301" s="405"/>
      <c r="L301" s="405"/>
      <c r="M301" s="405">
        <v>97.3</v>
      </c>
      <c r="N301" s="405"/>
      <c r="O301" s="405"/>
      <c r="P301" s="405"/>
      <c r="Q301" s="382">
        <f t="shared" si="15"/>
        <v>97.3</v>
      </c>
      <c r="R301" s="382" t="str">
        <f t="shared" si="13"/>
        <v>NO</v>
      </c>
      <c r="S301" s="382" t="str">
        <f t="shared" si="14"/>
        <v>Inviable Sanitariamente</v>
      </c>
      <c r="T301" s="184"/>
    </row>
    <row r="302" spans="1:20" s="181" customFormat="1" ht="32.1" customHeight="1" x14ac:dyDescent="0.2">
      <c r="A302" s="361" t="s">
        <v>149</v>
      </c>
      <c r="B302" s="362" t="s">
        <v>3073</v>
      </c>
      <c r="C302" s="362" t="s">
        <v>3074</v>
      </c>
      <c r="D302" s="364">
        <v>70</v>
      </c>
      <c r="E302" s="405"/>
      <c r="F302" s="405"/>
      <c r="G302" s="405"/>
      <c r="H302" s="405"/>
      <c r="I302" s="405"/>
      <c r="J302" s="405"/>
      <c r="K302" s="405"/>
      <c r="L302" s="405"/>
      <c r="M302" s="405"/>
      <c r="N302" s="405">
        <v>97.3</v>
      </c>
      <c r="O302" s="405"/>
      <c r="P302" s="405"/>
      <c r="Q302" s="382">
        <f t="shared" si="15"/>
        <v>97.3</v>
      </c>
      <c r="R302" s="382" t="str">
        <f t="shared" si="13"/>
        <v>NO</v>
      </c>
      <c r="S302" s="382" t="str">
        <f t="shared" si="14"/>
        <v>Inviable Sanitariamente</v>
      </c>
      <c r="T302" s="184"/>
    </row>
    <row r="303" spans="1:20" s="181" customFormat="1" ht="32.1" customHeight="1" x14ac:dyDescent="0.2">
      <c r="A303" s="361" t="s">
        <v>149</v>
      </c>
      <c r="B303" s="362" t="s">
        <v>3075</v>
      </c>
      <c r="C303" s="362" t="s">
        <v>3076</v>
      </c>
      <c r="D303" s="364">
        <v>25</v>
      </c>
      <c r="E303" s="405"/>
      <c r="F303" s="405"/>
      <c r="G303" s="405"/>
      <c r="H303" s="405"/>
      <c r="I303" s="405"/>
      <c r="J303" s="405"/>
      <c r="K303" s="405"/>
      <c r="L303" s="405"/>
      <c r="M303" s="405">
        <v>97.3</v>
      </c>
      <c r="N303" s="405"/>
      <c r="O303" s="405"/>
      <c r="P303" s="405"/>
      <c r="Q303" s="382">
        <f t="shared" si="15"/>
        <v>97.3</v>
      </c>
      <c r="R303" s="382" t="str">
        <f t="shared" si="13"/>
        <v>NO</v>
      </c>
      <c r="S303" s="382" t="str">
        <f t="shared" si="14"/>
        <v>Inviable Sanitariamente</v>
      </c>
      <c r="T303" s="184"/>
    </row>
    <row r="304" spans="1:20" s="181" customFormat="1" ht="32.1" customHeight="1" x14ac:dyDescent="0.2">
      <c r="A304" s="361" t="s">
        <v>149</v>
      </c>
      <c r="B304" s="362" t="s">
        <v>3077</v>
      </c>
      <c r="C304" s="362" t="s">
        <v>3078</v>
      </c>
      <c r="D304" s="364">
        <v>160</v>
      </c>
      <c r="E304" s="405"/>
      <c r="F304" s="405"/>
      <c r="G304" s="405">
        <v>97.3</v>
      </c>
      <c r="H304" s="405"/>
      <c r="I304" s="405"/>
      <c r="J304" s="405"/>
      <c r="K304" s="405"/>
      <c r="L304" s="405"/>
      <c r="M304" s="405"/>
      <c r="N304" s="405"/>
      <c r="O304" s="405"/>
      <c r="P304" s="405"/>
      <c r="Q304" s="382">
        <f t="shared" si="15"/>
        <v>97.3</v>
      </c>
      <c r="R304" s="382" t="str">
        <f t="shared" si="13"/>
        <v>NO</v>
      </c>
      <c r="S304" s="382" t="str">
        <f t="shared" si="14"/>
        <v>Inviable Sanitariamente</v>
      </c>
      <c r="T304" s="184"/>
    </row>
    <row r="305" spans="1:20" s="181" customFormat="1" ht="32.1" customHeight="1" x14ac:dyDescent="0.2">
      <c r="A305" s="361" t="s">
        <v>149</v>
      </c>
      <c r="B305" s="362" t="s">
        <v>3079</v>
      </c>
      <c r="C305" s="362" t="s">
        <v>3080</v>
      </c>
      <c r="D305" s="364">
        <v>14</v>
      </c>
      <c r="E305" s="405"/>
      <c r="F305" s="405"/>
      <c r="G305" s="405"/>
      <c r="H305" s="405"/>
      <c r="I305" s="405"/>
      <c r="J305" s="405"/>
      <c r="K305" s="405"/>
      <c r="L305" s="405"/>
      <c r="M305" s="405">
        <v>97.3</v>
      </c>
      <c r="N305" s="405"/>
      <c r="O305" s="405"/>
      <c r="P305" s="405"/>
      <c r="Q305" s="382">
        <f>AVERAGE(E305:P305)</f>
        <v>97.3</v>
      </c>
      <c r="R305" s="382" t="str">
        <f>IF(Q305&lt;5,"SI","NO")</f>
        <v>NO</v>
      </c>
      <c r="S305" s="382" t="str">
        <f>IF(Q305&lt;=5,"Sin Riesgo",IF(Q305 &lt;=14,"Bajo",IF(Q305&lt;=35,"Medio",IF(Q305&lt;=80,"Alto","Inviable Sanitariamente"))))</f>
        <v>Inviable Sanitariamente</v>
      </c>
      <c r="T305" s="184"/>
    </row>
    <row r="306" spans="1:20" s="181" customFormat="1" ht="32.1" customHeight="1" x14ac:dyDescent="0.2">
      <c r="A306" s="361" t="s">
        <v>149</v>
      </c>
      <c r="B306" s="362" t="s">
        <v>4219</v>
      </c>
      <c r="C306" s="362" t="s">
        <v>4220</v>
      </c>
      <c r="D306" s="364">
        <v>42</v>
      </c>
      <c r="E306" s="405"/>
      <c r="F306" s="405"/>
      <c r="G306" s="405"/>
      <c r="H306" s="405"/>
      <c r="I306" s="405"/>
      <c r="J306" s="405"/>
      <c r="K306" s="405">
        <v>97.3</v>
      </c>
      <c r="L306" s="405"/>
      <c r="M306" s="405"/>
      <c r="N306" s="405"/>
      <c r="O306" s="405"/>
      <c r="P306" s="405"/>
      <c r="Q306" s="382">
        <f>AVERAGE(E306:P306)</f>
        <v>97.3</v>
      </c>
      <c r="R306" s="382" t="str">
        <f>IF(Q306&lt;5,"SI","NO")</f>
        <v>NO</v>
      </c>
      <c r="S306" s="382" t="str">
        <f>IF(Q306&lt;=5,"Sin Riesgo",IF(Q306 &lt;=14,"Bajo",IF(Q306&lt;=35,"Medio",IF(Q306&lt;=80,"Alto","Inviable Sanitariamente"))))</f>
        <v>Inviable Sanitariamente</v>
      </c>
      <c r="T306" s="184"/>
    </row>
    <row r="307" spans="1:20" s="181" customFormat="1" ht="32.1" customHeight="1" x14ac:dyDescent="0.2">
      <c r="A307" s="361" t="s">
        <v>149</v>
      </c>
      <c r="B307" s="362" t="s">
        <v>4221</v>
      </c>
      <c r="C307" s="362" t="s">
        <v>4222</v>
      </c>
      <c r="D307" s="364">
        <v>49</v>
      </c>
      <c r="E307" s="405"/>
      <c r="F307" s="405"/>
      <c r="G307" s="405">
        <v>97.3</v>
      </c>
      <c r="H307" s="405"/>
      <c r="I307" s="405"/>
      <c r="J307" s="405"/>
      <c r="K307" s="405"/>
      <c r="L307" s="405"/>
      <c r="M307" s="405"/>
      <c r="N307" s="405"/>
      <c r="O307" s="405"/>
      <c r="P307" s="405"/>
      <c r="Q307" s="382">
        <f t="shared" si="15"/>
        <v>97.3</v>
      </c>
      <c r="R307" s="382" t="str">
        <f t="shared" si="13"/>
        <v>NO</v>
      </c>
      <c r="S307" s="382" t="str">
        <f t="shared" si="14"/>
        <v>Inviable Sanitariamente</v>
      </c>
      <c r="T307" s="184"/>
    </row>
    <row r="308" spans="1:20" s="181" customFormat="1" ht="32.1" customHeight="1" x14ac:dyDescent="0.2">
      <c r="A308" s="361" t="s">
        <v>150</v>
      </c>
      <c r="B308" s="362" t="s">
        <v>3081</v>
      </c>
      <c r="C308" s="362" t="s">
        <v>3082</v>
      </c>
      <c r="D308" s="364">
        <v>148</v>
      </c>
      <c r="E308" s="405"/>
      <c r="F308" s="405"/>
      <c r="G308" s="405"/>
      <c r="H308" s="405"/>
      <c r="I308" s="405"/>
      <c r="J308" s="405">
        <v>97.35</v>
      </c>
      <c r="K308" s="405"/>
      <c r="L308" s="405"/>
      <c r="M308" s="405">
        <v>97.4</v>
      </c>
      <c r="N308" s="405"/>
      <c r="O308" s="405"/>
      <c r="P308" s="405"/>
      <c r="Q308" s="382">
        <f t="shared" si="15"/>
        <v>97.375</v>
      </c>
      <c r="R308" s="382" t="str">
        <f t="shared" si="13"/>
        <v>NO</v>
      </c>
      <c r="S308" s="382" t="str">
        <f t="shared" si="14"/>
        <v>Inviable Sanitariamente</v>
      </c>
      <c r="T308" s="184"/>
    </row>
    <row r="309" spans="1:20" s="181" customFormat="1" ht="32.1" customHeight="1" x14ac:dyDescent="0.2">
      <c r="A309" s="361" t="s">
        <v>150</v>
      </c>
      <c r="B309" s="362" t="s">
        <v>3083</v>
      </c>
      <c r="C309" s="362" t="s">
        <v>3084</v>
      </c>
      <c r="D309" s="364">
        <v>301</v>
      </c>
      <c r="E309" s="405"/>
      <c r="F309" s="405"/>
      <c r="G309" s="405"/>
      <c r="H309" s="405">
        <v>0</v>
      </c>
      <c r="I309" s="405">
        <v>0</v>
      </c>
      <c r="J309" s="405"/>
      <c r="K309" s="405"/>
      <c r="L309" s="405"/>
      <c r="M309" s="405"/>
      <c r="N309" s="405">
        <v>0</v>
      </c>
      <c r="O309" s="405"/>
      <c r="P309" s="405"/>
      <c r="Q309" s="382">
        <f t="shared" si="15"/>
        <v>0</v>
      </c>
      <c r="R309" s="382" t="str">
        <f t="shared" si="13"/>
        <v>SI</v>
      </c>
      <c r="S309" s="382" t="str">
        <f t="shared" si="14"/>
        <v>Sin Riesgo</v>
      </c>
      <c r="T309" s="184"/>
    </row>
    <row r="310" spans="1:20" s="181" customFormat="1" ht="32.1" customHeight="1" x14ac:dyDescent="0.2">
      <c r="A310" s="361" t="s">
        <v>150</v>
      </c>
      <c r="B310" s="362" t="s">
        <v>3085</v>
      </c>
      <c r="C310" s="362" t="s">
        <v>3086</v>
      </c>
      <c r="D310" s="364">
        <v>240</v>
      </c>
      <c r="E310" s="405"/>
      <c r="F310" s="405"/>
      <c r="G310" s="405"/>
      <c r="H310" s="405"/>
      <c r="I310" s="405">
        <v>0</v>
      </c>
      <c r="J310" s="405"/>
      <c r="K310" s="405"/>
      <c r="L310" s="405"/>
      <c r="M310" s="405"/>
      <c r="N310" s="405"/>
      <c r="O310" s="405"/>
      <c r="P310" s="405">
        <v>97.4</v>
      </c>
      <c r="Q310" s="382">
        <f t="shared" si="15"/>
        <v>48.7</v>
      </c>
      <c r="R310" s="382" t="str">
        <f t="shared" si="13"/>
        <v>NO</v>
      </c>
      <c r="S310" s="382" t="str">
        <f t="shared" si="14"/>
        <v>Alto</v>
      </c>
      <c r="T310" s="184"/>
    </row>
    <row r="311" spans="1:20" s="181" customFormat="1" ht="32.1" customHeight="1" x14ac:dyDescent="0.2">
      <c r="A311" s="361" t="s">
        <v>150</v>
      </c>
      <c r="B311" s="362" t="s">
        <v>3087</v>
      </c>
      <c r="C311" s="362" t="s">
        <v>3088</v>
      </c>
      <c r="D311" s="364">
        <v>269</v>
      </c>
      <c r="E311" s="405"/>
      <c r="F311" s="405"/>
      <c r="G311" s="405"/>
      <c r="H311" s="405"/>
      <c r="I311" s="405"/>
      <c r="J311" s="405"/>
      <c r="K311" s="405"/>
      <c r="L311" s="405">
        <v>97.4</v>
      </c>
      <c r="M311" s="405"/>
      <c r="N311" s="405"/>
      <c r="O311" s="405"/>
      <c r="P311" s="405"/>
      <c r="Q311" s="382">
        <f t="shared" si="15"/>
        <v>97.4</v>
      </c>
      <c r="R311" s="382" t="str">
        <f t="shared" si="13"/>
        <v>NO</v>
      </c>
      <c r="S311" s="382" t="str">
        <f t="shared" si="14"/>
        <v>Inviable Sanitariamente</v>
      </c>
      <c r="T311" s="184"/>
    </row>
    <row r="312" spans="1:20" s="181" customFormat="1" ht="32.1" customHeight="1" x14ac:dyDescent="0.2">
      <c r="A312" s="361" t="s">
        <v>150</v>
      </c>
      <c r="B312" s="362" t="s">
        <v>2204</v>
      </c>
      <c r="C312" s="362" t="s">
        <v>3089</v>
      </c>
      <c r="D312" s="364">
        <v>65</v>
      </c>
      <c r="E312" s="405"/>
      <c r="F312" s="405"/>
      <c r="G312" s="405"/>
      <c r="H312" s="405"/>
      <c r="I312" s="405"/>
      <c r="J312" s="405"/>
      <c r="K312" s="405"/>
      <c r="L312" s="405"/>
      <c r="M312" s="405"/>
      <c r="N312" s="405"/>
      <c r="O312" s="405">
        <v>97.35</v>
      </c>
      <c r="P312" s="405"/>
      <c r="Q312" s="382">
        <f t="shared" si="15"/>
        <v>97.35</v>
      </c>
      <c r="R312" s="382" t="str">
        <f t="shared" si="13"/>
        <v>NO</v>
      </c>
      <c r="S312" s="382" t="str">
        <f t="shared" si="14"/>
        <v>Inviable Sanitariamente</v>
      </c>
      <c r="T312" s="184"/>
    </row>
    <row r="313" spans="1:20" s="181" customFormat="1" ht="32.1" customHeight="1" x14ac:dyDescent="0.2">
      <c r="A313" s="361" t="s">
        <v>150</v>
      </c>
      <c r="B313" s="362" t="s">
        <v>2945</v>
      </c>
      <c r="C313" s="362" t="s">
        <v>3090</v>
      </c>
      <c r="D313" s="364">
        <v>35</v>
      </c>
      <c r="E313" s="405"/>
      <c r="F313" s="405"/>
      <c r="G313" s="405"/>
      <c r="H313" s="405"/>
      <c r="I313" s="405"/>
      <c r="J313" s="405"/>
      <c r="K313" s="405"/>
      <c r="L313" s="405"/>
      <c r="M313" s="405"/>
      <c r="N313" s="405"/>
      <c r="O313" s="405"/>
      <c r="P313" s="405"/>
      <c r="Q313" s="382" t="e">
        <f t="shared" si="15"/>
        <v>#DIV/0!</v>
      </c>
      <c r="R313" s="382" t="e">
        <f t="shared" si="13"/>
        <v>#DIV/0!</v>
      </c>
      <c r="S313" s="382" t="e">
        <f t="shared" si="14"/>
        <v>#DIV/0!</v>
      </c>
      <c r="T313" s="184"/>
    </row>
    <row r="314" spans="1:20" s="181" customFormat="1" ht="32.1" customHeight="1" x14ac:dyDescent="0.2">
      <c r="A314" s="361" t="s">
        <v>150</v>
      </c>
      <c r="B314" s="362" t="s">
        <v>2767</v>
      </c>
      <c r="C314" s="362" t="s">
        <v>3091</v>
      </c>
      <c r="D314" s="364">
        <v>38</v>
      </c>
      <c r="E314" s="405"/>
      <c r="F314" s="405"/>
      <c r="G314" s="405"/>
      <c r="H314" s="405"/>
      <c r="I314" s="405"/>
      <c r="J314" s="405"/>
      <c r="K314" s="405"/>
      <c r="L314" s="405"/>
      <c r="M314" s="405"/>
      <c r="N314" s="405"/>
      <c r="O314" s="405"/>
      <c r="P314" s="405"/>
      <c r="Q314" s="382" t="e">
        <f t="shared" si="15"/>
        <v>#DIV/0!</v>
      </c>
      <c r="R314" s="382" t="e">
        <f t="shared" si="13"/>
        <v>#DIV/0!</v>
      </c>
      <c r="S314" s="382" t="e">
        <f t="shared" si="14"/>
        <v>#DIV/0!</v>
      </c>
      <c r="T314" s="184"/>
    </row>
    <row r="315" spans="1:20" s="181" customFormat="1" ht="32.1" customHeight="1" x14ac:dyDescent="0.2">
      <c r="A315" s="361" t="s">
        <v>150</v>
      </c>
      <c r="B315" s="362" t="s">
        <v>3092</v>
      </c>
      <c r="C315" s="362" t="s">
        <v>3093</v>
      </c>
      <c r="D315" s="364">
        <v>110</v>
      </c>
      <c r="E315" s="405"/>
      <c r="F315" s="405"/>
      <c r="G315" s="405"/>
      <c r="H315" s="405"/>
      <c r="I315" s="405"/>
      <c r="J315" s="405"/>
      <c r="K315" s="405"/>
      <c r="L315" s="405"/>
      <c r="M315" s="405"/>
      <c r="N315" s="405">
        <v>97.4</v>
      </c>
      <c r="O315" s="405"/>
      <c r="P315" s="405"/>
      <c r="Q315" s="382">
        <f>AVERAGE(E315:P315)</f>
        <v>97.4</v>
      </c>
      <c r="R315" s="382" t="str">
        <f>IF(Q315&lt;5,"SI","NO")</f>
        <v>NO</v>
      </c>
      <c r="S315" s="382" t="str">
        <f>IF(Q315&lt;=5,"Sin Riesgo",IF(Q315 &lt;=14,"Bajo",IF(Q315&lt;=35,"Medio",IF(Q315&lt;=80,"Alto","Inviable Sanitariamente"))))</f>
        <v>Inviable Sanitariamente</v>
      </c>
      <c r="T315" s="184"/>
    </row>
    <row r="316" spans="1:20" s="181" customFormat="1" ht="32.1" customHeight="1" x14ac:dyDescent="0.2">
      <c r="A316" s="361" t="s">
        <v>150</v>
      </c>
      <c r="B316" s="362" t="s">
        <v>1690</v>
      </c>
      <c r="C316" s="362" t="s">
        <v>4223</v>
      </c>
      <c r="D316" s="364">
        <v>48</v>
      </c>
      <c r="E316" s="405"/>
      <c r="F316" s="405"/>
      <c r="G316" s="405"/>
      <c r="H316" s="405">
        <v>0</v>
      </c>
      <c r="I316" s="405"/>
      <c r="J316" s="405"/>
      <c r="K316" s="405"/>
      <c r="L316" s="405"/>
      <c r="M316" s="405"/>
      <c r="N316" s="405">
        <v>97.4</v>
      </c>
      <c r="O316" s="405"/>
      <c r="P316" s="405"/>
      <c r="Q316" s="382">
        <f t="shared" si="15"/>
        <v>48.7</v>
      </c>
      <c r="R316" s="382" t="str">
        <f t="shared" si="13"/>
        <v>NO</v>
      </c>
      <c r="S316" s="382" t="str">
        <f t="shared" si="14"/>
        <v>Alto</v>
      </c>
      <c r="T316" s="184"/>
    </row>
    <row r="317" spans="1:20" s="181" customFormat="1" ht="32.1" customHeight="1" x14ac:dyDescent="0.2">
      <c r="A317" s="361" t="s">
        <v>150</v>
      </c>
      <c r="B317" s="362" t="s">
        <v>1</v>
      </c>
      <c r="C317" s="362" t="s">
        <v>3094</v>
      </c>
      <c r="D317" s="364">
        <v>180</v>
      </c>
      <c r="E317" s="405"/>
      <c r="F317" s="405"/>
      <c r="G317" s="405"/>
      <c r="H317" s="405"/>
      <c r="I317" s="405"/>
      <c r="J317" s="405"/>
      <c r="K317" s="405"/>
      <c r="L317" s="405"/>
      <c r="M317" s="405"/>
      <c r="N317" s="405"/>
      <c r="O317" s="405"/>
      <c r="P317" s="405"/>
      <c r="Q317" s="382" t="e">
        <f t="shared" si="15"/>
        <v>#DIV/0!</v>
      </c>
      <c r="R317" s="382" t="e">
        <f t="shared" si="13"/>
        <v>#DIV/0!</v>
      </c>
      <c r="S317" s="382" t="e">
        <f t="shared" si="14"/>
        <v>#DIV/0!</v>
      </c>
      <c r="T317" s="184"/>
    </row>
    <row r="318" spans="1:20" s="181" customFormat="1" ht="32.1" customHeight="1" x14ac:dyDescent="0.2">
      <c r="A318" s="361" t="s">
        <v>150</v>
      </c>
      <c r="B318" s="362" t="s">
        <v>3095</v>
      </c>
      <c r="C318" s="362" t="s">
        <v>3096</v>
      </c>
      <c r="D318" s="364">
        <v>40</v>
      </c>
      <c r="E318" s="405"/>
      <c r="F318" s="405"/>
      <c r="G318" s="405"/>
      <c r="H318" s="405"/>
      <c r="I318" s="405"/>
      <c r="J318" s="405">
        <v>97.35</v>
      </c>
      <c r="K318" s="405"/>
      <c r="L318" s="405"/>
      <c r="M318" s="405"/>
      <c r="N318" s="405"/>
      <c r="O318" s="405">
        <v>97.35</v>
      </c>
      <c r="P318" s="405"/>
      <c r="Q318" s="382">
        <f t="shared" si="15"/>
        <v>97.35</v>
      </c>
      <c r="R318" s="382" t="str">
        <f t="shared" si="13"/>
        <v>NO</v>
      </c>
      <c r="S318" s="382" t="str">
        <f t="shared" si="14"/>
        <v>Inviable Sanitariamente</v>
      </c>
      <c r="T318" s="184"/>
    </row>
    <row r="319" spans="1:20" s="181" customFormat="1" ht="32.1" customHeight="1" x14ac:dyDescent="0.2">
      <c r="A319" s="361" t="s">
        <v>150</v>
      </c>
      <c r="B319" s="362" t="s">
        <v>3097</v>
      </c>
      <c r="C319" s="362" t="s">
        <v>3098</v>
      </c>
      <c r="D319" s="364">
        <v>52</v>
      </c>
      <c r="E319" s="405"/>
      <c r="F319" s="405"/>
      <c r="G319" s="405"/>
      <c r="H319" s="405"/>
      <c r="I319" s="405">
        <v>97.4</v>
      </c>
      <c r="J319" s="405"/>
      <c r="K319" s="405"/>
      <c r="L319" s="405"/>
      <c r="M319" s="405">
        <v>97.4</v>
      </c>
      <c r="N319" s="405"/>
      <c r="O319" s="405"/>
      <c r="P319" s="405"/>
      <c r="Q319" s="382">
        <f t="shared" si="15"/>
        <v>97.4</v>
      </c>
      <c r="R319" s="382" t="str">
        <f t="shared" si="13"/>
        <v>NO</v>
      </c>
      <c r="S319" s="382" t="str">
        <f t="shared" si="14"/>
        <v>Inviable Sanitariamente</v>
      </c>
      <c r="T319" s="184"/>
    </row>
    <row r="320" spans="1:20" s="181" customFormat="1" ht="32.1" customHeight="1" x14ac:dyDescent="0.2">
      <c r="A320" s="361" t="s">
        <v>150</v>
      </c>
      <c r="B320" s="362" t="s">
        <v>3099</v>
      </c>
      <c r="C320" s="362" t="s">
        <v>3100</v>
      </c>
      <c r="D320" s="364">
        <v>52</v>
      </c>
      <c r="E320" s="405"/>
      <c r="F320" s="405"/>
      <c r="G320" s="405"/>
      <c r="H320" s="405"/>
      <c r="I320" s="405"/>
      <c r="J320" s="405"/>
      <c r="K320" s="405"/>
      <c r="L320" s="405"/>
      <c r="M320" s="405"/>
      <c r="N320" s="405"/>
      <c r="O320" s="405"/>
      <c r="P320" s="405">
        <v>97.4</v>
      </c>
      <c r="Q320" s="382">
        <f t="shared" si="15"/>
        <v>97.4</v>
      </c>
      <c r="R320" s="382" t="str">
        <f t="shared" si="13"/>
        <v>NO</v>
      </c>
      <c r="S320" s="382" t="str">
        <f t="shared" si="14"/>
        <v>Inviable Sanitariamente</v>
      </c>
      <c r="T320" s="184"/>
    </row>
    <row r="321" spans="1:20" s="181" customFormat="1" ht="32.1" customHeight="1" x14ac:dyDescent="0.2">
      <c r="A321" s="361" t="s">
        <v>151</v>
      </c>
      <c r="B321" s="362" t="s">
        <v>3101</v>
      </c>
      <c r="C321" s="362" t="s">
        <v>3102</v>
      </c>
      <c r="D321" s="364">
        <v>20</v>
      </c>
      <c r="E321" s="405"/>
      <c r="F321" s="405"/>
      <c r="G321" s="405"/>
      <c r="H321" s="405"/>
      <c r="I321" s="405"/>
      <c r="J321" s="405"/>
      <c r="K321" s="405"/>
      <c r="L321" s="405"/>
      <c r="M321" s="405"/>
      <c r="N321" s="405"/>
      <c r="O321" s="405">
        <v>97.3</v>
      </c>
      <c r="P321" s="405"/>
      <c r="Q321" s="382">
        <f t="shared" si="15"/>
        <v>97.3</v>
      </c>
      <c r="R321" s="382" t="str">
        <f t="shared" si="13"/>
        <v>NO</v>
      </c>
      <c r="S321" s="382" t="str">
        <f t="shared" si="14"/>
        <v>Inviable Sanitariamente</v>
      </c>
      <c r="T321" s="184"/>
    </row>
    <row r="322" spans="1:20" s="181" customFormat="1" ht="32.1" customHeight="1" x14ac:dyDescent="0.2">
      <c r="A322" s="361" t="s">
        <v>151</v>
      </c>
      <c r="B322" s="362" t="s">
        <v>1435</v>
      </c>
      <c r="C322" s="362" t="s">
        <v>4446</v>
      </c>
      <c r="D322" s="364">
        <v>25</v>
      </c>
      <c r="E322" s="405">
        <v>97.3</v>
      </c>
      <c r="F322" s="405"/>
      <c r="G322" s="405"/>
      <c r="H322" s="405"/>
      <c r="I322" s="405"/>
      <c r="J322" s="405"/>
      <c r="K322" s="405"/>
      <c r="L322" s="405"/>
      <c r="M322" s="405"/>
      <c r="N322" s="405"/>
      <c r="O322" s="405">
        <v>97.3</v>
      </c>
      <c r="P322" s="405"/>
      <c r="Q322" s="382">
        <f t="shared" si="15"/>
        <v>97.3</v>
      </c>
      <c r="R322" s="382" t="str">
        <f t="shared" si="13"/>
        <v>NO</v>
      </c>
      <c r="S322" s="382" t="str">
        <f t="shared" si="14"/>
        <v>Inviable Sanitariamente</v>
      </c>
      <c r="T322" s="184"/>
    </row>
    <row r="323" spans="1:20" s="181" customFormat="1" ht="32.1" customHeight="1" x14ac:dyDescent="0.2">
      <c r="A323" s="361" t="s">
        <v>151</v>
      </c>
      <c r="B323" s="362" t="s">
        <v>3103</v>
      </c>
      <c r="C323" s="362" t="s">
        <v>3104</v>
      </c>
      <c r="D323" s="364">
        <v>36</v>
      </c>
      <c r="E323" s="405"/>
      <c r="F323" s="405"/>
      <c r="G323" s="405"/>
      <c r="H323" s="405"/>
      <c r="I323" s="405"/>
      <c r="J323" s="405">
        <v>97.3</v>
      </c>
      <c r="K323" s="405"/>
      <c r="L323" s="405">
        <v>97.3</v>
      </c>
      <c r="M323" s="405"/>
      <c r="N323" s="405"/>
      <c r="O323" s="405"/>
      <c r="P323" s="405"/>
      <c r="Q323" s="382">
        <f t="shared" si="15"/>
        <v>97.3</v>
      </c>
      <c r="R323" s="382" t="str">
        <f t="shared" si="13"/>
        <v>NO</v>
      </c>
      <c r="S323" s="382" t="str">
        <f t="shared" si="14"/>
        <v>Inviable Sanitariamente</v>
      </c>
      <c r="T323" s="184"/>
    </row>
    <row r="324" spans="1:20" s="181" customFormat="1" ht="32.1" customHeight="1" x14ac:dyDescent="0.2">
      <c r="A324" s="361" t="s">
        <v>151</v>
      </c>
      <c r="B324" s="362" t="s">
        <v>3105</v>
      </c>
      <c r="C324" s="362" t="s">
        <v>4447</v>
      </c>
      <c r="D324" s="364">
        <v>110</v>
      </c>
      <c r="E324" s="405">
        <v>97.3</v>
      </c>
      <c r="F324" s="405"/>
      <c r="G324" s="405"/>
      <c r="H324" s="405"/>
      <c r="I324" s="405"/>
      <c r="J324" s="405"/>
      <c r="K324" s="405">
        <v>97.3</v>
      </c>
      <c r="L324" s="405"/>
      <c r="M324" s="405">
        <v>97.3</v>
      </c>
      <c r="N324" s="405">
        <v>97.3</v>
      </c>
      <c r="O324" s="405"/>
      <c r="P324" s="405">
        <v>97.3</v>
      </c>
      <c r="Q324" s="382">
        <f t="shared" si="15"/>
        <v>97.3</v>
      </c>
      <c r="R324" s="382" t="str">
        <f t="shared" si="13"/>
        <v>NO</v>
      </c>
      <c r="S324" s="382" t="str">
        <f t="shared" si="14"/>
        <v>Inviable Sanitariamente</v>
      </c>
      <c r="T324" s="184"/>
    </row>
    <row r="325" spans="1:20" s="181" customFormat="1" ht="32.1" customHeight="1" x14ac:dyDescent="0.2">
      <c r="A325" s="361" t="s">
        <v>151</v>
      </c>
      <c r="B325" s="362" t="s">
        <v>3106</v>
      </c>
      <c r="C325" s="362" t="s">
        <v>4448</v>
      </c>
      <c r="D325" s="364">
        <v>460</v>
      </c>
      <c r="E325" s="405">
        <v>0</v>
      </c>
      <c r="F325" s="405"/>
      <c r="G325" s="405"/>
      <c r="H325" s="405"/>
      <c r="I325" s="405">
        <v>0</v>
      </c>
      <c r="J325" s="405">
        <v>0</v>
      </c>
      <c r="K325" s="405">
        <v>0</v>
      </c>
      <c r="L325" s="405">
        <v>0</v>
      </c>
      <c r="M325" s="405">
        <v>0</v>
      </c>
      <c r="N325" s="405">
        <v>0</v>
      </c>
      <c r="O325" s="405">
        <v>0</v>
      </c>
      <c r="P325" s="405">
        <v>0</v>
      </c>
      <c r="Q325" s="382">
        <f t="shared" si="15"/>
        <v>0</v>
      </c>
      <c r="R325" s="382" t="str">
        <f t="shared" si="13"/>
        <v>SI</v>
      </c>
      <c r="S325" s="382" t="str">
        <f t="shared" si="14"/>
        <v>Sin Riesgo</v>
      </c>
      <c r="T325" s="184"/>
    </row>
    <row r="326" spans="1:20" s="181" customFormat="1" ht="32.1" customHeight="1" x14ac:dyDescent="0.2">
      <c r="A326" s="361" t="s">
        <v>151</v>
      </c>
      <c r="B326" s="362" t="s">
        <v>3107</v>
      </c>
      <c r="C326" s="362" t="s">
        <v>3108</v>
      </c>
      <c r="D326" s="364">
        <v>106</v>
      </c>
      <c r="E326" s="405">
        <v>97.3</v>
      </c>
      <c r="F326" s="405"/>
      <c r="G326" s="405"/>
      <c r="H326" s="405"/>
      <c r="I326" s="405"/>
      <c r="J326" s="405"/>
      <c r="K326" s="405"/>
      <c r="L326" s="405"/>
      <c r="M326" s="405">
        <v>97.3</v>
      </c>
      <c r="N326" s="405">
        <v>97.3</v>
      </c>
      <c r="O326" s="405">
        <v>97.3</v>
      </c>
      <c r="P326" s="405">
        <v>97.3</v>
      </c>
      <c r="Q326" s="382">
        <f t="shared" si="15"/>
        <v>97.3</v>
      </c>
      <c r="R326" s="382" t="str">
        <f t="shared" si="13"/>
        <v>NO</v>
      </c>
      <c r="S326" s="382" t="str">
        <f t="shared" si="14"/>
        <v>Inviable Sanitariamente</v>
      </c>
      <c r="T326" s="184"/>
    </row>
    <row r="327" spans="1:20" s="181" customFormat="1" ht="32.1" customHeight="1" x14ac:dyDescent="0.2">
      <c r="A327" s="361" t="s">
        <v>151</v>
      </c>
      <c r="B327" s="362" t="s">
        <v>3109</v>
      </c>
      <c r="C327" s="362" t="s">
        <v>3110</v>
      </c>
      <c r="D327" s="364">
        <v>215</v>
      </c>
      <c r="E327" s="405">
        <v>97.3</v>
      </c>
      <c r="F327" s="405"/>
      <c r="G327" s="405"/>
      <c r="H327" s="405"/>
      <c r="I327" s="405"/>
      <c r="J327" s="405"/>
      <c r="K327" s="405"/>
      <c r="L327" s="405"/>
      <c r="M327" s="405"/>
      <c r="N327" s="405">
        <v>97.3</v>
      </c>
      <c r="O327" s="405">
        <v>97.3</v>
      </c>
      <c r="P327" s="405">
        <v>97.3</v>
      </c>
      <c r="Q327" s="382">
        <f t="shared" si="15"/>
        <v>97.3</v>
      </c>
      <c r="R327" s="382" t="str">
        <f t="shared" si="13"/>
        <v>NO</v>
      </c>
      <c r="S327" s="382" t="str">
        <f t="shared" si="14"/>
        <v>Inviable Sanitariamente</v>
      </c>
      <c r="T327" s="184"/>
    </row>
    <row r="328" spans="1:20" s="181" customFormat="1" ht="32.1" customHeight="1" x14ac:dyDescent="0.2">
      <c r="A328" s="361" t="s">
        <v>151</v>
      </c>
      <c r="B328" s="362" t="s">
        <v>3111</v>
      </c>
      <c r="C328" s="362" t="s">
        <v>4449</v>
      </c>
      <c r="D328" s="364">
        <v>83</v>
      </c>
      <c r="E328" s="405"/>
      <c r="F328" s="405"/>
      <c r="G328" s="405"/>
      <c r="H328" s="405"/>
      <c r="I328" s="405"/>
      <c r="J328" s="405"/>
      <c r="K328" s="405">
        <v>97.3</v>
      </c>
      <c r="L328" s="405"/>
      <c r="M328" s="405"/>
      <c r="N328" s="405"/>
      <c r="O328" s="405"/>
      <c r="P328" s="405"/>
      <c r="Q328" s="382">
        <f t="shared" si="15"/>
        <v>97.3</v>
      </c>
      <c r="R328" s="382" t="str">
        <f t="shared" si="13"/>
        <v>NO</v>
      </c>
      <c r="S328" s="382" t="str">
        <f t="shared" si="14"/>
        <v>Inviable Sanitariamente</v>
      </c>
      <c r="T328" s="184"/>
    </row>
    <row r="329" spans="1:20" s="181" customFormat="1" ht="32.1" customHeight="1" x14ac:dyDescent="0.2">
      <c r="A329" s="361" t="s">
        <v>151</v>
      </c>
      <c r="B329" s="362" t="s">
        <v>3112</v>
      </c>
      <c r="C329" s="362" t="s">
        <v>4450</v>
      </c>
      <c r="D329" s="364">
        <v>22</v>
      </c>
      <c r="E329" s="405"/>
      <c r="F329" s="405"/>
      <c r="G329" s="405"/>
      <c r="H329" s="405"/>
      <c r="I329" s="411"/>
      <c r="J329" s="405">
        <v>97.3</v>
      </c>
      <c r="K329" s="405"/>
      <c r="L329" s="405"/>
      <c r="M329" s="405">
        <v>97.3</v>
      </c>
      <c r="N329" s="405"/>
      <c r="O329" s="405" t="s">
        <v>1600</v>
      </c>
      <c r="P329" s="405"/>
      <c r="Q329" s="382">
        <f t="shared" si="15"/>
        <v>97.3</v>
      </c>
      <c r="R329" s="382" t="str">
        <f t="shared" si="13"/>
        <v>NO</v>
      </c>
      <c r="S329" s="382" t="str">
        <f t="shared" si="14"/>
        <v>Inviable Sanitariamente</v>
      </c>
      <c r="T329" s="184"/>
    </row>
    <row r="330" spans="1:20" s="181" customFormat="1" ht="32.1" customHeight="1" x14ac:dyDescent="0.2">
      <c r="A330" s="361" t="s">
        <v>151</v>
      </c>
      <c r="B330" s="362" t="s">
        <v>1195</v>
      </c>
      <c r="C330" s="362" t="s">
        <v>3113</v>
      </c>
      <c r="D330" s="364">
        <v>46</v>
      </c>
      <c r="E330" s="405"/>
      <c r="F330" s="405"/>
      <c r="G330" s="411">
        <v>97.3</v>
      </c>
      <c r="H330" s="405"/>
      <c r="I330" s="405"/>
      <c r="J330" s="405"/>
      <c r="K330" s="405">
        <v>97.3</v>
      </c>
      <c r="L330" s="405"/>
      <c r="M330" s="405"/>
      <c r="N330" s="405"/>
      <c r="O330" s="405"/>
      <c r="P330" s="405"/>
      <c r="Q330" s="382">
        <f t="shared" si="15"/>
        <v>97.3</v>
      </c>
      <c r="R330" s="382" t="str">
        <f t="shared" si="13"/>
        <v>NO</v>
      </c>
      <c r="S330" s="382" t="str">
        <f t="shared" si="14"/>
        <v>Inviable Sanitariamente</v>
      </c>
      <c r="T330" s="184"/>
    </row>
    <row r="331" spans="1:20" s="181" customFormat="1" ht="32.1" customHeight="1" x14ac:dyDescent="0.2">
      <c r="A331" s="361" t="s">
        <v>151</v>
      </c>
      <c r="B331" s="362" t="s">
        <v>3114</v>
      </c>
      <c r="C331" s="362" t="s">
        <v>3115</v>
      </c>
      <c r="D331" s="364">
        <v>15</v>
      </c>
      <c r="E331" s="405"/>
      <c r="F331" s="405"/>
      <c r="G331" s="405"/>
      <c r="H331" s="405"/>
      <c r="I331" s="405"/>
      <c r="J331" s="405"/>
      <c r="K331" s="405"/>
      <c r="L331" s="405"/>
      <c r="M331" s="405"/>
      <c r="N331" s="405">
        <v>97.3</v>
      </c>
      <c r="O331" s="405">
        <v>97.3</v>
      </c>
      <c r="P331" s="405"/>
      <c r="Q331" s="382">
        <f t="shared" si="15"/>
        <v>97.3</v>
      </c>
      <c r="R331" s="382" t="str">
        <f t="shared" si="13"/>
        <v>NO</v>
      </c>
      <c r="S331" s="382" t="str">
        <f t="shared" si="14"/>
        <v>Inviable Sanitariamente</v>
      </c>
      <c r="T331" s="184"/>
    </row>
    <row r="332" spans="1:20" s="181" customFormat="1" ht="32.1" customHeight="1" x14ac:dyDescent="0.2">
      <c r="A332" s="361" t="s">
        <v>151</v>
      </c>
      <c r="B332" s="362" t="s">
        <v>3116</v>
      </c>
      <c r="C332" s="362" t="s">
        <v>3117</v>
      </c>
      <c r="D332" s="364">
        <v>200</v>
      </c>
      <c r="E332" s="405"/>
      <c r="F332" s="405">
        <v>97.3</v>
      </c>
      <c r="G332" s="405"/>
      <c r="H332" s="405"/>
      <c r="I332" s="405"/>
      <c r="J332" s="405"/>
      <c r="K332" s="405"/>
      <c r="L332" s="405"/>
      <c r="M332" s="405"/>
      <c r="N332" s="405">
        <v>97.3</v>
      </c>
      <c r="O332" s="405"/>
      <c r="P332" s="405"/>
      <c r="Q332" s="382">
        <f t="shared" si="15"/>
        <v>97.3</v>
      </c>
      <c r="R332" s="382" t="str">
        <f t="shared" si="13"/>
        <v>NO</v>
      </c>
      <c r="S332" s="382" t="str">
        <f t="shared" si="14"/>
        <v>Inviable Sanitariamente</v>
      </c>
      <c r="T332" s="184"/>
    </row>
    <row r="333" spans="1:20" s="181" customFormat="1" ht="32.1" customHeight="1" x14ac:dyDescent="0.2">
      <c r="A333" s="361" t="s">
        <v>151</v>
      </c>
      <c r="B333" s="362" t="s">
        <v>8</v>
      </c>
      <c r="C333" s="362" t="s">
        <v>3118</v>
      </c>
      <c r="D333" s="364">
        <v>200</v>
      </c>
      <c r="E333" s="405"/>
      <c r="F333" s="405"/>
      <c r="G333" s="405"/>
      <c r="H333" s="405"/>
      <c r="I333" s="405"/>
      <c r="J333" s="405">
        <v>97.3</v>
      </c>
      <c r="K333" s="405"/>
      <c r="L333" s="405"/>
      <c r="M333" s="405">
        <v>97.3</v>
      </c>
      <c r="N333" s="405"/>
      <c r="O333" s="405"/>
      <c r="P333" s="405"/>
      <c r="Q333" s="382">
        <f t="shared" si="15"/>
        <v>97.3</v>
      </c>
      <c r="R333" s="382" t="str">
        <f t="shared" si="13"/>
        <v>NO</v>
      </c>
      <c r="S333" s="382" t="str">
        <f t="shared" si="14"/>
        <v>Inviable Sanitariamente</v>
      </c>
      <c r="T333" s="184"/>
    </row>
    <row r="334" spans="1:20" s="181" customFormat="1" ht="32.1" customHeight="1" x14ac:dyDescent="0.2">
      <c r="A334" s="361" t="s">
        <v>151</v>
      </c>
      <c r="B334" s="362" t="s">
        <v>3119</v>
      </c>
      <c r="C334" s="362" t="s">
        <v>3120</v>
      </c>
      <c r="D334" s="364">
        <v>200</v>
      </c>
      <c r="E334" s="405"/>
      <c r="F334" s="405"/>
      <c r="G334" s="405"/>
      <c r="H334" s="405"/>
      <c r="I334" s="405"/>
      <c r="J334" s="405">
        <v>97.3</v>
      </c>
      <c r="K334" s="405"/>
      <c r="L334" s="405"/>
      <c r="M334" s="405"/>
      <c r="N334" s="405"/>
      <c r="O334" s="405"/>
      <c r="P334" s="405"/>
      <c r="Q334" s="382">
        <f t="shared" si="15"/>
        <v>97.3</v>
      </c>
      <c r="R334" s="382" t="str">
        <f t="shared" si="13"/>
        <v>NO</v>
      </c>
      <c r="S334" s="382" t="str">
        <f t="shared" si="14"/>
        <v>Inviable Sanitariamente</v>
      </c>
      <c r="T334" s="184"/>
    </row>
    <row r="335" spans="1:20" s="181" customFormat="1" ht="32.1" customHeight="1" x14ac:dyDescent="0.2">
      <c r="A335" s="361" t="s">
        <v>151</v>
      </c>
      <c r="B335" s="362" t="s">
        <v>3121</v>
      </c>
      <c r="C335" s="362" t="s">
        <v>3122</v>
      </c>
      <c r="D335" s="364">
        <v>170</v>
      </c>
      <c r="E335" s="405"/>
      <c r="F335" s="405"/>
      <c r="G335" s="405">
        <v>97.3</v>
      </c>
      <c r="H335" s="405"/>
      <c r="I335" s="405"/>
      <c r="J335" s="405"/>
      <c r="K335" s="405"/>
      <c r="L335" s="405">
        <v>97.3</v>
      </c>
      <c r="M335" s="405"/>
      <c r="N335" s="405">
        <v>97.3</v>
      </c>
      <c r="O335" s="405"/>
      <c r="P335" s="405"/>
      <c r="Q335" s="382">
        <f t="shared" si="15"/>
        <v>97.3</v>
      </c>
      <c r="R335" s="382" t="str">
        <f t="shared" si="13"/>
        <v>NO</v>
      </c>
      <c r="S335" s="382" t="str">
        <f t="shared" si="14"/>
        <v>Inviable Sanitariamente</v>
      </c>
      <c r="T335" s="184"/>
    </row>
    <row r="336" spans="1:20" s="181" customFormat="1" ht="32.1" customHeight="1" x14ac:dyDescent="0.2">
      <c r="A336" s="361" t="s">
        <v>151</v>
      </c>
      <c r="B336" s="362" t="s">
        <v>1279</v>
      </c>
      <c r="C336" s="362" t="s">
        <v>3123</v>
      </c>
      <c r="D336" s="364">
        <v>42</v>
      </c>
      <c r="E336" s="405"/>
      <c r="F336" s="405">
        <v>97.3</v>
      </c>
      <c r="G336" s="405"/>
      <c r="H336" s="405"/>
      <c r="I336" s="405"/>
      <c r="J336" s="405"/>
      <c r="K336" s="405"/>
      <c r="L336" s="405"/>
      <c r="M336" s="405">
        <v>97.3</v>
      </c>
      <c r="N336" s="405"/>
      <c r="O336" s="405"/>
      <c r="P336" s="405"/>
      <c r="Q336" s="382">
        <f t="shared" si="15"/>
        <v>97.3</v>
      </c>
      <c r="R336" s="382" t="str">
        <f t="shared" si="13"/>
        <v>NO</v>
      </c>
      <c r="S336" s="382" t="str">
        <f t="shared" si="14"/>
        <v>Inviable Sanitariamente</v>
      </c>
      <c r="T336" s="184"/>
    </row>
    <row r="337" spans="1:20" s="181" customFormat="1" ht="32.1" customHeight="1" x14ac:dyDescent="0.2">
      <c r="A337" s="361" t="s">
        <v>151</v>
      </c>
      <c r="B337" s="362" t="s">
        <v>1622</v>
      </c>
      <c r="C337" s="362" t="s">
        <v>3124</v>
      </c>
      <c r="D337" s="364">
        <v>65</v>
      </c>
      <c r="E337" s="405"/>
      <c r="F337" s="405">
        <v>97.3</v>
      </c>
      <c r="G337" s="405"/>
      <c r="H337" s="405"/>
      <c r="I337" s="405"/>
      <c r="J337" s="405"/>
      <c r="K337" s="405"/>
      <c r="L337" s="405"/>
      <c r="M337" s="405">
        <v>97.3</v>
      </c>
      <c r="N337" s="405"/>
      <c r="O337" s="405"/>
      <c r="P337" s="405"/>
      <c r="Q337" s="382">
        <f t="shared" si="15"/>
        <v>97.3</v>
      </c>
      <c r="R337" s="382" t="str">
        <f t="shared" si="13"/>
        <v>NO</v>
      </c>
      <c r="S337" s="382" t="str">
        <f t="shared" si="14"/>
        <v>Inviable Sanitariamente</v>
      </c>
      <c r="T337" s="184"/>
    </row>
    <row r="338" spans="1:20" s="181" customFormat="1" ht="32.1" customHeight="1" x14ac:dyDescent="0.2">
      <c r="A338" s="361" t="s">
        <v>151</v>
      </c>
      <c r="B338" s="362" t="s">
        <v>3125</v>
      </c>
      <c r="C338" s="362" t="s">
        <v>3126</v>
      </c>
      <c r="D338" s="364">
        <v>15</v>
      </c>
      <c r="E338" s="405"/>
      <c r="F338" s="405"/>
      <c r="G338" s="405">
        <v>97.3</v>
      </c>
      <c r="H338" s="405"/>
      <c r="I338" s="405"/>
      <c r="J338" s="405"/>
      <c r="K338" s="405"/>
      <c r="L338" s="405">
        <v>97.3</v>
      </c>
      <c r="M338" s="405"/>
      <c r="N338" s="405"/>
      <c r="O338" s="405">
        <v>97.3</v>
      </c>
      <c r="P338" s="405"/>
      <c r="Q338" s="382">
        <f t="shared" si="15"/>
        <v>97.3</v>
      </c>
      <c r="R338" s="382" t="str">
        <f t="shared" si="13"/>
        <v>NO</v>
      </c>
      <c r="S338" s="382" t="str">
        <f t="shared" si="14"/>
        <v>Inviable Sanitariamente</v>
      </c>
      <c r="T338" s="184"/>
    </row>
    <row r="339" spans="1:20" s="181" customFormat="1" ht="32.1" customHeight="1" x14ac:dyDescent="0.2">
      <c r="A339" s="361" t="s">
        <v>151</v>
      </c>
      <c r="B339" s="362" t="s">
        <v>3127</v>
      </c>
      <c r="C339" s="362" t="s">
        <v>3128</v>
      </c>
      <c r="D339" s="364">
        <v>50</v>
      </c>
      <c r="E339" s="405"/>
      <c r="F339" s="405"/>
      <c r="G339" s="405">
        <v>97.3</v>
      </c>
      <c r="H339" s="405"/>
      <c r="I339" s="405"/>
      <c r="J339" s="405"/>
      <c r="K339" s="405">
        <v>97.3</v>
      </c>
      <c r="L339" s="405"/>
      <c r="M339" s="405"/>
      <c r="N339" s="405"/>
      <c r="O339" s="405"/>
      <c r="P339" s="405"/>
      <c r="Q339" s="382">
        <f t="shared" si="15"/>
        <v>97.3</v>
      </c>
      <c r="R339" s="382" t="str">
        <f t="shared" si="13"/>
        <v>NO</v>
      </c>
      <c r="S339" s="382" t="str">
        <f t="shared" si="14"/>
        <v>Inviable Sanitariamente</v>
      </c>
      <c r="T339" s="184"/>
    </row>
    <row r="340" spans="1:20" s="181" customFormat="1" ht="32.1" customHeight="1" x14ac:dyDescent="0.2">
      <c r="A340" s="361" t="s">
        <v>151</v>
      </c>
      <c r="B340" s="362" t="s">
        <v>974</v>
      </c>
      <c r="C340" s="362" t="s">
        <v>3129</v>
      </c>
      <c r="D340" s="364">
        <v>37</v>
      </c>
      <c r="E340" s="405"/>
      <c r="F340" s="405"/>
      <c r="G340" s="405">
        <v>97.3</v>
      </c>
      <c r="H340" s="405"/>
      <c r="I340" s="405"/>
      <c r="J340" s="405"/>
      <c r="K340" s="405"/>
      <c r="L340" s="405"/>
      <c r="M340" s="405">
        <v>97.3</v>
      </c>
      <c r="N340" s="405"/>
      <c r="O340" s="405" t="s">
        <v>1600</v>
      </c>
      <c r="P340" s="405"/>
      <c r="Q340" s="382">
        <f t="shared" si="15"/>
        <v>97.3</v>
      </c>
      <c r="R340" s="382" t="str">
        <f t="shared" si="13"/>
        <v>NO</v>
      </c>
      <c r="S340" s="382" t="str">
        <f t="shared" si="14"/>
        <v>Inviable Sanitariamente</v>
      </c>
      <c r="T340" s="184"/>
    </row>
    <row r="341" spans="1:20" s="181" customFormat="1" ht="32.1" customHeight="1" x14ac:dyDescent="0.2">
      <c r="A341" s="361" t="s">
        <v>151</v>
      </c>
      <c r="B341" s="362" t="s">
        <v>3130</v>
      </c>
      <c r="C341" s="362" t="s">
        <v>3131</v>
      </c>
      <c r="D341" s="364">
        <v>28</v>
      </c>
      <c r="E341" s="405"/>
      <c r="F341" s="405"/>
      <c r="G341" s="405"/>
      <c r="H341" s="405"/>
      <c r="I341" s="405"/>
      <c r="J341" s="405">
        <v>97.3</v>
      </c>
      <c r="K341" s="405"/>
      <c r="L341" s="405"/>
      <c r="M341" s="405"/>
      <c r="N341" s="405">
        <v>97.3</v>
      </c>
      <c r="O341" s="405"/>
      <c r="P341" s="405"/>
      <c r="Q341" s="382">
        <f t="shared" si="15"/>
        <v>97.3</v>
      </c>
      <c r="R341" s="382" t="str">
        <f t="shared" si="13"/>
        <v>NO</v>
      </c>
      <c r="S341" s="382" t="str">
        <f t="shared" si="14"/>
        <v>Inviable Sanitariamente</v>
      </c>
      <c r="T341" s="184"/>
    </row>
    <row r="342" spans="1:20" s="181" customFormat="1" ht="32.1" customHeight="1" x14ac:dyDescent="0.2">
      <c r="A342" s="361" t="s">
        <v>151</v>
      </c>
      <c r="B342" s="362" t="s">
        <v>3132</v>
      </c>
      <c r="C342" s="362" t="s">
        <v>3133</v>
      </c>
      <c r="D342" s="364">
        <v>126</v>
      </c>
      <c r="E342" s="405"/>
      <c r="F342" s="405"/>
      <c r="G342" s="405"/>
      <c r="H342" s="405"/>
      <c r="I342" s="405"/>
      <c r="J342" s="405">
        <v>53.1</v>
      </c>
      <c r="K342" s="405">
        <v>97.3</v>
      </c>
      <c r="L342" s="405"/>
      <c r="M342" s="405"/>
      <c r="N342" s="405"/>
      <c r="O342" s="405"/>
      <c r="P342" s="405"/>
      <c r="Q342" s="382">
        <f t="shared" si="15"/>
        <v>75.2</v>
      </c>
      <c r="R342" s="382" t="str">
        <f t="shared" si="13"/>
        <v>NO</v>
      </c>
      <c r="S342" s="382" t="str">
        <f t="shared" si="14"/>
        <v>Alto</v>
      </c>
      <c r="T342" s="184"/>
    </row>
    <row r="343" spans="1:20" s="181" customFormat="1" ht="32.1" customHeight="1" x14ac:dyDescent="0.2">
      <c r="A343" s="361" t="s">
        <v>151</v>
      </c>
      <c r="B343" s="362" t="s">
        <v>3134</v>
      </c>
      <c r="C343" s="362" t="s">
        <v>3135</v>
      </c>
      <c r="D343" s="364">
        <v>56</v>
      </c>
      <c r="E343" s="405">
        <v>53.1</v>
      </c>
      <c r="F343" s="405"/>
      <c r="G343" s="405"/>
      <c r="H343" s="405"/>
      <c r="I343" s="405"/>
      <c r="J343" s="405"/>
      <c r="K343" s="405"/>
      <c r="L343" s="405"/>
      <c r="M343" s="405">
        <v>97.3</v>
      </c>
      <c r="N343" s="405"/>
      <c r="O343" s="405"/>
      <c r="P343" s="405"/>
      <c r="Q343" s="382">
        <f t="shared" si="15"/>
        <v>75.2</v>
      </c>
      <c r="R343" s="382" t="str">
        <f t="shared" si="13"/>
        <v>NO</v>
      </c>
      <c r="S343" s="382" t="str">
        <f t="shared" si="14"/>
        <v>Alto</v>
      </c>
      <c r="T343" s="184"/>
    </row>
    <row r="344" spans="1:20" s="181" customFormat="1" ht="32.1" customHeight="1" x14ac:dyDescent="0.2">
      <c r="A344" s="361" t="s">
        <v>151</v>
      </c>
      <c r="B344" s="362" t="s">
        <v>3136</v>
      </c>
      <c r="C344" s="362" t="s">
        <v>3137</v>
      </c>
      <c r="D344" s="364">
        <v>20</v>
      </c>
      <c r="E344" s="405"/>
      <c r="F344" s="405"/>
      <c r="G344" s="405"/>
      <c r="H344" s="405"/>
      <c r="I344" s="405"/>
      <c r="J344" s="405">
        <v>97.3</v>
      </c>
      <c r="K344" s="405"/>
      <c r="L344" s="405">
        <v>97.3</v>
      </c>
      <c r="M344" s="405"/>
      <c r="N344" s="405"/>
      <c r="O344" s="405"/>
      <c r="P344" s="405"/>
      <c r="Q344" s="382">
        <f t="shared" si="15"/>
        <v>97.3</v>
      </c>
      <c r="R344" s="382" t="str">
        <f t="shared" si="13"/>
        <v>NO</v>
      </c>
      <c r="S344" s="382" t="str">
        <f t="shared" si="14"/>
        <v>Inviable Sanitariamente</v>
      </c>
      <c r="T344" s="184"/>
    </row>
    <row r="345" spans="1:20" s="181" customFormat="1" ht="32.1" customHeight="1" x14ac:dyDescent="0.2">
      <c r="A345" s="361" t="s">
        <v>151</v>
      </c>
      <c r="B345" s="362" t="s">
        <v>3138</v>
      </c>
      <c r="C345" s="362" t="s">
        <v>3139</v>
      </c>
      <c r="D345" s="364">
        <v>83</v>
      </c>
      <c r="E345" s="405"/>
      <c r="F345" s="405"/>
      <c r="G345" s="405">
        <v>97.3</v>
      </c>
      <c r="H345" s="405"/>
      <c r="I345" s="405"/>
      <c r="J345" s="405"/>
      <c r="K345" s="405">
        <v>97.3</v>
      </c>
      <c r="L345" s="405"/>
      <c r="M345" s="405"/>
      <c r="N345" s="405"/>
      <c r="O345" s="405">
        <v>97.3</v>
      </c>
      <c r="P345" s="405"/>
      <c r="Q345" s="382">
        <f t="shared" si="15"/>
        <v>97.3</v>
      </c>
      <c r="R345" s="382" t="str">
        <f t="shared" si="13"/>
        <v>NO</v>
      </c>
      <c r="S345" s="382" t="str">
        <f t="shared" si="14"/>
        <v>Inviable Sanitariamente</v>
      </c>
      <c r="T345" s="184"/>
    </row>
    <row r="346" spans="1:20" s="181" customFormat="1" ht="32.1" customHeight="1" x14ac:dyDescent="0.2">
      <c r="A346" s="361" t="s">
        <v>151</v>
      </c>
      <c r="B346" s="362" t="s">
        <v>3140</v>
      </c>
      <c r="C346" s="362" t="s">
        <v>3141</v>
      </c>
      <c r="D346" s="364">
        <v>121</v>
      </c>
      <c r="E346" s="405"/>
      <c r="F346" s="405">
        <v>97.3</v>
      </c>
      <c r="G346" s="405"/>
      <c r="H346" s="405"/>
      <c r="I346" s="405"/>
      <c r="J346" s="405"/>
      <c r="K346" s="405"/>
      <c r="L346" s="405">
        <v>97.3</v>
      </c>
      <c r="M346" s="405"/>
      <c r="N346" s="405"/>
      <c r="O346" s="405"/>
      <c r="P346" s="405">
        <v>97.3</v>
      </c>
      <c r="Q346" s="382">
        <f t="shared" si="15"/>
        <v>97.3</v>
      </c>
      <c r="R346" s="382" t="str">
        <f t="shared" si="13"/>
        <v>NO</v>
      </c>
      <c r="S346" s="382" t="str">
        <f t="shared" si="14"/>
        <v>Inviable Sanitariamente</v>
      </c>
      <c r="T346" s="184"/>
    </row>
    <row r="347" spans="1:20" s="181" customFormat="1" ht="32.1" customHeight="1" x14ac:dyDescent="0.2">
      <c r="A347" s="361" t="s">
        <v>151</v>
      </c>
      <c r="B347" s="362" t="s">
        <v>3142</v>
      </c>
      <c r="C347" s="362" t="s">
        <v>3143</v>
      </c>
      <c r="D347" s="364">
        <v>52</v>
      </c>
      <c r="E347" s="405"/>
      <c r="F347" s="405"/>
      <c r="G347" s="405">
        <v>97.3</v>
      </c>
      <c r="H347" s="405"/>
      <c r="I347" s="405"/>
      <c r="J347" s="405"/>
      <c r="K347" s="405"/>
      <c r="L347" s="405">
        <v>97.3</v>
      </c>
      <c r="M347" s="405"/>
      <c r="N347" s="405"/>
      <c r="O347" s="405"/>
      <c r="P347" s="405"/>
      <c r="Q347" s="382">
        <f t="shared" si="15"/>
        <v>97.3</v>
      </c>
      <c r="R347" s="382" t="str">
        <f t="shared" si="13"/>
        <v>NO</v>
      </c>
      <c r="S347" s="382" t="str">
        <f t="shared" si="14"/>
        <v>Inviable Sanitariamente</v>
      </c>
      <c r="T347" s="184"/>
    </row>
    <row r="348" spans="1:20" s="181" customFormat="1" ht="32.1" customHeight="1" x14ac:dyDescent="0.2">
      <c r="A348" s="361" t="s">
        <v>151</v>
      </c>
      <c r="B348" s="362" t="s">
        <v>2</v>
      </c>
      <c r="C348" s="362" t="s">
        <v>3144</v>
      </c>
      <c r="D348" s="364">
        <v>10</v>
      </c>
      <c r="E348" s="405"/>
      <c r="F348" s="405">
        <v>97.3</v>
      </c>
      <c r="G348" s="405"/>
      <c r="H348" s="405"/>
      <c r="I348" s="405"/>
      <c r="J348" s="405"/>
      <c r="K348" s="405"/>
      <c r="L348" s="405"/>
      <c r="M348" s="405"/>
      <c r="N348" s="405">
        <v>97.3</v>
      </c>
      <c r="O348" s="405"/>
      <c r="P348" s="405"/>
      <c r="Q348" s="382">
        <f t="shared" si="15"/>
        <v>97.3</v>
      </c>
      <c r="R348" s="382" t="str">
        <f t="shared" si="13"/>
        <v>NO</v>
      </c>
      <c r="S348" s="382" t="str">
        <f t="shared" si="14"/>
        <v>Inviable Sanitariamente</v>
      </c>
      <c r="T348" s="184"/>
    </row>
    <row r="349" spans="1:20" s="181" customFormat="1" ht="32.1" customHeight="1" x14ac:dyDescent="0.2">
      <c r="A349" s="361" t="s">
        <v>151</v>
      </c>
      <c r="B349" s="362" t="s">
        <v>48</v>
      </c>
      <c r="C349" s="362" t="s">
        <v>547</v>
      </c>
      <c r="D349" s="364">
        <v>10</v>
      </c>
      <c r="E349" s="405"/>
      <c r="F349" s="405"/>
      <c r="G349" s="405"/>
      <c r="H349" s="405"/>
      <c r="I349" s="405"/>
      <c r="J349" s="405">
        <v>97.3</v>
      </c>
      <c r="K349" s="405">
        <v>97.3</v>
      </c>
      <c r="L349" s="405"/>
      <c r="M349" s="405"/>
      <c r="N349" s="405"/>
      <c r="O349" s="405"/>
      <c r="P349" s="405"/>
      <c r="Q349" s="382">
        <f t="shared" si="15"/>
        <v>97.3</v>
      </c>
      <c r="R349" s="382" t="str">
        <f t="shared" si="13"/>
        <v>NO</v>
      </c>
      <c r="S349" s="382" t="str">
        <f t="shared" si="14"/>
        <v>Inviable Sanitariamente</v>
      </c>
      <c r="T349" s="184"/>
    </row>
    <row r="350" spans="1:20" s="181" customFormat="1" ht="32.1" customHeight="1" x14ac:dyDescent="0.2">
      <c r="A350" s="361" t="s">
        <v>151</v>
      </c>
      <c r="B350" s="362" t="s">
        <v>3145</v>
      </c>
      <c r="C350" s="362" t="s">
        <v>3146</v>
      </c>
      <c r="D350" s="364">
        <v>20</v>
      </c>
      <c r="E350" s="405"/>
      <c r="F350" s="405"/>
      <c r="G350" s="405"/>
      <c r="H350" s="405"/>
      <c r="I350" s="405"/>
      <c r="J350" s="405">
        <v>53.1</v>
      </c>
      <c r="K350" s="405"/>
      <c r="L350" s="405"/>
      <c r="M350" s="405"/>
      <c r="N350" s="405">
        <v>97.3</v>
      </c>
      <c r="O350" s="405"/>
      <c r="P350" s="405"/>
      <c r="Q350" s="382">
        <f t="shared" si="15"/>
        <v>75.2</v>
      </c>
      <c r="R350" s="382" t="str">
        <f t="shared" si="13"/>
        <v>NO</v>
      </c>
      <c r="S350" s="382" t="str">
        <f t="shared" si="14"/>
        <v>Alto</v>
      </c>
      <c r="T350" s="184"/>
    </row>
    <row r="351" spans="1:20" s="181" customFormat="1" ht="32.1" customHeight="1" x14ac:dyDescent="0.2">
      <c r="A351" s="361" t="s">
        <v>151</v>
      </c>
      <c r="B351" s="362" t="s">
        <v>1763</v>
      </c>
      <c r="C351" s="362" t="s">
        <v>3147</v>
      </c>
      <c r="D351" s="364">
        <v>22</v>
      </c>
      <c r="E351" s="405"/>
      <c r="F351" s="405">
        <v>97.3</v>
      </c>
      <c r="G351" s="405"/>
      <c r="H351" s="405"/>
      <c r="I351" s="405"/>
      <c r="J351" s="405"/>
      <c r="K351" s="405"/>
      <c r="L351" s="405"/>
      <c r="M351" s="405">
        <v>97.3</v>
      </c>
      <c r="N351" s="405"/>
      <c r="O351" s="405"/>
      <c r="P351" s="405"/>
      <c r="Q351" s="382">
        <f t="shared" si="15"/>
        <v>97.3</v>
      </c>
      <c r="R351" s="382" t="str">
        <f t="shared" si="13"/>
        <v>NO</v>
      </c>
      <c r="S351" s="382" t="str">
        <f t="shared" si="14"/>
        <v>Inviable Sanitariamente</v>
      </c>
      <c r="T351" s="184"/>
    </row>
    <row r="352" spans="1:20" s="181" customFormat="1" ht="32.1" customHeight="1" x14ac:dyDescent="0.2">
      <c r="A352" s="361" t="s">
        <v>151</v>
      </c>
      <c r="B352" s="362" t="s">
        <v>3148</v>
      </c>
      <c r="C352" s="362" t="s">
        <v>3149</v>
      </c>
      <c r="D352" s="364">
        <v>72</v>
      </c>
      <c r="E352" s="405">
        <v>97.3</v>
      </c>
      <c r="F352" s="405"/>
      <c r="G352" s="405"/>
      <c r="H352" s="405"/>
      <c r="I352" s="405"/>
      <c r="J352" s="405"/>
      <c r="K352" s="405">
        <v>97.3</v>
      </c>
      <c r="L352" s="405"/>
      <c r="M352" s="405"/>
      <c r="N352" s="405"/>
      <c r="O352" s="405"/>
      <c r="P352" s="405"/>
      <c r="Q352" s="382">
        <f t="shared" si="15"/>
        <v>97.3</v>
      </c>
      <c r="R352" s="382" t="str">
        <f t="shared" ref="R352:R419" si="16">IF(Q352&lt;5,"SI","NO")</f>
        <v>NO</v>
      </c>
      <c r="S352" s="382" t="str">
        <f t="shared" si="14"/>
        <v>Inviable Sanitariamente</v>
      </c>
      <c r="T352" s="184"/>
    </row>
    <row r="353" spans="1:20" s="181" customFormat="1" ht="32.1" customHeight="1" x14ac:dyDescent="0.2">
      <c r="A353" s="361" t="s">
        <v>151</v>
      </c>
      <c r="B353" s="362" t="s">
        <v>3150</v>
      </c>
      <c r="C353" s="362" t="s">
        <v>3151</v>
      </c>
      <c r="D353" s="364">
        <v>15</v>
      </c>
      <c r="E353" s="405"/>
      <c r="F353" s="405"/>
      <c r="G353" s="405">
        <v>97.3</v>
      </c>
      <c r="H353" s="405"/>
      <c r="I353" s="405"/>
      <c r="J353" s="405"/>
      <c r="K353" s="405"/>
      <c r="L353" s="405"/>
      <c r="M353" s="405"/>
      <c r="N353" s="405"/>
      <c r="O353" s="405"/>
      <c r="P353" s="405"/>
      <c r="Q353" s="382">
        <f t="shared" si="15"/>
        <v>97.3</v>
      </c>
      <c r="R353" s="382" t="str">
        <f t="shared" si="16"/>
        <v>NO</v>
      </c>
      <c r="S353" s="382" t="str">
        <f t="shared" ref="S353:S420" si="17">IF(Q353&lt;=5,"Sin Riesgo",IF(Q353 &lt;=14,"Bajo",IF(Q353&lt;=35,"Medio",IF(Q353&lt;=80,"Alto","Inviable Sanitariamente"))))</f>
        <v>Inviable Sanitariamente</v>
      </c>
      <c r="T353" s="184"/>
    </row>
    <row r="354" spans="1:20" s="181" customFormat="1" ht="32.1" customHeight="1" x14ac:dyDescent="0.2">
      <c r="A354" s="361" t="s">
        <v>151</v>
      </c>
      <c r="B354" s="362" t="s">
        <v>4451</v>
      </c>
      <c r="C354" s="362" t="s">
        <v>4452</v>
      </c>
      <c r="D354" s="364">
        <v>20</v>
      </c>
      <c r="E354" s="405"/>
      <c r="F354" s="405">
        <v>97.3</v>
      </c>
      <c r="G354" s="405"/>
      <c r="H354" s="405"/>
      <c r="I354" s="405"/>
      <c r="J354" s="405"/>
      <c r="K354" s="405"/>
      <c r="L354" s="405"/>
      <c r="M354" s="405">
        <v>97.3</v>
      </c>
      <c r="N354" s="405"/>
      <c r="O354" s="405"/>
      <c r="P354" s="405"/>
      <c r="Q354" s="382">
        <f>AVERAGE(E354:P354)</f>
        <v>97.3</v>
      </c>
      <c r="R354" s="382" t="str">
        <f t="shared" si="16"/>
        <v>NO</v>
      </c>
      <c r="S354" s="382" t="str">
        <f t="shared" si="17"/>
        <v>Inviable Sanitariamente</v>
      </c>
      <c r="T354" s="184"/>
    </row>
    <row r="355" spans="1:20" s="181" customFormat="1" ht="32.1" customHeight="1" x14ac:dyDescent="0.2">
      <c r="A355" s="361" t="s">
        <v>152</v>
      </c>
      <c r="B355" s="362" t="s">
        <v>70</v>
      </c>
      <c r="C355" s="362" t="s">
        <v>3153</v>
      </c>
      <c r="D355" s="364">
        <v>84</v>
      </c>
      <c r="E355" s="405"/>
      <c r="F355" s="405"/>
      <c r="G355" s="405"/>
      <c r="H355" s="405"/>
      <c r="I355" s="405"/>
      <c r="J355" s="405"/>
      <c r="K355" s="405"/>
      <c r="L355" s="405"/>
      <c r="M355" s="405"/>
      <c r="N355" s="405">
        <v>97.3</v>
      </c>
      <c r="O355" s="405"/>
      <c r="P355" s="405"/>
      <c r="Q355" s="382">
        <f t="shared" si="15"/>
        <v>97.3</v>
      </c>
      <c r="R355" s="382" t="str">
        <f t="shared" si="16"/>
        <v>NO</v>
      </c>
      <c r="S355" s="382" t="str">
        <f t="shared" si="17"/>
        <v>Inviable Sanitariamente</v>
      </c>
      <c r="T355" s="184"/>
    </row>
    <row r="356" spans="1:20" s="181" customFormat="1" ht="32.1" customHeight="1" x14ac:dyDescent="0.2">
      <c r="A356" s="361" t="s">
        <v>152</v>
      </c>
      <c r="B356" s="362" t="s">
        <v>2298</v>
      </c>
      <c r="C356" s="362" t="s">
        <v>3154</v>
      </c>
      <c r="D356" s="364">
        <v>375</v>
      </c>
      <c r="E356" s="405"/>
      <c r="F356" s="405"/>
      <c r="G356" s="405"/>
      <c r="H356" s="405"/>
      <c r="I356" s="405"/>
      <c r="J356" s="405"/>
      <c r="K356" s="405"/>
      <c r="L356" s="405"/>
      <c r="M356" s="405"/>
      <c r="N356" s="405"/>
      <c r="O356" s="405">
        <v>97.3</v>
      </c>
      <c r="P356" s="405"/>
      <c r="Q356" s="382">
        <f t="shared" si="15"/>
        <v>97.3</v>
      </c>
      <c r="R356" s="382" t="str">
        <f t="shared" si="16"/>
        <v>NO</v>
      </c>
      <c r="S356" s="382" t="str">
        <f t="shared" si="17"/>
        <v>Inviable Sanitariamente</v>
      </c>
      <c r="T356" s="184"/>
    </row>
    <row r="357" spans="1:20" s="181" customFormat="1" ht="32.1" customHeight="1" x14ac:dyDescent="0.2">
      <c r="A357" s="361" t="s">
        <v>152</v>
      </c>
      <c r="B357" s="362" t="s">
        <v>3155</v>
      </c>
      <c r="C357" s="362" t="s">
        <v>3156</v>
      </c>
      <c r="D357" s="364">
        <v>125</v>
      </c>
      <c r="E357" s="405"/>
      <c r="F357" s="405"/>
      <c r="G357" s="405"/>
      <c r="H357" s="405"/>
      <c r="I357" s="405"/>
      <c r="J357" s="405"/>
      <c r="K357" s="405"/>
      <c r="L357" s="405"/>
      <c r="M357" s="405"/>
      <c r="N357" s="405"/>
      <c r="O357" s="405">
        <v>97.3</v>
      </c>
      <c r="P357" s="405"/>
      <c r="Q357" s="382">
        <f t="shared" si="15"/>
        <v>97.3</v>
      </c>
      <c r="R357" s="382" t="str">
        <f t="shared" si="16"/>
        <v>NO</v>
      </c>
      <c r="S357" s="382" t="str">
        <f t="shared" si="17"/>
        <v>Inviable Sanitariamente</v>
      </c>
      <c r="T357" s="184"/>
    </row>
    <row r="358" spans="1:20" s="181" customFormat="1" ht="32.1" customHeight="1" x14ac:dyDescent="0.2">
      <c r="A358" s="361" t="s">
        <v>152</v>
      </c>
      <c r="B358" s="362" t="s">
        <v>3157</v>
      </c>
      <c r="C358" s="362" t="s">
        <v>3158</v>
      </c>
      <c r="D358" s="364">
        <v>153</v>
      </c>
      <c r="E358" s="405">
        <v>38.700000000000003</v>
      </c>
      <c r="F358" s="405">
        <v>0</v>
      </c>
      <c r="G358" s="405">
        <v>19.399999999999999</v>
      </c>
      <c r="H358" s="405">
        <v>19.399999999999999</v>
      </c>
      <c r="I358" s="405">
        <v>39.1</v>
      </c>
      <c r="J358" s="405">
        <v>46.5</v>
      </c>
      <c r="K358" s="405"/>
      <c r="L358" s="405"/>
      <c r="M358" s="405"/>
      <c r="N358" s="405"/>
      <c r="O358" s="405"/>
      <c r="P358" s="405"/>
      <c r="Q358" s="382">
        <f t="shared" si="15"/>
        <v>27.183333333333334</v>
      </c>
      <c r="R358" s="382" t="str">
        <f t="shared" si="16"/>
        <v>NO</v>
      </c>
      <c r="S358" s="382" t="str">
        <f t="shared" si="17"/>
        <v>Medio</v>
      </c>
      <c r="T358" s="184"/>
    </row>
    <row r="359" spans="1:20" s="181" customFormat="1" ht="32.1" customHeight="1" x14ac:dyDescent="0.2">
      <c r="A359" s="361" t="s">
        <v>152</v>
      </c>
      <c r="B359" s="362" t="s">
        <v>3159</v>
      </c>
      <c r="C359" s="362" t="s">
        <v>3160</v>
      </c>
      <c r="D359" s="364">
        <v>80</v>
      </c>
      <c r="E359" s="405"/>
      <c r="F359" s="405"/>
      <c r="G359" s="405"/>
      <c r="H359" s="405"/>
      <c r="I359" s="405"/>
      <c r="J359" s="405"/>
      <c r="K359" s="405"/>
      <c r="L359" s="405"/>
      <c r="M359" s="405"/>
      <c r="N359" s="405">
        <v>97.3</v>
      </c>
      <c r="O359" s="405"/>
      <c r="P359" s="405"/>
      <c r="Q359" s="382">
        <f t="shared" si="15"/>
        <v>97.3</v>
      </c>
      <c r="R359" s="382" t="str">
        <f t="shared" si="16"/>
        <v>NO</v>
      </c>
      <c r="S359" s="382" t="str">
        <f t="shared" si="17"/>
        <v>Inviable Sanitariamente</v>
      </c>
      <c r="T359" s="184"/>
    </row>
    <row r="360" spans="1:20" s="181" customFormat="1" ht="32.1" customHeight="1" x14ac:dyDescent="0.2">
      <c r="A360" s="361" t="s">
        <v>152</v>
      </c>
      <c r="B360" s="362" t="s">
        <v>3161</v>
      </c>
      <c r="C360" s="362" t="s">
        <v>3162</v>
      </c>
      <c r="D360" s="364">
        <v>270</v>
      </c>
      <c r="E360" s="405">
        <v>0</v>
      </c>
      <c r="F360" s="405">
        <v>0</v>
      </c>
      <c r="G360" s="405">
        <v>0</v>
      </c>
      <c r="H360" s="405">
        <v>0</v>
      </c>
      <c r="I360" s="405">
        <v>0</v>
      </c>
      <c r="J360" s="405">
        <v>6.5</v>
      </c>
      <c r="K360" s="405"/>
      <c r="L360" s="405"/>
      <c r="M360" s="405"/>
      <c r="N360" s="405"/>
      <c r="O360" s="405"/>
      <c r="P360" s="405"/>
      <c r="Q360" s="382">
        <f t="shared" si="15"/>
        <v>1.0833333333333333</v>
      </c>
      <c r="R360" s="382" t="str">
        <f t="shared" si="16"/>
        <v>SI</v>
      </c>
      <c r="S360" s="382" t="str">
        <f t="shared" si="17"/>
        <v>Sin Riesgo</v>
      </c>
      <c r="T360" s="184"/>
    </row>
    <row r="361" spans="1:20" s="181" customFormat="1" ht="32.1" customHeight="1" x14ac:dyDescent="0.2">
      <c r="A361" s="361" t="s">
        <v>152</v>
      </c>
      <c r="B361" s="362" t="s">
        <v>3163</v>
      </c>
      <c r="C361" s="362" t="s">
        <v>3164</v>
      </c>
      <c r="D361" s="364">
        <v>71</v>
      </c>
      <c r="E361" s="405"/>
      <c r="F361" s="405"/>
      <c r="G361" s="405"/>
      <c r="H361" s="405"/>
      <c r="I361" s="405"/>
      <c r="J361" s="405"/>
      <c r="K361" s="405"/>
      <c r="L361" s="405"/>
      <c r="M361" s="405"/>
      <c r="N361" s="405">
        <v>97.3</v>
      </c>
      <c r="O361" s="405"/>
      <c r="P361" s="405"/>
      <c r="Q361" s="382">
        <f t="shared" si="15"/>
        <v>97.3</v>
      </c>
      <c r="R361" s="382" t="str">
        <f t="shared" si="16"/>
        <v>NO</v>
      </c>
      <c r="S361" s="382" t="str">
        <f t="shared" si="17"/>
        <v>Inviable Sanitariamente</v>
      </c>
      <c r="T361" s="184"/>
    </row>
    <row r="362" spans="1:20" s="181" customFormat="1" ht="32.1" customHeight="1" x14ac:dyDescent="0.2">
      <c r="A362" s="361" t="s">
        <v>152</v>
      </c>
      <c r="B362" s="362" t="s">
        <v>3165</v>
      </c>
      <c r="C362" s="362" t="s">
        <v>4453</v>
      </c>
      <c r="D362" s="364"/>
      <c r="E362" s="405"/>
      <c r="F362" s="405"/>
      <c r="G362" s="405"/>
      <c r="H362" s="405"/>
      <c r="I362" s="405"/>
      <c r="J362" s="405"/>
      <c r="K362" s="405"/>
      <c r="L362" s="405"/>
      <c r="M362" s="405"/>
      <c r="N362" s="405"/>
      <c r="O362" s="405">
        <v>97.3</v>
      </c>
      <c r="P362" s="405"/>
      <c r="Q362" s="382">
        <f t="shared" si="15"/>
        <v>97.3</v>
      </c>
      <c r="R362" s="382" t="str">
        <f t="shared" si="16"/>
        <v>NO</v>
      </c>
      <c r="S362" s="382" t="str">
        <f t="shared" si="17"/>
        <v>Inviable Sanitariamente</v>
      </c>
      <c r="T362" s="184"/>
    </row>
    <row r="363" spans="1:20" s="181" customFormat="1" ht="50.1" customHeight="1" x14ac:dyDescent="0.2">
      <c r="A363" s="361" t="s">
        <v>153</v>
      </c>
      <c r="B363" s="362" t="s">
        <v>3166</v>
      </c>
      <c r="C363" s="362" t="s">
        <v>4138</v>
      </c>
      <c r="D363" s="364">
        <v>20</v>
      </c>
      <c r="E363" s="405"/>
      <c r="F363" s="405"/>
      <c r="G363" s="405"/>
      <c r="H363" s="405"/>
      <c r="I363" s="405"/>
      <c r="J363" s="405"/>
      <c r="K363" s="405"/>
      <c r="L363" s="405"/>
      <c r="M363" s="405"/>
      <c r="N363" s="405"/>
      <c r="O363" s="405"/>
      <c r="P363" s="405"/>
      <c r="Q363" s="382" t="e">
        <f t="shared" si="15"/>
        <v>#DIV/0!</v>
      </c>
      <c r="R363" s="382" t="e">
        <f t="shared" si="16"/>
        <v>#DIV/0!</v>
      </c>
      <c r="S363" s="382" t="e">
        <f t="shared" si="17"/>
        <v>#DIV/0!</v>
      </c>
      <c r="T363" s="184"/>
    </row>
    <row r="364" spans="1:20" s="181" customFormat="1" ht="50.1" customHeight="1" x14ac:dyDescent="0.2">
      <c r="A364" s="361" t="s">
        <v>153</v>
      </c>
      <c r="B364" s="362" t="s">
        <v>3167</v>
      </c>
      <c r="C364" s="362" t="s">
        <v>4139</v>
      </c>
      <c r="D364" s="364">
        <v>18</v>
      </c>
      <c r="E364" s="405"/>
      <c r="F364" s="405"/>
      <c r="G364" s="405"/>
      <c r="H364" s="405"/>
      <c r="I364" s="405"/>
      <c r="J364" s="405"/>
      <c r="K364" s="405"/>
      <c r="L364" s="405"/>
      <c r="M364" s="405"/>
      <c r="N364" s="405"/>
      <c r="O364" s="405"/>
      <c r="P364" s="405"/>
      <c r="Q364" s="382" t="e">
        <f t="shared" si="15"/>
        <v>#DIV/0!</v>
      </c>
      <c r="R364" s="382" t="e">
        <f t="shared" si="16"/>
        <v>#DIV/0!</v>
      </c>
      <c r="S364" s="382" t="e">
        <f t="shared" si="17"/>
        <v>#DIV/0!</v>
      </c>
      <c r="T364" s="184"/>
    </row>
    <row r="365" spans="1:20" s="181" customFormat="1" ht="50.1" customHeight="1" x14ac:dyDescent="0.2">
      <c r="A365" s="361" t="s">
        <v>153</v>
      </c>
      <c r="B365" s="362" t="s">
        <v>3168</v>
      </c>
      <c r="C365" s="362" t="s">
        <v>4140</v>
      </c>
      <c r="D365" s="364">
        <v>20</v>
      </c>
      <c r="E365" s="405"/>
      <c r="F365" s="405"/>
      <c r="G365" s="405"/>
      <c r="H365" s="405"/>
      <c r="I365" s="405"/>
      <c r="J365" s="405"/>
      <c r="K365" s="405"/>
      <c r="L365" s="405"/>
      <c r="M365" s="405"/>
      <c r="N365" s="405"/>
      <c r="O365" s="405"/>
      <c r="P365" s="405"/>
      <c r="Q365" s="382" t="e">
        <f t="shared" si="15"/>
        <v>#DIV/0!</v>
      </c>
      <c r="R365" s="382" t="e">
        <f t="shared" si="16"/>
        <v>#DIV/0!</v>
      </c>
      <c r="S365" s="382" t="e">
        <f t="shared" si="17"/>
        <v>#DIV/0!</v>
      </c>
      <c r="T365" s="184"/>
    </row>
    <row r="366" spans="1:20" s="181" customFormat="1" ht="50.1" customHeight="1" x14ac:dyDescent="0.2">
      <c r="A366" s="361" t="s">
        <v>153</v>
      </c>
      <c r="B366" s="362" t="s">
        <v>3169</v>
      </c>
      <c r="C366" s="362" t="s">
        <v>4141</v>
      </c>
      <c r="D366" s="364">
        <v>27</v>
      </c>
      <c r="E366" s="405"/>
      <c r="F366" s="405"/>
      <c r="G366" s="405"/>
      <c r="H366" s="405"/>
      <c r="I366" s="405"/>
      <c r="J366" s="405"/>
      <c r="K366" s="405"/>
      <c r="L366" s="405"/>
      <c r="M366" s="405"/>
      <c r="N366" s="405"/>
      <c r="O366" s="405"/>
      <c r="P366" s="405"/>
      <c r="Q366" s="382" t="e">
        <f t="shared" si="15"/>
        <v>#DIV/0!</v>
      </c>
      <c r="R366" s="382" t="e">
        <f t="shared" si="16"/>
        <v>#DIV/0!</v>
      </c>
      <c r="S366" s="382" t="e">
        <f t="shared" si="17"/>
        <v>#DIV/0!</v>
      </c>
      <c r="T366" s="184"/>
    </row>
    <row r="367" spans="1:20" s="181" customFormat="1" ht="50.1" customHeight="1" x14ac:dyDescent="0.2">
      <c r="A367" s="361" t="s">
        <v>153</v>
      </c>
      <c r="B367" s="362" t="s">
        <v>3170</v>
      </c>
      <c r="C367" s="362" t="s">
        <v>4142</v>
      </c>
      <c r="D367" s="364">
        <v>32</v>
      </c>
      <c r="E367" s="405"/>
      <c r="F367" s="405"/>
      <c r="G367" s="405"/>
      <c r="H367" s="405"/>
      <c r="I367" s="405"/>
      <c r="J367" s="405"/>
      <c r="K367" s="405"/>
      <c r="L367" s="405"/>
      <c r="M367" s="405"/>
      <c r="N367" s="405"/>
      <c r="O367" s="405"/>
      <c r="P367" s="405"/>
      <c r="Q367" s="382" t="e">
        <f t="shared" si="15"/>
        <v>#DIV/0!</v>
      </c>
      <c r="R367" s="382" t="e">
        <f t="shared" si="16"/>
        <v>#DIV/0!</v>
      </c>
      <c r="S367" s="382" t="e">
        <f t="shared" si="17"/>
        <v>#DIV/0!</v>
      </c>
      <c r="T367" s="184"/>
    </row>
    <row r="368" spans="1:20" s="181" customFormat="1" ht="50.1" customHeight="1" x14ac:dyDescent="0.2">
      <c r="A368" s="361" t="s">
        <v>153</v>
      </c>
      <c r="B368" s="362" t="s">
        <v>3171</v>
      </c>
      <c r="C368" s="362" t="s">
        <v>4143</v>
      </c>
      <c r="D368" s="364">
        <v>28</v>
      </c>
      <c r="E368" s="405"/>
      <c r="F368" s="405"/>
      <c r="G368" s="405"/>
      <c r="H368" s="405"/>
      <c r="I368" s="405"/>
      <c r="J368" s="405"/>
      <c r="K368" s="405"/>
      <c r="L368" s="405"/>
      <c r="M368" s="405"/>
      <c r="N368" s="405"/>
      <c r="O368" s="405"/>
      <c r="P368" s="405"/>
      <c r="Q368" s="382" t="e">
        <f t="shared" ref="Q368:Q434" si="18">AVERAGE(E368:P368)</f>
        <v>#DIV/0!</v>
      </c>
      <c r="R368" s="382" t="e">
        <f t="shared" si="16"/>
        <v>#DIV/0!</v>
      </c>
      <c r="S368" s="382" t="e">
        <f t="shared" si="17"/>
        <v>#DIV/0!</v>
      </c>
      <c r="T368" s="184"/>
    </row>
    <row r="369" spans="1:20" s="181" customFormat="1" ht="50.1" customHeight="1" x14ac:dyDescent="0.2">
      <c r="A369" s="361" t="s">
        <v>153</v>
      </c>
      <c r="B369" s="362" t="s">
        <v>3172</v>
      </c>
      <c r="C369" s="362" t="s">
        <v>4144</v>
      </c>
      <c r="D369" s="364">
        <v>157</v>
      </c>
      <c r="E369" s="405"/>
      <c r="F369" s="405"/>
      <c r="G369" s="405"/>
      <c r="H369" s="405">
        <v>97.3</v>
      </c>
      <c r="I369" s="405"/>
      <c r="J369" s="405"/>
      <c r="K369" s="405"/>
      <c r="L369" s="405"/>
      <c r="M369" s="405"/>
      <c r="N369" s="405"/>
      <c r="O369" s="405"/>
      <c r="P369" s="405"/>
      <c r="Q369" s="382">
        <f t="shared" si="18"/>
        <v>97.3</v>
      </c>
      <c r="R369" s="382" t="str">
        <f t="shared" si="16"/>
        <v>NO</v>
      </c>
      <c r="S369" s="382" t="str">
        <f t="shared" si="17"/>
        <v>Inviable Sanitariamente</v>
      </c>
      <c r="T369" s="184"/>
    </row>
    <row r="370" spans="1:20" s="181" customFormat="1" ht="50.1" customHeight="1" x14ac:dyDescent="0.2">
      <c r="A370" s="361" t="s">
        <v>153</v>
      </c>
      <c r="B370" s="362" t="s">
        <v>91</v>
      </c>
      <c r="C370" s="362" t="s">
        <v>4146</v>
      </c>
      <c r="D370" s="364">
        <v>19</v>
      </c>
      <c r="E370" s="405"/>
      <c r="F370" s="405"/>
      <c r="G370" s="405"/>
      <c r="H370" s="405"/>
      <c r="I370" s="405"/>
      <c r="J370" s="405"/>
      <c r="K370" s="405"/>
      <c r="L370" s="405"/>
      <c r="M370" s="405"/>
      <c r="N370" s="405"/>
      <c r="O370" s="405"/>
      <c r="P370" s="405"/>
      <c r="Q370" s="382" t="e">
        <f t="shared" si="18"/>
        <v>#DIV/0!</v>
      </c>
      <c r="R370" s="382" t="e">
        <f t="shared" si="16"/>
        <v>#DIV/0!</v>
      </c>
      <c r="S370" s="382" t="e">
        <f t="shared" si="17"/>
        <v>#DIV/0!</v>
      </c>
      <c r="T370" s="184"/>
    </row>
    <row r="371" spans="1:20" s="181" customFormat="1" ht="50.1" customHeight="1" x14ac:dyDescent="0.2">
      <c r="A371" s="361" t="s">
        <v>153</v>
      </c>
      <c r="B371" s="362" t="s">
        <v>3173</v>
      </c>
      <c r="C371" s="362" t="s">
        <v>4145</v>
      </c>
      <c r="D371" s="364">
        <v>28</v>
      </c>
      <c r="E371" s="405"/>
      <c r="F371" s="405"/>
      <c r="G371" s="405"/>
      <c r="H371" s="405"/>
      <c r="I371" s="405"/>
      <c r="J371" s="405"/>
      <c r="K371" s="405"/>
      <c r="L371" s="405"/>
      <c r="M371" s="405"/>
      <c r="N371" s="405"/>
      <c r="O371" s="405"/>
      <c r="P371" s="405"/>
      <c r="Q371" s="382" t="e">
        <f t="shared" si="18"/>
        <v>#DIV/0!</v>
      </c>
      <c r="R371" s="382" t="e">
        <f t="shared" si="16"/>
        <v>#DIV/0!</v>
      </c>
      <c r="S371" s="382" t="e">
        <f t="shared" si="17"/>
        <v>#DIV/0!</v>
      </c>
      <c r="T371" s="184"/>
    </row>
    <row r="372" spans="1:20" s="181" customFormat="1" ht="50.1" customHeight="1" x14ac:dyDescent="0.2">
      <c r="A372" s="361" t="s">
        <v>153</v>
      </c>
      <c r="B372" s="362" t="s">
        <v>3174</v>
      </c>
      <c r="C372" s="362" t="s">
        <v>4147</v>
      </c>
      <c r="D372" s="364">
        <v>32</v>
      </c>
      <c r="E372" s="405"/>
      <c r="F372" s="405"/>
      <c r="G372" s="405">
        <v>97.3</v>
      </c>
      <c r="H372" s="405"/>
      <c r="I372" s="405"/>
      <c r="J372" s="405"/>
      <c r="K372" s="405"/>
      <c r="L372" s="405"/>
      <c r="M372" s="405"/>
      <c r="N372" s="405"/>
      <c r="O372" s="405"/>
      <c r="P372" s="405"/>
      <c r="Q372" s="382">
        <f t="shared" si="18"/>
        <v>97.3</v>
      </c>
      <c r="R372" s="382" t="str">
        <f t="shared" si="16"/>
        <v>NO</v>
      </c>
      <c r="S372" s="382" t="str">
        <f t="shared" si="17"/>
        <v>Inviable Sanitariamente</v>
      </c>
      <c r="T372" s="184"/>
    </row>
    <row r="373" spans="1:20" s="181" customFormat="1" ht="50.1" customHeight="1" x14ac:dyDescent="0.2">
      <c r="A373" s="361" t="s">
        <v>153</v>
      </c>
      <c r="B373" s="362" t="s">
        <v>4454</v>
      </c>
      <c r="C373" s="362" t="s">
        <v>4148</v>
      </c>
      <c r="D373" s="364">
        <v>20</v>
      </c>
      <c r="E373" s="405"/>
      <c r="F373" s="405"/>
      <c r="G373" s="405"/>
      <c r="H373" s="405">
        <v>97.3</v>
      </c>
      <c r="I373" s="405"/>
      <c r="J373" s="405"/>
      <c r="K373" s="405"/>
      <c r="L373" s="405"/>
      <c r="M373" s="405"/>
      <c r="N373" s="405"/>
      <c r="O373" s="405"/>
      <c r="P373" s="405"/>
      <c r="Q373" s="382">
        <f t="shared" si="18"/>
        <v>97.3</v>
      </c>
      <c r="R373" s="382" t="str">
        <f t="shared" si="16"/>
        <v>NO</v>
      </c>
      <c r="S373" s="382" t="str">
        <f t="shared" si="17"/>
        <v>Inviable Sanitariamente</v>
      </c>
      <c r="T373" s="184"/>
    </row>
    <row r="374" spans="1:20" s="181" customFormat="1" ht="50.1" customHeight="1" x14ac:dyDescent="0.2">
      <c r="A374" s="361" t="s">
        <v>153</v>
      </c>
      <c r="B374" s="362" t="s">
        <v>3175</v>
      </c>
      <c r="C374" s="362" t="s">
        <v>4149</v>
      </c>
      <c r="D374" s="364">
        <v>16</v>
      </c>
      <c r="E374" s="405"/>
      <c r="F374" s="405"/>
      <c r="G374" s="405"/>
      <c r="H374" s="405"/>
      <c r="I374" s="405"/>
      <c r="J374" s="405"/>
      <c r="K374" s="405"/>
      <c r="L374" s="405"/>
      <c r="M374" s="405"/>
      <c r="N374" s="405"/>
      <c r="O374" s="405"/>
      <c r="P374" s="405"/>
      <c r="Q374" s="382" t="e">
        <f t="shared" si="18"/>
        <v>#DIV/0!</v>
      </c>
      <c r="R374" s="382" t="e">
        <f t="shared" si="16"/>
        <v>#DIV/0!</v>
      </c>
      <c r="S374" s="382" t="e">
        <f t="shared" si="17"/>
        <v>#DIV/0!</v>
      </c>
      <c r="T374" s="184"/>
    </row>
    <row r="375" spans="1:20" s="181" customFormat="1" ht="50.1" customHeight="1" x14ac:dyDescent="0.2">
      <c r="A375" s="361" t="s">
        <v>153</v>
      </c>
      <c r="B375" s="362" t="s">
        <v>1178</v>
      </c>
      <c r="C375" s="362" t="s">
        <v>4151</v>
      </c>
      <c r="D375" s="364">
        <v>25</v>
      </c>
      <c r="E375" s="405"/>
      <c r="F375" s="405"/>
      <c r="G375" s="405">
        <v>97.3</v>
      </c>
      <c r="H375" s="405"/>
      <c r="I375" s="405"/>
      <c r="J375" s="405"/>
      <c r="K375" s="405"/>
      <c r="L375" s="405"/>
      <c r="M375" s="405"/>
      <c r="N375" s="405"/>
      <c r="O375" s="405"/>
      <c r="P375" s="405"/>
      <c r="Q375" s="382">
        <f t="shared" si="18"/>
        <v>97.3</v>
      </c>
      <c r="R375" s="382" t="str">
        <f t="shared" si="16"/>
        <v>NO</v>
      </c>
      <c r="S375" s="382" t="str">
        <f t="shared" si="17"/>
        <v>Inviable Sanitariamente</v>
      </c>
      <c r="T375" s="184"/>
    </row>
    <row r="376" spans="1:20" s="181" customFormat="1" ht="50.1" customHeight="1" x14ac:dyDescent="0.2">
      <c r="A376" s="361" t="s">
        <v>153</v>
      </c>
      <c r="B376" s="362" t="s">
        <v>3176</v>
      </c>
      <c r="C376" s="362" t="s">
        <v>4150</v>
      </c>
      <c r="D376" s="364">
        <v>18</v>
      </c>
      <c r="E376" s="405"/>
      <c r="F376" s="405"/>
      <c r="G376" s="405"/>
      <c r="H376" s="405"/>
      <c r="I376" s="405">
        <v>97.3</v>
      </c>
      <c r="J376" s="405"/>
      <c r="K376" s="405"/>
      <c r="L376" s="405"/>
      <c r="M376" s="405"/>
      <c r="N376" s="405"/>
      <c r="O376" s="405"/>
      <c r="P376" s="405"/>
      <c r="Q376" s="382">
        <f t="shared" si="18"/>
        <v>97.3</v>
      </c>
      <c r="R376" s="382" t="str">
        <f t="shared" si="16"/>
        <v>NO</v>
      </c>
      <c r="S376" s="382" t="str">
        <f t="shared" si="17"/>
        <v>Inviable Sanitariamente</v>
      </c>
      <c r="T376" s="184"/>
    </row>
    <row r="377" spans="1:20" s="181" customFormat="1" ht="50.1" customHeight="1" x14ac:dyDescent="0.2">
      <c r="A377" s="361" t="s">
        <v>153</v>
      </c>
      <c r="B377" s="362" t="s">
        <v>3177</v>
      </c>
      <c r="C377" s="362" t="s">
        <v>4152</v>
      </c>
      <c r="D377" s="364">
        <v>23</v>
      </c>
      <c r="E377" s="405"/>
      <c r="F377" s="405"/>
      <c r="G377" s="405"/>
      <c r="H377" s="405"/>
      <c r="I377" s="405"/>
      <c r="J377" s="405">
        <v>97.3</v>
      </c>
      <c r="K377" s="405"/>
      <c r="L377" s="405"/>
      <c r="M377" s="405"/>
      <c r="N377" s="405"/>
      <c r="O377" s="405"/>
      <c r="P377" s="405"/>
      <c r="Q377" s="382">
        <f t="shared" si="18"/>
        <v>97.3</v>
      </c>
      <c r="R377" s="382" t="str">
        <f t="shared" si="16"/>
        <v>NO</v>
      </c>
      <c r="S377" s="382" t="str">
        <f t="shared" si="17"/>
        <v>Inviable Sanitariamente</v>
      </c>
      <c r="T377" s="184"/>
    </row>
    <row r="378" spans="1:20" s="181" customFormat="1" ht="50.1" customHeight="1" x14ac:dyDescent="0.2">
      <c r="A378" s="361" t="s">
        <v>153</v>
      </c>
      <c r="B378" s="362" t="s">
        <v>3178</v>
      </c>
      <c r="C378" s="362" t="s">
        <v>4153</v>
      </c>
      <c r="D378" s="364">
        <v>26</v>
      </c>
      <c r="E378" s="405"/>
      <c r="F378" s="405"/>
      <c r="G378" s="405">
        <v>97.3</v>
      </c>
      <c r="H378" s="405"/>
      <c r="I378" s="405"/>
      <c r="J378" s="405"/>
      <c r="K378" s="405"/>
      <c r="L378" s="405"/>
      <c r="M378" s="405"/>
      <c r="N378" s="405"/>
      <c r="O378" s="405"/>
      <c r="P378" s="405"/>
      <c r="Q378" s="382">
        <f t="shared" si="18"/>
        <v>97.3</v>
      </c>
      <c r="R378" s="382" t="str">
        <f t="shared" si="16"/>
        <v>NO</v>
      </c>
      <c r="S378" s="382" t="str">
        <f t="shared" si="17"/>
        <v>Inviable Sanitariamente</v>
      </c>
      <c r="T378" s="184"/>
    </row>
    <row r="379" spans="1:20" s="181" customFormat="1" ht="50.1" customHeight="1" x14ac:dyDescent="0.2">
      <c r="A379" s="361" t="s">
        <v>153</v>
      </c>
      <c r="B379" s="362" t="s">
        <v>3179</v>
      </c>
      <c r="C379" s="362" t="s">
        <v>4154</v>
      </c>
      <c r="D379" s="364">
        <v>50</v>
      </c>
      <c r="E379" s="405"/>
      <c r="F379" s="405">
        <v>97.3</v>
      </c>
      <c r="G379" s="405"/>
      <c r="H379" s="405"/>
      <c r="I379" s="405"/>
      <c r="J379" s="405"/>
      <c r="K379" s="405"/>
      <c r="L379" s="405"/>
      <c r="M379" s="405"/>
      <c r="N379" s="405"/>
      <c r="O379" s="405"/>
      <c r="P379" s="405"/>
      <c r="Q379" s="382">
        <f t="shared" si="18"/>
        <v>97.3</v>
      </c>
      <c r="R379" s="382" t="str">
        <f t="shared" si="16"/>
        <v>NO</v>
      </c>
      <c r="S379" s="382" t="str">
        <f t="shared" si="17"/>
        <v>Inviable Sanitariamente</v>
      </c>
      <c r="T379" s="184"/>
    </row>
    <row r="380" spans="1:20" s="181" customFormat="1" ht="50.1" customHeight="1" x14ac:dyDescent="0.2">
      <c r="A380" s="361" t="s">
        <v>153</v>
      </c>
      <c r="B380" s="362" t="s">
        <v>1388</v>
      </c>
      <c r="C380" s="362" t="s">
        <v>4155</v>
      </c>
      <c r="D380" s="364">
        <v>24</v>
      </c>
      <c r="E380" s="405"/>
      <c r="F380" s="405"/>
      <c r="G380" s="405">
        <v>97.3</v>
      </c>
      <c r="H380" s="405"/>
      <c r="I380" s="405"/>
      <c r="J380" s="405"/>
      <c r="K380" s="405"/>
      <c r="L380" s="405"/>
      <c r="M380" s="405"/>
      <c r="N380" s="405"/>
      <c r="O380" s="405"/>
      <c r="P380" s="405"/>
      <c r="Q380" s="382">
        <f t="shared" si="18"/>
        <v>97.3</v>
      </c>
      <c r="R380" s="382" t="str">
        <f t="shared" si="16"/>
        <v>NO</v>
      </c>
      <c r="S380" s="382" t="str">
        <f t="shared" si="17"/>
        <v>Inviable Sanitariamente</v>
      </c>
      <c r="T380" s="184"/>
    </row>
    <row r="381" spans="1:20" s="181" customFormat="1" ht="50.1" customHeight="1" x14ac:dyDescent="0.2">
      <c r="A381" s="361" t="s">
        <v>153</v>
      </c>
      <c r="B381" s="362" t="s">
        <v>3050</v>
      </c>
      <c r="C381" s="362" t="s">
        <v>4156</v>
      </c>
      <c r="D381" s="364">
        <v>17</v>
      </c>
      <c r="E381" s="405"/>
      <c r="F381" s="405"/>
      <c r="G381" s="405"/>
      <c r="H381" s="405"/>
      <c r="I381" s="405"/>
      <c r="J381" s="405"/>
      <c r="K381" s="405"/>
      <c r="L381" s="405"/>
      <c r="M381" s="405"/>
      <c r="N381" s="405"/>
      <c r="O381" s="405"/>
      <c r="P381" s="405"/>
      <c r="Q381" s="382" t="e">
        <f t="shared" si="18"/>
        <v>#DIV/0!</v>
      </c>
      <c r="R381" s="382" t="e">
        <f t="shared" si="16"/>
        <v>#DIV/0!</v>
      </c>
      <c r="S381" s="382" t="e">
        <f t="shared" si="17"/>
        <v>#DIV/0!</v>
      </c>
      <c r="T381" s="184"/>
    </row>
    <row r="382" spans="1:20" s="181" customFormat="1" ht="50.1" customHeight="1" x14ac:dyDescent="0.2">
      <c r="A382" s="361" t="s">
        <v>153</v>
      </c>
      <c r="B382" s="362" t="s">
        <v>3180</v>
      </c>
      <c r="C382" s="362" t="s">
        <v>4157</v>
      </c>
      <c r="D382" s="364">
        <v>22</v>
      </c>
      <c r="E382" s="405"/>
      <c r="F382" s="405"/>
      <c r="G382" s="405"/>
      <c r="H382" s="405"/>
      <c r="I382" s="405"/>
      <c r="J382" s="405"/>
      <c r="K382" s="405"/>
      <c r="L382" s="405"/>
      <c r="M382" s="405"/>
      <c r="N382" s="405"/>
      <c r="O382" s="405"/>
      <c r="P382" s="405"/>
      <c r="Q382" s="382" t="e">
        <f t="shared" si="18"/>
        <v>#DIV/0!</v>
      </c>
      <c r="R382" s="382" t="e">
        <f t="shared" si="16"/>
        <v>#DIV/0!</v>
      </c>
      <c r="S382" s="382" t="e">
        <f t="shared" si="17"/>
        <v>#DIV/0!</v>
      </c>
      <c r="T382" s="184"/>
    </row>
    <row r="383" spans="1:20" s="181" customFormat="1" ht="50.1" customHeight="1" x14ac:dyDescent="0.2">
      <c r="A383" s="361" t="s">
        <v>153</v>
      </c>
      <c r="B383" s="362" t="s">
        <v>3181</v>
      </c>
      <c r="C383" s="362" t="s">
        <v>4158</v>
      </c>
      <c r="D383" s="364">
        <v>18</v>
      </c>
      <c r="E383" s="405"/>
      <c r="F383" s="405"/>
      <c r="G383" s="405"/>
      <c r="H383" s="405"/>
      <c r="I383" s="405"/>
      <c r="J383" s="405">
        <v>97.3</v>
      </c>
      <c r="K383" s="405"/>
      <c r="L383" s="405"/>
      <c r="M383" s="405"/>
      <c r="N383" s="405"/>
      <c r="O383" s="405"/>
      <c r="P383" s="405"/>
      <c r="Q383" s="382">
        <f t="shared" si="18"/>
        <v>97.3</v>
      </c>
      <c r="R383" s="382" t="str">
        <f t="shared" si="16"/>
        <v>NO</v>
      </c>
      <c r="S383" s="382" t="str">
        <f t="shared" si="17"/>
        <v>Inviable Sanitariamente</v>
      </c>
      <c r="T383" s="184"/>
    </row>
    <row r="384" spans="1:20" s="181" customFormat="1" ht="50.1" customHeight="1" x14ac:dyDescent="0.2">
      <c r="A384" s="361" t="s">
        <v>153</v>
      </c>
      <c r="B384" s="362" t="s">
        <v>3182</v>
      </c>
      <c r="C384" s="362" t="s">
        <v>4159</v>
      </c>
      <c r="D384" s="364">
        <v>20</v>
      </c>
      <c r="E384" s="405"/>
      <c r="F384" s="405"/>
      <c r="G384" s="405"/>
      <c r="H384" s="405"/>
      <c r="I384" s="405"/>
      <c r="J384" s="405"/>
      <c r="K384" s="405"/>
      <c r="L384" s="405"/>
      <c r="M384" s="405"/>
      <c r="N384" s="405"/>
      <c r="O384" s="405"/>
      <c r="P384" s="405"/>
      <c r="Q384" s="382" t="e">
        <f t="shared" si="18"/>
        <v>#DIV/0!</v>
      </c>
      <c r="R384" s="382" t="e">
        <f t="shared" si="16"/>
        <v>#DIV/0!</v>
      </c>
      <c r="S384" s="382" t="e">
        <f t="shared" si="17"/>
        <v>#DIV/0!</v>
      </c>
      <c r="T384" s="184"/>
    </row>
    <row r="385" spans="1:20" s="181" customFormat="1" ht="50.1" customHeight="1" x14ac:dyDescent="0.2">
      <c r="A385" s="361" t="s">
        <v>153</v>
      </c>
      <c r="B385" s="362" t="s">
        <v>3183</v>
      </c>
      <c r="C385" s="362" t="s">
        <v>4160</v>
      </c>
      <c r="D385" s="364">
        <v>20</v>
      </c>
      <c r="E385" s="405"/>
      <c r="F385" s="405"/>
      <c r="G385" s="405"/>
      <c r="H385" s="405"/>
      <c r="I385" s="405"/>
      <c r="J385" s="405"/>
      <c r="K385" s="405"/>
      <c r="L385" s="405"/>
      <c r="M385" s="405"/>
      <c r="N385" s="405"/>
      <c r="O385" s="405"/>
      <c r="P385" s="405"/>
      <c r="Q385" s="382" t="e">
        <f t="shared" si="18"/>
        <v>#DIV/0!</v>
      </c>
      <c r="R385" s="382" t="e">
        <f t="shared" si="16"/>
        <v>#DIV/0!</v>
      </c>
      <c r="S385" s="382" t="e">
        <f t="shared" si="17"/>
        <v>#DIV/0!</v>
      </c>
      <c r="T385" s="184"/>
    </row>
    <row r="386" spans="1:20" s="181" customFormat="1" ht="50.1" customHeight="1" x14ac:dyDescent="0.2">
      <c r="A386" s="361" t="s">
        <v>153</v>
      </c>
      <c r="B386" s="362" t="s">
        <v>3184</v>
      </c>
      <c r="C386" s="362" t="s">
        <v>4161</v>
      </c>
      <c r="D386" s="364">
        <v>22</v>
      </c>
      <c r="E386" s="405"/>
      <c r="F386" s="405"/>
      <c r="G386" s="405"/>
      <c r="H386" s="405"/>
      <c r="I386" s="405">
        <v>97.3</v>
      </c>
      <c r="J386" s="405"/>
      <c r="K386" s="405"/>
      <c r="L386" s="405"/>
      <c r="M386" s="405"/>
      <c r="N386" s="405"/>
      <c r="O386" s="405"/>
      <c r="P386" s="405"/>
      <c r="Q386" s="382">
        <f t="shared" si="18"/>
        <v>97.3</v>
      </c>
      <c r="R386" s="382" t="str">
        <f t="shared" si="16"/>
        <v>NO</v>
      </c>
      <c r="S386" s="382" t="str">
        <f t="shared" si="17"/>
        <v>Inviable Sanitariamente</v>
      </c>
      <c r="T386" s="184"/>
    </row>
    <row r="387" spans="1:20" s="181" customFormat="1" ht="50.1" customHeight="1" x14ac:dyDescent="0.2">
      <c r="A387" s="361" t="s">
        <v>153</v>
      </c>
      <c r="B387" s="362" t="s">
        <v>643</v>
      </c>
      <c r="C387" s="362" t="s">
        <v>4162</v>
      </c>
      <c r="D387" s="364">
        <v>40</v>
      </c>
      <c r="E387" s="405"/>
      <c r="F387" s="405"/>
      <c r="G387" s="405"/>
      <c r="H387" s="405"/>
      <c r="I387" s="405">
        <v>97.3</v>
      </c>
      <c r="J387" s="405"/>
      <c r="K387" s="405"/>
      <c r="L387" s="405"/>
      <c r="M387" s="405"/>
      <c r="N387" s="405"/>
      <c r="O387" s="405"/>
      <c r="P387" s="405"/>
      <c r="Q387" s="382">
        <f t="shared" si="18"/>
        <v>97.3</v>
      </c>
      <c r="R387" s="382" t="str">
        <f t="shared" si="16"/>
        <v>NO</v>
      </c>
      <c r="S387" s="382" t="str">
        <f t="shared" si="17"/>
        <v>Inviable Sanitariamente</v>
      </c>
      <c r="T387" s="184"/>
    </row>
    <row r="388" spans="1:20" s="181" customFormat="1" ht="50.1" customHeight="1" x14ac:dyDescent="0.2">
      <c r="A388" s="361" t="s">
        <v>153</v>
      </c>
      <c r="B388" s="362" t="s">
        <v>3185</v>
      </c>
      <c r="C388" s="362" t="s">
        <v>4163</v>
      </c>
      <c r="D388" s="364">
        <v>47</v>
      </c>
      <c r="E388" s="405"/>
      <c r="F388" s="405"/>
      <c r="G388" s="405"/>
      <c r="H388" s="405"/>
      <c r="I388" s="405">
        <v>97.3</v>
      </c>
      <c r="J388" s="405"/>
      <c r="K388" s="405"/>
      <c r="L388" s="405"/>
      <c r="M388" s="405"/>
      <c r="N388" s="405"/>
      <c r="O388" s="405"/>
      <c r="P388" s="405"/>
      <c r="Q388" s="382">
        <f t="shared" si="18"/>
        <v>97.3</v>
      </c>
      <c r="R388" s="382" t="str">
        <f t="shared" si="16"/>
        <v>NO</v>
      </c>
      <c r="S388" s="382" t="str">
        <f t="shared" si="17"/>
        <v>Inviable Sanitariamente</v>
      </c>
      <c r="T388" s="184"/>
    </row>
    <row r="389" spans="1:20" s="181" customFormat="1" ht="50.1" customHeight="1" x14ac:dyDescent="0.2">
      <c r="A389" s="361" t="s">
        <v>153</v>
      </c>
      <c r="B389" s="362" t="s">
        <v>3186</v>
      </c>
      <c r="C389" s="362" t="s">
        <v>4164</v>
      </c>
      <c r="D389" s="364">
        <v>25</v>
      </c>
      <c r="E389" s="405"/>
      <c r="F389" s="405"/>
      <c r="G389" s="405"/>
      <c r="H389" s="405"/>
      <c r="I389" s="405"/>
      <c r="J389" s="405"/>
      <c r="K389" s="405"/>
      <c r="L389" s="405"/>
      <c r="M389" s="405"/>
      <c r="N389" s="405"/>
      <c r="O389" s="405"/>
      <c r="P389" s="405"/>
      <c r="Q389" s="382" t="e">
        <f t="shared" si="18"/>
        <v>#DIV/0!</v>
      </c>
      <c r="R389" s="382" t="e">
        <f t="shared" si="16"/>
        <v>#DIV/0!</v>
      </c>
      <c r="S389" s="382" t="e">
        <f t="shared" si="17"/>
        <v>#DIV/0!</v>
      </c>
      <c r="T389" s="184"/>
    </row>
    <row r="390" spans="1:20" s="181" customFormat="1" ht="50.1" customHeight="1" x14ac:dyDescent="0.2">
      <c r="A390" s="361" t="s">
        <v>153</v>
      </c>
      <c r="B390" s="362" t="s">
        <v>3187</v>
      </c>
      <c r="C390" s="362" t="s">
        <v>4165</v>
      </c>
      <c r="D390" s="364">
        <v>26</v>
      </c>
      <c r="E390" s="405"/>
      <c r="F390" s="405"/>
      <c r="G390" s="405"/>
      <c r="H390" s="405"/>
      <c r="I390" s="405"/>
      <c r="J390" s="405"/>
      <c r="K390" s="405"/>
      <c r="L390" s="405"/>
      <c r="M390" s="405"/>
      <c r="N390" s="405"/>
      <c r="O390" s="405"/>
      <c r="P390" s="405"/>
      <c r="Q390" s="382" t="e">
        <f t="shared" si="18"/>
        <v>#DIV/0!</v>
      </c>
      <c r="R390" s="382" t="e">
        <f t="shared" si="16"/>
        <v>#DIV/0!</v>
      </c>
      <c r="S390" s="382" t="e">
        <f t="shared" si="17"/>
        <v>#DIV/0!</v>
      </c>
      <c r="T390" s="184"/>
    </row>
    <row r="391" spans="1:20" s="181" customFormat="1" ht="50.1" customHeight="1" x14ac:dyDescent="0.2">
      <c r="A391" s="361" t="s">
        <v>153</v>
      </c>
      <c r="B391" s="362" t="s">
        <v>3188</v>
      </c>
      <c r="C391" s="362" t="s">
        <v>4169</v>
      </c>
      <c r="D391" s="364">
        <v>26</v>
      </c>
      <c r="E391" s="405"/>
      <c r="F391" s="405"/>
      <c r="G391" s="405"/>
      <c r="H391" s="405"/>
      <c r="I391" s="405">
        <v>97.3</v>
      </c>
      <c r="J391" s="405"/>
      <c r="K391" s="405"/>
      <c r="L391" s="405"/>
      <c r="M391" s="405"/>
      <c r="N391" s="405"/>
      <c r="O391" s="405"/>
      <c r="P391" s="405"/>
      <c r="Q391" s="382">
        <f t="shared" si="18"/>
        <v>97.3</v>
      </c>
      <c r="R391" s="382" t="str">
        <f t="shared" si="16"/>
        <v>NO</v>
      </c>
      <c r="S391" s="382" t="str">
        <f t="shared" si="17"/>
        <v>Inviable Sanitariamente</v>
      </c>
      <c r="T391" s="184"/>
    </row>
    <row r="392" spans="1:20" s="181" customFormat="1" ht="50.1" customHeight="1" x14ac:dyDescent="0.2">
      <c r="A392" s="361" t="s">
        <v>153</v>
      </c>
      <c r="B392" s="362" t="s">
        <v>3189</v>
      </c>
      <c r="C392" s="362" t="s">
        <v>4166</v>
      </c>
      <c r="D392" s="364">
        <v>19</v>
      </c>
      <c r="E392" s="405"/>
      <c r="F392" s="405"/>
      <c r="G392" s="405"/>
      <c r="H392" s="405"/>
      <c r="I392" s="405"/>
      <c r="J392" s="405"/>
      <c r="K392" s="405"/>
      <c r="L392" s="405"/>
      <c r="M392" s="405"/>
      <c r="N392" s="405"/>
      <c r="O392" s="405"/>
      <c r="P392" s="405"/>
      <c r="Q392" s="382" t="e">
        <f t="shared" si="18"/>
        <v>#DIV/0!</v>
      </c>
      <c r="R392" s="382" t="e">
        <f t="shared" si="16"/>
        <v>#DIV/0!</v>
      </c>
      <c r="S392" s="382" t="e">
        <f t="shared" si="17"/>
        <v>#DIV/0!</v>
      </c>
      <c r="T392" s="184"/>
    </row>
    <row r="393" spans="1:20" s="181" customFormat="1" ht="50.1" customHeight="1" x14ac:dyDescent="0.2">
      <c r="A393" s="361" t="s">
        <v>153</v>
      </c>
      <c r="B393" s="362" t="s">
        <v>1083</v>
      </c>
      <c r="C393" s="362" t="s">
        <v>4167</v>
      </c>
      <c r="D393" s="364">
        <v>24</v>
      </c>
      <c r="E393" s="405"/>
      <c r="F393" s="405"/>
      <c r="G393" s="405">
        <v>97.3</v>
      </c>
      <c r="H393" s="405"/>
      <c r="I393" s="405"/>
      <c r="J393" s="405"/>
      <c r="K393" s="405"/>
      <c r="L393" s="405"/>
      <c r="M393" s="405"/>
      <c r="N393" s="405"/>
      <c r="O393" s="405"/>
      <c r="P393" s="405"/>
      <c r="Q393" s="382">
        <f t="shared" si="18"/>
        <v>97.3</v>
      </c>
      <c r="R393" s="382" t="str">
        <f t="shared" si="16"/>
        <v>NO</v>
      </c>
      <c r="S393" s="382" t="str">
        <f t="shared" si="17"/>
        <v>Inviable Sanitariamente</v>
      </c>
      <c r="T393" s="184"/>
    </row>
    <row r="394" spans="1:20" s="181" customFormat="1" ht="50.1" customHeight="1" x14ac:dyDescent="0.2">
      <c r="A394" s="361" t="s">
        <v>153</v>
      </c>
      <c r="B394" s="362" t="s">
        <v>3190</v>
      </c>
      <c r="C394" s="362" t="s">
        <v>4168</v>
      </c>
      <c r="D394" s="364">
        <v>35</v>
      </c>
      <c r="E394" s="405"/>
      <c r="F394" s="405"/>
      <c r="G394" s="405"/>
      <c r="H394" s="405"/>
      <c r="I394" s="405"/>
      <c r="J394" s="405"/>
      <c r="K394" s="405"/>
      <c r="L394" s="405"/>
      <c r="M394" s="405"/>
      <c r="N394" s="405"/>
      <c r="O394" s="405"/>
      <c r="P394" s="405"/>
      <c r="Q394" s="382" t="e">
        <f t="shared" si="18"/>
        <v>#DIV/0!</v>
      </c>
      <c r="R394" s="382" t="e">
        <f t="shared" si="16"/>
        <v>#DIV/0!</v>
      </c>
      <c r="S394" s="382" t="e">
        <f t="shared" si="17"/>
        <v>#DIV/0!</v>
      </c>
      <c r="T394" s="184"/>
    </row>
    <row r="395" spans="1:20" s="181" customFormat="1" ht="50.1" customHeight="1" x14ac:dyDescent="0.2">
      <c r="A395" s="361" t="s">
        <v>153</v>
      </c>
      <c r="B395" s="362" t="s">
        <v>4455</v>
      </c>
      <c r="C395" s="362" t="s">
        <v>4456</v>
      </c>
      <c r="D395" s="364">
        <v>25</v>
      </c>
      <c r="E395" s="405"/>
      <c r="F395" s="405"/>
      <c r="G395" s="405"/>
      <c r="H395" s="405">
        <v>97.3</v>
      </c>
      <c r="I395" s="405"/>
      <c r="J395" s="405"/>
      <c r="K395" s="405"/>
      <c r="L395" s="405"/>
      <c r="M395" s="405"/>
      <c r="N395" s="405"/>
      <c r="O395" s="405"/>
      <c r="P395" s="405"/>
      <c r="Q395" s="382">
        <f>AVERAGE(E395:P395)</f>
        <v>97.3</v>
      </c>
      <c r="R395" s="382" t="str">
        <f t="shared" si="16"/>
        <v>NO</v>
      </c>
      <c r="S395" s="382" t="str">
        <f t="shared" si="17"/>
        <v>Inviable Sanitariamente</v>
      </c>
      <c r="T395" s="184"/>
    </row>
    <row r="396" spans="1:20" s="181" customFormat="1" ht="50.1" customHeight="1" x14ac:dyDescent="0.2">
      <c r="A396" s="361" t="s">
        <v>153</v>
      </c>
      <c r="B396" s="362" t="s">
        <v>4458</v>
      </c>
      <c r="C396" s="362" t="s">
        <v>4457</v>
      </c>
      <c r="D396" s="364">
        <v>32</v>
      </c>
      <c r="E396" s="405"/>
      <c r="F396" s="405"/>
      <c r="G396" s="405"/>
      <c r="H396" s="405"/>
      <c r="I396" s="405">
        <v>97.3</v>
      </c>
      <c r="J396" s="405"/>
      <c r="K396" s="405"/>
      <c r="L396" s="405"/>
      <c r="M396" s="405"/>
      <c r="N396" s="405"/>
      <c r="O396" s="405"/>
      <c r="P396" s="405"/>
      <c r="Q396" s="382">
        <f>AVERAGE(E396:P396)</f>
        <v>97.3</v>
      </c>
      <c r="R396" s="382" t="str">
        <f t="shared" si="16"/>
        <v>NO</v>
      </c>
      <c r="S396" s="382" t="str">
        <f t="shared" si="17"/>
        <v>Inviable Sanitariamente</v>
      </c>
      <c r="T396" s="184"/>
    </row>
    <row r="397" spans="1:20" s="181" customFormat="1" ht="50.1" customHeight="1" x14ac:dyDescent="0.2">
      <c r="A397" s="361" t="s">
        <v>153</v>
      </c>
      <c r="B397" s="362" t="s">
        <v>4459</v>
      </c>
      <c r="C397" s="362" t="s">
        <v>4460</v>
      </c>
      <c r="D397" s="364">
        <v>52</v>
      </c>
      <c r="E397" s="405"/>
      <c r="F397" s="405">
        <v>97.3</v>
      </c>
      <c r="G397" s="405"/>
      <c r="H397" s="405"/>
      <c r="I397" s="405"/>
      <c r="J397" s="405"/>
      <c r="K397" s="405"/>
      <c r="L397" s="405"/>
      <c r="M397" s="405"/>
      <c r="N397" s="405"/>
      <c r="O397" s="405"/>
      <c r="P397" s="405"/>
      <c r="Q397" s="382">
        <f>AVERAGE(E397:P397)</f>
        <v>97.3</v>
      </c>
      <c r="R397" s="382" t="str">
        <f t="shared" si="16"/>
        <v>NO</v>
      </c>
      <c r="S397" s="382" t="str">
        <f t="shared" si="17"/>
        <v>Inviable Sanitariamente</v>
      </c>
      <c r="T397" s="184"/>
    </row>
    <row r="398" spans="1:20" s="181" customFormat="1" ht="32.1" customHeight="1" x14ac:dyDescent="0.2">
      <c r="A398" s="361" t="s">
        <v>154</v>
      </c>
      <c r="B398" s="362" t="s">
        <v>3191</v>
      </c>
      <c r="C398" s="362" t="s">
        <v>3192</v>
      </c>
      <c r="D398" s="364">
        <v>250</v>
      </c>
      <c r="E398" s="405"/>
      <c r="F398" s="405"/>
      <c r="G398" s="405"/>
      <c r="H398" s="405"/>
      <c r="I398" s="405">
        <v>97.3</v>
      </c>
      <c r="J398" s="405">
        <v>97.3</v>
      </c>
      <c r="K398" s="405"/>
      <c r="L398" s="405"/>
      <c r="M398" s="405"/>
      <c r="N398" s="405"/>
      <c r="O398" s="405"/>
      <c r="P398" s="405"/>
      <c r="Q398" s="382">
        <f t="shared" si="18"/>
        <v>97.3</v>
      </c>
      <c r="R398" s="382" t="str">
        <f t="shared" si="16"/>
        <v>NO</v>
      </c>
      <c r="S398" s="382" t="str">
        <f t="shared" si="17"/>
        <v>Inviable Sanitariamente</v>
      </c>
      <c r="T398" s="184"/>
    </row>
    <row r="399" spans="1:20" s="181" customFormat="1" ht="32.1" customHeight="1" x14ac:dyDescent="0.2">
      <c r="A399" s="361" t="s">
        <v>154</v>
      </c>
      <c r="B399" s="362" t="s">
        <v>3193</v>
      </c>
      <c r="C399" s="362" t="s">
        <v>3194</v>
      </c>
      <c r="D399" s="364">
        <v>78</v>
      </c>
      <c r="E399" s="405"/>
      <c r="F399" s="405">
        <v>97.3</v>
      </c>
      <c r="G399" s="405"/>
      <c r="H399" s="405"/>
      <c r="I399" s="405"/>
      <c r="J399" s="405"/>
      <c r="K399" s="405"/>
      <c r="L399" s="405"/>
      <c r="M399" s="405"/>
      <c r="N399" s="405"/>
      <c r="O399" s="405"/>
      <c r="P399" s="405"/>
      <c r="Q399" s="382">
        <f t="shared" si="18"/>
        <v>97.3</v>
      </c>
      <c r="R399" s="382" t="str">
        <f t="shared" si="16"/>
        <v>NO</v>
      </c>
      <c r="S399" s="382" t="str">
        <f t="shared" si="17"/>
        <v>Inviable Sanitariamente</v>
      </c>
      <c r="T399" s="184"/>
    </row>
    <row r="400" spans="1:20" s="181" customFormat="1" ht="32.1" customHeight="1" x14ac:dyDescent="0.2">
      <c r="A400" s="361" t="s">
        <v>154</v>
      </c>
      <c r="B400" s="362" t="s">
        <v>3195</v>
      </c>
      <c r="C400" s="362" t="s">
        <v>3196</v>
      </c>
      <c r="D400" s="364">
        <v>56</v>
      </c>
      <c r="E400" s="405"/>
      <c r="F400" s="405"/>
      <c r="G400" s="405"/>
      <c r="H400" s="405">
        <v>97.3</v>
      </c>
      <c r="I400" s="405"/>
      <c r="J400" s="405"/>
      <c r="K400" s="405"/>
      <c r="L400" s="405"/>
      <c r="M400" s="405"/>
      <c r="N400" s="405"/>
      <c r="O400" s="405"/>
      <c r="P400" s="405"/>
      <c r="Q400" s="382">
        <f t="shared" si="18"/>
        <v>97.3</v>
      </c>
      <c r="R400" s="382" t="str">
        <f t="shared" si="16"/>
        <v>NO</v>
      </c>
      <c r="S400" s="382" t="str">
        <f t="shared" si="17"/>
        <v>Inviable Sanitariamente</v>
      </c>
      <c r="T400" s="184"/>
    </row>
    <row r="401" spans="1:20" s="181" customFormat="1" ht="32.1" customHeight="1" x14ac:dyDescent="0.2">
      <c r="A401" s="361" t="s">
        <v>154</v>
      </c>
      <c r="B401" s="362" t="s">
        <v>974</v>
      </c>
      <c r="C401" s="362" t="s">
        <v>3197</v>
      </c>
      <c r="D401" s="364">
        <v>90</v>
      </c>
      <c r="E401" s="405"/>
      <c r="F401" s="405"/>
      <c r="G401" s="405">
        <v>97.3</v>
      </c>
      <c r="H401" s="405"/>
      <c r="I401" s="405"/>
      <c r="J401" s="405"/>
      <c r="K401" s="405"/>
      <c r="L401" s="405"/>
      <c r="M401" s="405"/>
      <c r="N401" s="405"/>
      <c r="O401" s="405"/>
      <c r="P401" s="405"/>
      <c r="Q401" s="382">
        <f t="shared" si="18"/>
        <v>97.3</v>
      </c>
      <c r="R401" s="382" t="str">
        <f t="shared" si="16"/>
        <v>NO</v>
      </c>
      <c r="S401" s="382" t="str">
        <f t="shared" si="17"/>
        <v>Inviable Sanitariamente</v>
      </c>
      <c r="T401" s="184"/>
    </row>
    <row r="402" spans="1:20" s="181" customFormat="1" ht="32.1" customHeight="1" x14ac:dyDescent="0.2">
      <c r="A402" s="361" t="s">
        <v>154</v>
      </c>
      <c r="B402" s="362" t="s">
        <v>2791</v>
      </c>
      <c r="C402" s="362" t="s">
        <v>3198</v>
      </c>
      <c r="D402" s="364">
        <v>80</v>
      </c>
      <c r="E402" s="405"/>
      <c r="F402" s="405"/>
      <c r="G402" s="405"/>
      <c r="H402" s="405"/>
      <c r="I402" s="405">
        <v>97.3</v>
      </c>
      <c r="J402" s="405"/>
      <c r="K402" s="405"/>
      <c r="L402" s="405"/>
      <c r="M402" s="405"/>
      <c r="N402" s="405"/>
      <c r="O402" s="405"/>
      <c r="P402" s="405"/>
      <c r="Q402" s="382">
        <f t="shared" si="18"/>
        <v>97.3</v>
      </c>
      <c r="R402" s="382" t="str">
        <f t="shared" si="16"/>
        <v>NO</v>
      </c>
      <c r="S402" s="382" t="str">
        <f t="shared" si="17"/>
        <v>Inviable Sanitariamente</v>
      </c>
      <c r="T402" s="184"/>
    </row>
    <row r="403" spans="1:20" s="181" customFormat="1" ht="32.1" customHeight="1" x14ac:dyDescent="0.2">
      <c r="A403" s="361" t="s">
        <v>154</v>
      </c>
      <c r="B403" s="362" t="s">
        <v>3199</v>
      </c>
      <c r="C403" s="362" t="s">
        <v>3200</v>
      </c>
      <c r="D403" s="364">
        <v>30</v>
      </c>
      <c r="E403" s="405"/>
      <c r="F403" s="405"/>
      <c r="G403" s="405"/>
      <c r="H403" s="405"/>
      <c r="I403" s="405">
        <v>97.3</v>
      </c>
      <c r="J403" s="405"/>
      <c r="K403" s="405"/>
      <c r="L403" s="405"/>
      <c r="M403" s="405"/>
      <c r="N403" s="405"/>
      <c r="O403" s="405"/>
      <c r="P403" s="405"/>
      <c r="Q403" s="382">
        <f t="shared" si="18"/>
        <v>97.3</v>
      </c>
      <c r="R403" s="382" t="str">
        <f t="shared" si="16"/>
        <v>NO</v>
      </c>
      <c r="S403" s="382" t="str">
        <f t="shared" si="17"/>
        <v>Inviable Sanitariamente</v>
      </c>
      <c r="T403" s="184"/>
    </row>
    <row r="404" spans="1:20" s="181" customFormat="1" ht="32.1" customHeight="1" x14ac:dyDescent="0.2">
      <c r="A404" s="361" t="s">
        <v>154</v>
      </c>
      <c r="B404" s="362" t="s">
        <v>1206</v>
      </c>
      <c r="C404" s="362" t="s">
        <v>3201</v>
      </c>
      <c r="D404" s="364">
        <v>80</v>
      </c>
      <c r="E404" s="405"/>
      <c r="F404" s="405"/>
      <c r="G404" s="405">
        <v>97.3</v>
      </c>
      <c r="H404" s="405"/>
      <c r="I404" s="405"/>
      <c r="J404" s="405"/>
      <c r="K404" s="405"/>
      <c r="L404" s="405"/>
      <c r="M404" s="405"/>
      <c r="N404" s="405"/>
      <c r="O404" s="405"/>
      <c r="P404" s="405"/>
      <c r="Q404" s="382">
        <f t="shared" si="18"/>
        <v>97.3</v>
      </c>
      <c r="R404" s="382" t="str">
        <f t="shared" si="16"/>
        <v>NO</v>
      </c>
      <c r="S404" s="382" t="str">
        <f t="shared" si="17"/>
        <v>Inviable Sanitariamente</v>
      </c>
      <c r="T404" s="184"/>
    </row>
    <row r="405" spans="1:20" s="181" customFormat="1" ht="32.1" customHeight="1" x14ac:dyDescent="0.2">
      <c r="A405" s="361" t="s">
        <v>154</v>
      </c>
      <c r="B405" s="362" t="s">
        <v>2426</v>
      </c>
      <c r="C405" s="362" t="s">
        <v>3202</v>
      </c>
      <c r="D405" s="364">
        <v>63</v>
      </c>
      <c r="E405" s="405"/>
      <c r="F405" s="405"/>
      <c r="G405" s="405">
        <v>97.3</v>
      </c>
      <c r="H405" s="405"/>
      <c r="I405" s="405"/>
      <c r="J405" s="405"/>
      <c r="K405" s="405"/>
      <c r="L405" s="405"/>
      <c r="M405" s="405"/>
      <c r="N405" s="405"/>
      <c r="O405" s="405"/>
      <c r="P405" s="405"/>
      <c r="Q405" s="382">
        <f t="shared" si="18"/>
        <v>97.3</v>
      </c>
      <c r="R405" s="382" t="str">
        <f t="shared" si="16"/>
        <v>NO</v>
      </c>
      <c r="S405" s="382" t="str">
        <f t="shared" si="17"/>
        <v>Inviable Sanitariamente</v>
      </c>
      <c r="T405" s="184"/>
    </row>
    <row r="406" spans="1:20" s="181" customFormat="1" ht="32.1" customHeight="1" x14ac:dyDescent="0.2">
      <c r="A406" s="361" t="s">
        <v>154</v>
      </c>
      <c r="B406" s="362" t="s">
        <v>3203</v>
      </c>
      <c r="C406" s="362" t="s">
        <v>3204</v>
      </c>
      <c r="D406" s="364">
        <v>45</v>
      </c>
      <c r="E406" s="405"/>
      <c r="F406" s="405"/>
      <c r="G406" s="405"/>
      <c r="H406" s="405">
        <v>97.3</v>
      </c>
      <c r="I406" s="405"/>
      <c r="J406" s="405"/>
      <c r="K406" s="405"/>
      <c r="L406" s="405"/>
      <c r="M406" s="405"/>
      <c r="N406" s="405"/>
      <c r="O406" s="405"/>
      <c r="P406" s="405"/>
      <c r="Q406" s="382">
        <f t="shared" si="18"/>
        <v>97.3</v>
      </c>
      <c r="R406" s="382" t="str">
        <f t="shared" si="16"/>
        <v>NO</v>
      </c>
      <c r="S406" s="382" t="str">
        <f t="shared" si="17"/>
        <v>Inviable Sanitariamente</v>
      </c>
      <c r="T406" s="184"/>
    </row>
    <row r="407" spans="1:20" s="181" customFormat="1" ht="32.1" customHeight="1" x14ac:dyDescent="0.2">
      <c r="A407" s="361" t="s">
        <v>154</v>
      </c>
      <c r="B407" s="362" t="s">
        <v>3205</v>
      </c>
      <c r="C407" s="362" t="s">
        <v>3206</v>
      </c>
      <c r="D407" s="364"/>
      <c r="E407" s="405"/>
      <c r="F407" s="405"/>
      <c r="G407" s="405"/>
      <c r="H407" s="405"/>
      <c r="I407" s="405"/>
      <c r="J407" s="405"/>
      <c r="K407" s="405"/>
      <c r="L407" s="405"/>
      <c r="M407" s="405"/>
      <c r="N407" s="405"/>
      <c r="O407" s="405"/>
      <c r="P407" s="405"/>
      <c r="Q407" s="382" t="e">
        <f t="shared" si="18"/>
        <v>#DIV/0!</v>
      </c>
      <c r="R407" s="382" t="e">
        <f t="shared" si="16"/>
        <v>#DIV/0!</v>
      </c>
      <c r="S407" s="382" t="e">
        <f t="shared" si="17"/>
        <v>#DIV/0!</v>
      </c>
      <c r="T407" s="184"/>
    </row>
    <row r="408" spans="1:20" s="181" customFormat="1" ht="32.1" customHeight="1" x14ac:dyDescent="0.2">
      <c r="A408" s="361" t="s">
        <v>154</v>
      </c>
      <c r="B408" s="362" t="s">
        <v>3207</v>
      </c>
      <c r="C408" s="362" t="s">
        <v>3208</v>
      </c>
      <c r="D408" s="364">
        <v>70</v>
      </c>
      <c r="E408" s="405"/>
      <c r="F408" s="405"/>
      <c r="G408" s="405"/>
      <c r="H408" s="405"/>
      <c r="I408" s="405">
        <v>97.3</v>
      </c>
      <c r="J408" s="405"/>
      <c r="K408" s="405"/>
      <c r="L408" s="405"/>
      <c r="M408" s="405"/>
      <c r="N408" s="405"/>
      <c r="O408" s="405"/>
      <c r="P408" s="405"/>
      <c r="Q408" s="382">
        <f t="shared" si="18"/>
        <v>97.3</v>
      </c>
      <c r="R408" s="382" t="str">
        <f t="shared" si="16"/>
        <v>NO</v>
      </c>
      <c r="S408" s="382" t="str">
        <f t="shared" si="17"/>
        <v>Inviable Sanitariamente</v>
      </c>
      <c r="T408" s="184"/>
    </row>
    <row r="409" spans="1:20" s="181" customFormat="1" ht="32.1" customHeight="1" x14ac:dyDescent="0.2">
      <c r="A409" s="361" t="s">
        <v>154</v>
      </c>
      <c r="B409" s="362" t="s">
        <v>3209</v>
      </c>
      <c r="C409" s="362" t="s">
        <v>3210</v>
      </c>
      <c r="D409" s="364">
        <v>40</v>
      </c>
      <c r="E409" s="405"/>
      <c r="F409" s="405"/>
      <c r="G409" s="405">
        <v>97.3</v>
      </c>
      <c r="H409" s="405"/>
      <c r="I409" s="405"/>
      <c r="J409" s="405"/>
      <c r="K409" s="405"/>
      <c r="L409" s="405"/>
      <c r="M409" s="405"/>
      <c r="N409" s="405"/>
      <c r="O409" s="405"/>
      <c r="P409" s="405"/>
      <c r="Q409" s="382">
        <f t="shared" si="18"/>
        <v>97.3</v>
      </c>
      <c r="R409" s="382" t="str">
        <f t="shared" si="16"/>
        <v>NO</v>
      </c>
      <c r="S409" s="382" t="str">
        <f t="shared" si="17"/>
        <v>Inviable Sanitariamente</v>
      </c>
      <c r="T409" s="184"/>
    </row>
    <row r="410" spans="1:20" s="181" customFormat="1" ht="32.1" customHeight="1" x14ac:dyDescent="0.2">
      <c r="A410" s="361" t="s">
        <v>154</v>
      </c>
      <c r="B410" s="362" t="s">
        <v>3119</v>
      </c>
      <c r="C410" s="362" t="s">
        <v>3211</v>
      </c>
      <c r="D410" s="364">
        <v>52</v>
      </c>
      <c r="E410" s="405"/>
      <c r="F410" s="405"/>
      <c r="G410" s="405"/>
      <c r="H410" s="405"/>
      <c r="I410" s="405">
        <v>97.3</v>
      </c>
      <c r="J410" s="405"/>
      <c r="K410" s="405"/>
      <c r="L410" s="405"/>
      <c r="M410" s="405"/>
      <c r="N410" s="405"/>
      <c r="O410" s="405"/>
      <c r="P410" s="405"/>
      <c r="Q410" s="382">
        <f t="shared" si="18"/>
        <v>97.3</v>
      </c>
      <c r="R410" s="382" t="str">
        <f t="shared" si="16"/>
        <v>NO</v>
      </c>
      <c r="S410" s="382" t="str">
        <f t="shared" si="17"/>
        <v>Inviable Sanitariamente</v>
      </c>
      <c r="T410" s="184"/>
    </row>
    <row r="411" spans="1:20" s="181" customFormat="1" ht="32.1" customHeight="1" x14ac:dyDescent="0.2">
      <c r="A411" s="361" t="s">
        <v>154</v>
      </c>
      <c r="B411" s="362" t="s">
        <v>71</v>
      </c>
      <c r="C411" s="362" t="s">
        <v>3212</v>
      </c>
      <c r="D411" s="364">
        <v>28</v>
      </c>
      <c r="E411" s="405"/>
      <c r="F411" s="405"/>
      <c r="G411" s="405"/>
      <c r="H411" s="405"/>
      <c r="I411" s="405">
        <v>97.3</v>
      </c>
      <c r="J411" s="405"/>
      <c r="K411" s="405"/>
      <c r="L411" s="405"/>
      <c r="M411" s="405"/>
      <c r="N411" s="405"/>
      <c r="O411" s="405"/>
      <c r="P411" s="405"/>
      <c r="Q411" s="382">
        <f t="shared" si="18"/>
        <v>97.3</v>
      </c>
      <c r="R411" s="382" t="str">
        <f t="shared" si="16"/>
        <v>NO</v>
      </c>
      <c r="S411" s="382" t="str">
        <f t="shared" si="17"/>
        <v>Inviable Sanitariamente</v>
      </c>
      <c r="T411" s="184"/>
    </row>
    <row r="412" spans="1:20" s="181" customFormat="1" ht="32.1" customHeight="1" x14ac:dyDescent="0.2">
      <c r="A412" s="361" t="s">
        <v>154</v>
      </c>
      <c r="B412" s="362" t="s">
        <v>3213</v>
      </c>
      <c r="C412" s="362" t="s">
        <v>3214</v>
      </c>
      <c r="D412" s="364">
        <v>85</v>
      </c>
      <c r="E412" s="405"/>
      <c r="F412" s="405"/>
      <c r="G412" s="405"/>
      <c r="H412" s="405">
        <v>97.3</v>
      </c>
      <c r="I412" s="405"/>
      <c r="J412" s="405"/>
      <c r="K412" s="405"/>
      <c r="L412" s="405"/>
      <c r="M412" s="405"/>
      <c r="N412" s="405"/>
      <c r="O412" s="405"/>
      <c r="P412" s="405"/>
      <c r="Q412" s="382">
        <f t="shared" si="18"/>
        <v>97.3</v>
      </c>
      <c r="R412" s="382" t="str">
        <f t="shared" si="16"/>
        <v>NO</v>
      </c>
      <c r="S412" s="382" t="str">
        <f t="shared" si="17"/>
        <v>Inviable Sanitariamente</v>
      </c>
      <c r="T412" s="184"/>
    </row>
    <row r="413" spans="1:20" s="181" customFormat="1" ht="32.1" customHeight="1" x14ac:dyDescent="0.2">
      <c r="A413" s="361" t="s">
        <v>154</v>
      </c>
      <c r="B413" s="362" t="s">
        <v>3215</v>
      </c>
      <c r="C413" s="362" t="s">
        <v>3216</v>
      </c>
      <c r="D413" s="364">
        <v>58</v>
      </c>
      <c r="E413" s="405"/>
      <c r="F413" s="405"/>
      <c r="G413" s="405">
        <v>97.3</v>
      </c>
      <c r="H413" s="405"/>
      <c r="I413" s="405"/>
      <c r="J413" s="405"/>
      <c r="K413" s="405"/>
      <c r="L413" s="405"/>
      <c r="M413" s="405"/>
      <c r="N413" s="405"/>
      <c r="O413" s="405"/>
      <c r="P413" s="405"/>
      <c r="Q413" s="382">
        <f t="shared" si="18"/>
        <v>97.3</v>
      </c>
      <c r="R413" s="382" t="str">
        <f t="shared" si="16"/>
        <v>NO</v>
      </c>
      <c r="S413" s="382" t="str">
        <f t="shared" si="17"/>
        <v>Inviable Sanitariamente</v>
      </c>
      <c r="T413" s="184"/>
    </row>
    <row r="414" spans="1:20" s="181" customFormat="1" ht="32.1" customHeight="1" x14ac:dyDescent="0.2">
      <c r="A414" s="361" t="s">
        <v>154</v>
      </c>
      <c r="B414" s="362" t="s">
        <v>1303</v>
      </c>
      <c r="C414" s="362" t="s">
        <v>3217</v>
      </c>
      <c r="D414" s="364"/>
      <c r="E414" s="405"/>
      <c r="F414" s="405"/>
      <c r="G414" s="405"/>
      <c r="H414" s="405"/>
      <c r="I414" s="405"/>
      <c r="J414" s="405"/>
      <c r="K414" s="405"/>
      <c r="L414" s="405"/>
      <c r="M414" s="405"/>
      <c r="N414" s="405"/>
      <c r="O414" s="405"/>
      <c r="P414" s="405"/>
      <c r="Q414" s="382" t="e">
        <f t="shared" si="18"/>
        <v>#DIV/0!</v>
      </c>
      <c r="R414" s="382" t="e">
        <f t="shared" si="16"/>
        <v>#DIV/0!</v>
      </c>
      <c r="S414" s="382" t="e">
        <f t="shared" si="17"/>
        <v>#DIV/0!</v>
      </c>
      <c r="T414" s="184"/>
    </row>
    <row r="415" spans="1:20" s="181" customFormat="1" ht="32.1" customHeight="1" x14ac:dyDescent="0.2">
      <c r="A415" s="361" t="s">
        <v>154</v>
      </c>
      <c r="B415" s="362" t="s">
        <v>3218</v>
      </c>
      <c r="C415" s="362" t="s">
        <v>3219</v>
      </c>
      <c r="D415" s="364">
        <v>30</v>
      </c>
      <c r="E415" s="405"/>
      <c r="F415" s="405"/>
      <c r="G415" s="405">
        <v>97.3</v>
      </c>
      <c r="H415" s="405"/>
      <c r="I415" s="405"/>
      <c r="J415" s="405"/>
      <c r="K415" s="405"/>
      <c r="L415" s="405"/>
      <c r="M415" s="405"/>
      <c r="N415" s="405"/>
      <c r="O415" s="405"/>
      <c r="P415" s="405"/>
      <c r="Q415" s="382">
        <f t="shared" si="18"/>
        <v>97.3</v>
      </c>
      <c r="R415" s="382" t="str">
        <f t="shared" si="16"/>
        <v>NO</v>
      </c>
      <c r="S415" s="382" t="str">
        <f t="shared" si="17"/>
        <v>Inviable Sanitariamente</v>
      </c>
      <c r="T415" s="184"/>
    </row>
    <row r="416" spans="1:20" s="181" customFormat="1" ht="32.1" customHeight="1" x14ac:dyDescent="0.2">
      <c r="A416" s="361" t="s">
        <v>154</v>
      </c>
      <c r="B416" s="362" t="s">
        <v>3220</v>
      </c>
      <c r="C416" s="362" t="s">
        <v>3221</v>
      </c>
      <c r="D416" s="364"/>
      <c r="E416" s="405"/>
      <c r="F416" s="405"/>
      <c r="G416" s="405"/>
      <c r="H416" s="405"/>
      <c r="I416" s="405"/>
      <c r="J416" s="405"/>
      <c r="K416" s="405"/>
      <c r="L416" s="405"/>
      <c r="M416" s="405"/>
      <c r="N416" s="405"/>
      <c r="O416" s="405"/>
      <c r="P416" s="405"/>
      <c r="Q416" s="382" t="e">
        <f t="shared" si="18"/>
        <v>#DIV/0!</v>
      </c>
      <c r="R416" s="382" t="e">
        <f t="shared" si="16"/>
        <v>#DIV/0!</v>
      </c>
      <c r="S416" s="382" t="e">
        <f t="shared" si="17"/>
        <v>#DIV/0!</v>
      </c>
      <c r="T416" s="184"/>
    </row>
    <row r="417" spans="1:20" s="181" customFormat="1" ht="32.1" customHeight="1" x14ac:dyDescent="0.2">
      <c r="A417" s="361" t="s">
        <v>154</v>
      </c>
      <c r="B417" s="362" t="s">
        <v>3222</v>
      </c>
      <c r="C417" s="362" t="s">
        <v>3223</v>
      </c>
      <c r="D417" s="364">
        <v>25</v>
      </c>
      <c r="E417" s="405"/>
      <c r="F417" s="405"/>
      <c r="G417" s="405"/>
      <c r="H417" s="405"/>
      <c r="I417" s="405"/>
      <c r="J417" s="405">
        <v>97.3</v>
      </c>
      <c r="K417" s="405"/>
      <c r="L417" s="405"/>
      <c r="M417" s="405"/>
      <c r="N417" s="405"/>
      <c r="O417" s="405"/>
      <c r="P417" s="405"/>
      <c r="Q417" s="382">
        <f t="shared" si="18"/>
        <v>97.3</v>
      </c>
      <c r="R417" s="382" t="str">
        <f t="shared" si="16"/>
        <v>NO</v>
      </c>
      <c r="S417" s="382" t="str">
        <f t="shared" si="17"/>
        <v>Inviable Sanitariamente</v>
      </c>
      <c r="T417" s="184"/>
    </row>
    <row r="418" spans="1:20" s="181" customFormat="1" ht="32.1" customHeight="1" x14ac:dyDescent="0.2">
      <c r="A418" s="361" t="s">
        <v>154</v>
      </c>
      <c r="B418" s="362" t="s">
        <v>3224</v>
      </c>
      <c r="C418" s="362" t="s">
        <v>3225</v>
      </c>
      <c r="D418" s="364">
        <v>35</v>
      </c>
      <c r="E418" s="405"/>
      <c r="F418" s="405"/>
      <c r="G418" s="405"/>
      <c r="H418" s="405">
        <v>97.3</v>
      </c>
      <c r="I418" s="405"/>
      <c r="J418" s="405"/>
      <c r="K418" s="405"/>
      <c r="L418" s="405"/>
      <c r="M418" s="405"/>
      <c r="N418" s="405"/>
      <c r="O418" s="405"/>
      <c r="P418" s="405"/>
      <c r="Q418" s="382">
        <f t="shared" si="18"/>
        <v>97.3</v>
      </c>
      <c r="R418" s="382" t="str">
        <f t="shared" si="16"/>
        <v>NO</v>
      </c>
      <c r="S418" s="382" t="str">
        <f t="shared" si="17"/>
        <v>Inviable Sanitariamente</v>
      </c>
      <c r="T418" s="184"/>
    </row>
    <row r="419" spans="1:20" s="181" customFormat="1" ht="32.1" customHeight="1" x14ac:dyDescent="0.2">
      <c r="A419" s="361" t="s">
        <v>154</v>
      </c>
      <c r="B419" s="362" t="s">
        <v>3226</v>
      </c>
      <c r="C419" s="362" t="s">
        <v>3227</v>
      </c>
      <c r="D419" s="364">
        <v>40</v>
      </c>
      <c r="E419" s="405">
        <v>46.9</v>
      </c>
      <c r="F419" s="405"/>
      <c r="G419" s="405"/>
      <c r="H419" s="405"/>
      <c r="I419" s="405"/>
      <c r="J419" s="405"/>
      <c r="K419" s="405"/>
      <c r="L419" s="405"/>
      <c r="M419" s="405"/>
      <c r="N419" s="405"/>
      <c r="O419" s="405"/>
      <c r="P419" s="405"/>
      <c r="Q419" s="382">
        <f t="shared" si="18"/>
        <v>46.9</v>
      </c>
      <c r="R419" s="382" t="str">
        <f t="shared" si="16"/>
        <v>NO</v>
      </c>
      <c r="S419" s="382" t="str">
        <f t="shared" si="17"/>
        <v>Alto</v>
      </c>
      <c r="T419" s="184"/>
    </row>
    <row r="420" spans="1:20" s="181" customFormat="1" ht="32.1" customHeight="1" x14ac:dyDescent="0.2">
      <c r="A420" s="361" t="s">
        <v>154</v>
      </c>
      <c r="B420" s="362" t="s">
        <v>52</v>
      </c>
      <c r="C420" s="362" t="s">
        <v>3228</v>
      </c>
      <c r="D420" s="364">
        <v>22</v>
      </c>
      <c r="E420" s="405"/>
      <c r="F420" s="405">
        <v>46.9</v>
      </c>
      <c r="G420" s="405"/>
      <c r="H420" s="405"/>
      <c r="I420" s="405"/>
      <c r="J420" s="405"/>
      <c r="K420" s="405"/>
      <c r="L420" s="405"/>
      <c r="M420" s="405"/>
      <c r="N420" s="405"/>
      <c r="O420" s="405"/>
      <c r="P420" s="405"/>
      <c r="Q420" s="382">
        <f t="shared" si="18"/>
        <v>46.9</v>
      </c>
      <c r="R420" s="382" t="str">
        <f t="shared" ref="R420:R483" si="19">IF(Q420&lt;5,"SI","NO")</f>
        <v>NO</v>
      </c>
      <c r="S420" s="382" t="str">
        <f t="shared" si="17"/>
        <v>Alto</v>
      </c>
      <c r="T420" s="184"/>
    </row>
    <row r="421" spans="1:20" s="181" customFormat="1" ht="32.1" customHeight="1" x14ac:dyDescent="0.2">
      <c r="A421" s="361" t="s">
        <v>154</v>
      </c>
      <c r="B421" s="362" t="s">
        <v>1209</v>
      </c>
      <c r="C421" s="362" t="s">
        <v>3229</v>
      </c>
      <c r="D421" s="364"/>
      <c r="E421" s="405"/>
      <c r="F421" s="405"/>
      <c r="G421" s="405"/>
      <c r="H421" s="405"/>
      <c r="I421" s="405"/>
      <c r="J421" s="405"/>
      <c r="K421" s="405"/>
      <c r="L421" s="405"/>
      <c r="M421" s="405"/>
      <c r="N421" s="405"/>
      <c r="O421" s="405"/>
      <c r="P421" s="405"/>
      <c r="Q421" s="382" t="e">
        <f t="shared" si="18"/>
        <v>#DIV/0!</v>
      </c>
      <c r="R421" s="382" t="e">
        <f t="shared" si="19"/>
        <v>#DIV/0!</v>
      </c>
      <c r="S421" s="382" t="e">
        <f t="shared" ref="S421:S484" si="20">IF(Q421&lt;=5,"Sin Riesgo",IF(Q421 &lt;=14,"Bajo",IF(Q421&lt;=35,"Medio",IF(Q421&lt;=80,"Alto","Inviable Sanitariamente"))))</f>
        <v>#DIV/0!</v>
      </c>
      <c r="T421" s="184"/>
    </row>
    <row r="422" spans="1:20" s="181" customFormat="1" ht="32.1" customHeight="1" x14ac:dyDescent="0.2">
      <c r="A422" s="361" t="s">
        <v>154</v>
      </c>
      <c r="B422" s="362" t="s">
        <v>3230</v>
      </c>
      <c r="C422" s="362" t="s">
        <v>3231</v>
      </c>
      <c r="D422" s="364"/>
      <c r="E422" s="405"/>
      <c r="F422" s="405"/>
      <c r="G422" s="405"/>
      <c r="H422" s="405"/>
      <c r="I422" s="405"/>
      <c r="J422" s="405"/>
      <c r="K422" s="405"/>
      <c r="L422" s="405"/>
      <c r="M422" s="405"/>
      <c r="N422" s="405"/>
      <c r="O422" s="405"/>
      <c r="P422" s="405"/>
      <c r="Q422" s="382" t="e">
        <f t="shared" si="18"/>
        <v>#DIV/0!</v>
      </c>
      <c r="R422" s="382" t="e">
        <f t="shared" si="19"/>
        <v>#DIV/0!</v>
      </c>
      <c r="S422" s="382" t="e">
        <f t="shared" si="20"/>
        <v>#DIV/0!</v>
      </c>
      <c r="T422" s="184"/>
    </row>
    <row r="423" spans="1:20" s="181" customFormat="1" ht="32.1" customHeight="1" x14ac:dyDescent="0.2">
      <c r="A423" s="361" t="s">
        <v>154</v>
      </c>
      <c r="B423" s="362" t="s">
        <v>3232</v>
      </c>
      <c r="C423" s="362" t="s">
        <v>3233</v>
      </c>
      <c r="D423" s="364">
        <v>50</v>
      </c>
      <c r="E423" s="405"/>
      <c r="F423" s="405"/>
      <c r="G423" s="405"/>
      <c r="H423" s="405">
        <v>97.3</v>
      </c>
      <c r="I423" s="405"/>
      <c r="J423" s="405">
        <v>97.3</v>
      </c>
      <c r="K423" s="405"/>
      <c r="L423" s="405"/>
      <c r="M423" s="405"/>
      <c r="N423" s="405"/>
      <c r="O423" s="405"/>
      <c r="P423" s="405"/>
      <c r="Q423" s="382">
        <f t="shared" si="18"/>
        <v>97.3</v>
      </c>
      <c r="R423" s="382" t="str">
        <f t="shared" si="19"/>
        <v>NO</v>
      </c>
      <c r="S423" s="382" t="str">
        <f t="shared" si="20"/>
        <v>Inviable Sanitariamente</v>
      </c>
      <c r="T423" s="184"/>
    </row>
    <row r="424" spans="1:20" s="181" customFormat="1" ht="32.1" customHeight="1" x14ac:dyDescent="0.2">
      <c r="A424" s="361" t="s">
        <v>155</v>
      </c>
      <c r="B424" s="362" t="s">
        <v>3234</v>
      </c>
      <c r="C424" s="362" t="s">
        <v>3235</v>
      </c>
      <c r="D424" s="364">
        <v>415</v>
      </c>
      <c r="E424" s="405">
        <v>26.54</v>
      </c>
      <c r="F424" s="405"/>
      <c r="G424" s="405"/>
      <c r="H424" s="405">
        <v>53.1</v>
      </c>
      <c r="I424" s="405"/>
      <c r="J424" s="405"/>
      <c r="K424" s="405">
        <v>0</v>
      </c>
      <c r="L424" s="405"/>
      <c r="M424" s="405"/>
      <c r="N424" s="405"/>
      <c r="O424" s="405"/>
      <c r="P424" s="405"/>
      <c r="Q424" s="382">
        <f t="shared" si="18"/>
        <v>26.546666666666667</v>
      </c>
      <c r="R424" s="382" t="str">
        <f t="shared" si="19"/>
        <v>NO</v>
      </c>
      <c r="S424" s="382" t="str">
        <f t="shared" si="20"/>
        <v>Medio</v>
      </c>
      <c r="T424" s="184"/>
    </row>
    <row r="425" spans="1:20" s="181" customFormat="1" ht="32.1" customHeight="1" x14ac:dyDescent="0.2">
      <c r="A425" s="361" t="s">
        <v>155</v>
      </c>
      <c r="B425" s="362" t="s">
        <v>3236</v>
      </c>
      <c r="C425" s="362" t="s">
        <v>3237</v>
      </c>
      <c r="D425" s="364">
        <v>142</v>
      </c>
      <c r="E425" s="405">
        <v>26.5</v>
      </c>
      <c r="F425" s="405"/>
      <c r="G425" s="405"/>
      <c r="H425" s="405">
        <v>53.1</v>
      </c>
      <c r="I425" s="405"/>
      <c r="J425" s="405"/>
      <c r="K425" s="405">
        <v>53.1</v>
      </c>
      <c r="L425" s="405"/>
      <c r="M425" s="405"/>
      <c r="N425" s="405"/>
      <c r="O425" s="405"/>
      <c r="P425" s="405"/>
      <c r="Q425" s="382">
        <f t="shared" si="18"/>
        <v>44.233333333333327</v>
      </c>
      <c r="R425" s="382" t="str">
        <f t="shared" si="19"/>
        <v>NO</v>
      </c>
      <c r="S425" s="382" t="str">
        <f t="shared" si="20"/>
        <v>Alto</v>
      </c>
      <c r="T425" s="184"/>
    </row>
    <row r="426" spans="1:20" s="181" customFormat="1" ht="32.1" customHeight="1" x14ac:dyDescent="0.2">
      <c r="A426" s="361" t="s">
        <v>155</v>
      </c>
      <c r="B426" s="362" t="s">
        <v>71</v>
      </c>
      <c r="C426" s="362" t="s">
        <v>3238</v>
      </c>
      <c r="D426" s="364">
        <v>224</v>
      </c>
      <c r="E426" s="405">
        <v>2.6</v>
      </c>
      <c r="F426" s="405"/>
      <c r="G426" s="405"/>
      <c r="H426" s="405">
        <v>0</v>
      </c>
      <c r="I426" s="405"/>
      <c r="J426" s="405"/>
      <c r="K426" s="405"/>
      <c r="L426" s="405">
        <v>0</v>
      </c>
      <c r="M426" s="405"/>
      <c r="N426" s="405"/>
      <c r="O426" s="405">
        <v>0</v>
      </c>
      <c r="P426" s="405"/>
      <c r="Q426" s="382">
        <f t="shared" si="18"/>
        <v>0.65</v>
      </c>
      <c r="R426" s="382" t="str">
        <f t="shared" si="19"/>
        <v>SI</v>
      </c>
      <c r="S426" s="382" t="str">
        <f t="shared" si="20"/>
        <v>Sin Riesgo</v>
      </c>
      <c r="T426" s="184"/>
    </row>
    <row r="427" spans="1:20" s="181" customFormat="1" ht="32.1" customHeight="1" x14ac:dyDescent="0.2">
      <c r="A427" s="361" t="s">
        <v>155</v>
      </c>
      <c r="B427" s="362" t="s">
        <v>3239</v>
      </c>
      <c r="C427" s="362" t="s">
        <v>3240</v>
      </c>
      <c r="D427" s="364">
        <v>200</v>
      </c>
      <c r="E427" s="405"/>
      <c r="F427" s="405">
        <v>53.1</v>
      </c>
      <c r="G427" s="405"/>
      <c r="H427" s="405">
        <v>53.1</v>
      </c>
      <c r="I427" s="405"/>
      <c r="J427" s="405"/>
      <c r="K427" s="405">
        <v>53.1</v>
      </c>
      <c r="L427" s="405"/>
      <c r="M427" s="405"/>
      <c r="N427" s="405"/>
      <c r="O427" s="405"/>
      <c r="P427" s="405"/>
      <c r="Q427" s="382">
        <f t="shared" si="18"/>
        <v>53.1</v>
      </c>
      <c r="R427" s="382" t="str">
        <f t="shared" si="19"/>
        <v>NO</v>
      </c>
      <c r="S427" s="382" t="str">
        <f t="shared" si="20"/>
        <v>Alto</v>
      </c>
      <c r="T427" s="184"/>
    </row>
    <row r="428" spans="1:20" s="181" customFormat="1" ht="32.1" customHeight="1" x14ac:dyDescent="0.2">
      <c r="A428" s="361" t="s">
        <v>155</v>
      </c>
      <c r="B428" s="362" t="s">
        <v>3241</v>
      </c>
      <c r="C428" s="362" t="s">
        <v>3242</v>
      </c>
      <c r="D428" s="364">
        <v>134</v>
      </c>
      <c r="E428" s="405">
        <v>53.1</v>
      </c>
      <c r="F428" s="405"/>
      <c r="G428" s="405"/>
      <c r="H428" s="405"/>
      <c r="I428" s="405"/>
      <c r="J428" s="405"/>
      <c r="K428" s="405"/>
      <c r="L428" s="405"/>
      <c r="M428" s="405"/>
      <c r="N428" s="405"/>
      <c r="O428" s="405"/>
      <c r="P428" s="405"/>
      <c r="Q428" s="382">
        <f t="shared" si="18"/>
        <v>53.1</v>
      </c>
      <c r="R428" s="382" t="str">
        <f t="shared" si="19"/>
        <v>NO</v>
      </c>
      <c r="S428" s="382" t="str">
        <f t="shared" si="20"/>
        <v>Alto</v>
      </c>
      <c r="T428" s="184"/>
    </row>
    <row r="429" spans="1:20" s="181" customFormat="1" ht="32.1" customHeight="1" x14ac:dyDescent="0.2">
      <c r="A429" s="361" t="s">
        <v>155</v>
      </c>
      <c r="B429" s="362" t="s">
        <v>3071</v>
      </c>
      <c r="C429" s="362" t="s">
        <v>3243</v>
      </c>
      <c r="D429" s="364">
        <v>60</v>
      </c>
      <c r="E429" s="405"/>
      <c r="F429" s="405">
        <v>53.1</v>
      </c>
      <c r="G429" s="405"/>
      <c r="H429" s="405"/>
      <c r="I429" s="405"/>
      <c r="J429" s="405"/>
      <c r="K429" s="405"/>
      <c r="L429" s="405"/>
      <c r="M429" s="405"/>
      <c r="N429" s="405"/>
      <c r="O429" s="405"/>
      <c r="P429" s="405"/>
      <c r="Q429" s="382">
        <f t="shared" si="18"/>
        <v>53.1</v>
      </c>
      <c r="R429" s="382" t="str">
        <f t="shared" si="19"/>
        <v>NO</v>
      </c>
      <c r="S429" s="382" t="str">
        <f t="shared" si="20"/>
        <v>Alto</v>
      </c>
      <c r="T429" s="184"/>
    </row>
    <row r="430" spans="1:20" s="181" customFormat="1" ht="32.1" customHeight="1" x14ac:dyDescent="0.2">
      <c r="A430" s="361" t="s">
        <v>155</v>
      </c>
      <c r="B430" s="362" t="s">
        <v>458</v>
      </c>
      <c r="C430" s="362" t="s">
        <v>3244</v>
      </c>
      <c r="D430" s="364">
        <v>32</v>
      </c>
      <c r="E430" s="405"/>
      <c r="F430" s="405">
        <v>53.1</v>
      </c>
      <c r="G430" s="405"/>
      <c r="H430" s="405"/>
      <c r="I430" s="405"/>
      <c r="J430" s="405"/>
      <c r="K430" s="405"/>
      <c r="L430" s="405"/>
      <c r="M430" s="405"/>
      <c r="N430" s="405"/>
      <c r="O430" s="405"/>
      <c r="P430" s="405"/>
      <c r="Q430" s="382">
        <f t="shared" si="18"/>
        <v>53.1</v>
      </c>
      <c r="R430" s="382" t="str">
        <f t="shared" si="19"/>
        <v>NO</v>
      </c>
      <c r="S430" s="382" t="str">
        <f t="shared" si="20"/>
        <v>Alto</v>
      </c>
      <c r="T430" s="184"/>
    </row>
    <row r="431" spans="1:20" s="181" customFormat="1" ht="32.1" customHeight="1" x14ac:dyDescent="0.2">
      <c r="A431" s="361" t="s">
        <v>155</v>
      </c>
      <c r="B431" s="362" t="s">
        <v>3245</v>
      </c>
      <c r="C431" s="362" t="s">
        <v>3246</v>
      </c>
      <c r="D431" s="364">
        <v>16</v>
      </c>
      <c r="E431" s="405"/>
      <c r="F431" s="405">
        <v>53.1</v>
      </c>
      <c r="G431" s="405"/>
      <c r="H431" s="405"/>
      <c r="I431" s="405"/>
      <c r="J431" s="405"/>
      <c r="K431" s="405"/>
      <c r="L431" s="405"/>
      <c r="M431" s="405"/>
      <c r="N431" s="405"/>
      <c r="O431" s="405"/>
      <c r="P431" s="405"/>
      <c r="Q431" s="382">
        <f t="shared" si="18"/>
        <v>53.1</v>
      </c>
      <c r="R431" s="382" t="str">
        <f t="shared" si="19"/>
        <v>NO</v>
      </c>
      <c r="S431" s="382" t="str">
        <f t="shared" si="20"/>
        <v>Alto</v>
      </c>
      <c r="T431" s="184"/>
    </row>
    <row r="432" spans="1:20" s="181" customFormat="1" ht="32.1" customHeight="1" x14ac:dyDescent="0.2">
      <c r="A432" s="361" t="s">
        <v>155</v>
      </c>
      <c r="B432" s="362" t="s">
        <v>3247</v>
      </c>
      <c r="C432" s="362" t="s">
        <v>3248</v>
      </c>
      <c r="D432" s="364"/>
      <c r="E432" s="405"/>
      <c r="F432" s="405"/>
      <c r="G432" s="405"/>
      <c r="H432" s="405"/>
      <c r="I432" s="405"/>
      <c r="J432" s="405"/>
      <c r="K432" s="405"/>
      <c r="L432" s="405"/>
      <c r="M432" s="405"/>
      <c r="N432" s="405"/>
      <c r="O432" s="405"/>
      <c r="P432" s="405"/>
      <c r="Q432" s="382" t="e">
        <f t="shared" si="18"/>
        <v>#DIV/0!</v>
      </c>
      <c r="R432" s="382" t="e">
        <f t="shared" si="19"/>
        <v>#DIV/0!</v>
      </c>
      <c r="S432" s="382" t="e">
        <f t="shared" si="20"/>
        <v>#DIV/0!</v>
      </c>
      <c r="T432" s="184"/>
    </row>
    <row r="433" spans="1:20" s="181" customFormat="1" ht="32.1" customHeight="1" x14ac:dyDescent="0.2">
      <c r="A433" s="361" t="s">
        <v>155</v>
      </c>
      <c r="B433" s="362" t="s">
        <v>3249</v>
      </c>
      <c r="C433" s="362" t="s">
        <v>3250</v>
      </c>
      <c r="D433" s="364">
        <v>152</v>
      </c>
      <c r="E433" s="405"/>
      <c r="F433" s="405">
        <v>0</v>
      </c>
      <c r="G433" s="405"/>
      <c r="H433" s="405">
        <v>32.200000000000003</v>
      </c>
      <c r="I433" s="405"/>
      <c r="J433" s="405"/>
      <c r="K433" s="405">
        <v>0</v>
      </c>
      <c r="L433" s="405"/>
      <c r="M433" s="405"/>
      <c r="N433" s="405"/>
      <c r="O433" s="405"/>
      <c r="P433" s="405"/>
      <c r="Q433" s="382">
        <f t="shared" si="18"/>
        <v>10.733333333333334</v>
      </c>
      <c r="R433" s="382" t="str">
        <f t="shared" si="19"/>
        <v>NO</v>
      </c>
      <c r="S433" s="382" t="str">
        <f t="shared" si="20"/>
        <v>Bajo</v>
      </c>
      <c r="T433" s="184"/>
    </row>
    <row r="434" spans="1:20" s="181" customFormat="1" ht="32.1" customHeight="1" x14ac:dyDescent="0.2">
      <c r="A434" s="361" t="s">
        <v>155</v>
      </c>
      <c r="B434" s="362" t="s">
        <v>3251</v>
      </c>
      <c r="C434" s="362" t="s">
        <v>3252</v>
      </c>
      <c r="D434" s="364">
        <v>36</v>
      </c>
      <c r="E434" s="405"/>
      <c r="F434" s="405"/>
      <c r="G434" s="405"/>
      <c r="H434" s="405"/>
      <c r="I434" s="405"/>
      <c r="J434" s="405"/>
      <c r="K434" s="405"/>
      <c r="L434" s="405"/>
      <c r="M434" s="405"/>
      <c r="N434" s="405"/>
      <c r="O434" s="405">
        <v>53.1</v>
      </c>
      <c r="P434" s="405"/>
      <c r="Q434" s="382">
        <f t="shared" si="18"/>
        <v>53.1</v>
      </c>
      <c r="R434" s="382" t="str">
        <f t="shared" si="19"/>
        <v>NO</v>
      </c>
      <c r="S434" s="382" t="str">
        <f t="shared" si="20"/>
        <v>Alto</v>
      </c>
      <c r="T434" s="184"/>
    </row>
    <row r="435" spans="1:20" s="181" customFormat="1" ht="43.5" customHeight="1" x14ac:dyDescent="0.2">
      <c r="A435" s="361" t="s">
        <v>155</v>
      </c>
      <c r="B435" s="362" t="s">
        <v>3253</v>
      </c>
      <c r="C435" s="362" t="s">
        <v>3254</v>
      </c>
      <c r="D435" s="364">
        <v>220</v>
      </c>
      <c r="E435" s="405"/>
      <c r="F435" s="405">
        <v>53.1</v>
      </c>
      <c r="G435" s="405"/>
      <c r="H435" s="405"/>
      <c r="I435" s="405"/>
      <c r="J435" s="405"/>
      <c r="K435" s="405"/>
      <c r="L435" s="405"/>
      <c r="M435" s="405"/>
      <c r="N435" s="405"/>
      <c r="O435" s="405"/>
      <c r="P435" s="405"/>
      <c r="Q435" s="382">
        <f t="shared" ref="Q435:Q498" si="21">AVERAGE(E435:P435)</f>
        <v>53.1</v>
      </c>
      <c r="R435" s="382" t="str">
        <f t="shared" si="19"/>
        <v>NO</v>
      </c>
      <c r="S435" s="382" t="str">
        <f t="shared" si="20"/>
        <v>Alto</v>
      </c>
      <c r="T435" s="184"/>
    </row>
    <row r="436" spans="1:20" s="181" customFormat="1" ht="32.1" customHeight="1" x14ac:dyDescent="0.2">
      <c r="A436" s="361" t="s">
        <v>155</v>
      </c>
      <c r="B436" s="362" t="s">
        <v>3255</v>
      </c>
      <c r="C436" s="362" t="s">
        <v>3256</v>
      </c>
      <c r="D436" s="364">
        <v>40</v>
      </c>
      <c r="E436" s="405"/>
      <c r="F436" s="405">
        <v>53.1</v>
      </c>
      <c r="G436" s="405"/>
      <c r="H436" s="405"/>
      <c r="I436" s="405"/>
      <c r="J436" s="405"/>
      <c r="K436" s="405"/>
      <c r="L436" s="405"/>
      <c r="M436" s="405"/>
      <c r="N436" s="405"/>
      <c r="O436" s="405"/>
      <c r="P436" s="405"/>
      <c r="Q436" s="382">
        <f t="shared" si="21"/>
        <v>53.1</v>
      </c>
      <c r="R436" s="382" t="str">
        <f t="shared" si="19"/>
        <v>NO</v>
      </c>
      <c r="S436" s="382" t="str">
        <f t="shared" si="20"/>
        <v>Alto</v>
      </c>
      <c r="T436" s="184"/>
    </row>
    <row r="437" spans="1:20" s="181" customFormat="1" ht="32.1" customHeight="1" x14ac:dyDescent="0.2">
      <c r="A437" s="361" t="s">
        <v>155</v>
      </c>
      <c r="B437" s="362" t="s">
        <v>652</v>
      </c>
      <c r="C437" s="362" t="s">
        <v>3257</v>
      </c>
      <c r="D437" s="364">
        <v>56</v>
      </c>
      <c r="E437" s="405"/>
      <c r="F437" s="405">
        <v>53.1</v>
      </c>
      <c r="G437" s="405"/>
      <c r="H437" s="405"/>
      <c r="I437" s="405"/>
      <c r="J437" s="405"/>
      <c r="K437" s="405"/>
      <c r="L437" s="405"/>
      <c r="M437" s="405"/>
      <c r="N437" s="405"/>
      <c r="O437" s="405"/>
      <c r="P437" s="405"/>
      <c r="Q437" s="382">
        <f t="shared" si="21"/>
        <v>53.1</v>
      </c>
      <c r="R437" s="382" t="str">
        <f t="shared" si="19"/>
        <v>NO</v>
      </c>
      <c r="S437" s="382" t="str">
        <f t="shared" si="20"/>
        <v>Alto</v>
      </c>
      <c r="T437" s="184"/>
    </row>
    <row r="438" spans="1:20" s="181" customFormat="1" ht="32.1" customHeight="1" x14ac:dyDescent="0.2">
      <c r="A438" s="361" t="s">
        <v>155</v>
      </c>
      <c r="B438" s="362" t="s">
        <v>3258</v>
      </c>
      <c r="C438" s="362" t="s">
        <v>3259</v>
      </c>
      <c r="D438" s="364">
        <v>121</v>
      </c>
      <c r="E438" s="405"/>
      <c r="F438" s="405">
        <v>53.1</v>
      </c>
      <c r="G438" s="405"/>
      <c r="H438" s="405"/>
      <c r="I438" s="405"/>
      <c r="J438" s="405"/>
      <c r="K438" s="405"/>
      <c r="L438" s="405"/>
      <c r="M438" s="405"/>
      <c r="N438" s="405"/>
      <c r="O438" s="405"/>
      <c r="P438" s="405"/>
      <c r="Q438" s="382">
        <f t="shared" si="21"/>
        <v>53.1</v>
      </c>
      <c r="R438" s="382" t="str">
        <f t="shared" si="19"/>
        <v>NO</v>
      </c>
      <c r="S438" s="382" t="str">
        <f t="shared" si="20"/>
        <v>Alto</v>
      </c>
      <c r="T438" s="184"/>
    </row>
    <row r="439" spans="1:20" s="181" customFormat="1" ht="32.1" customHeight="1" x14ac:dyDescent="0.2">
      <c r="A439" s="361" t="s">
        <v>155</v>
      </c>
      <c r="B439" s="362" t="s">
        <v>3260</v>
      </c>
      <c r="C439" s="362" t="s">
        <v>3261</v>
      </c>
      <c r="D439" s="364">
        <v>82</v>
      </c>
      <c r="E439" s="405"/>
      <c r="F439" s="405"/>
      <c r="G439" s="405">
        <v>53.1</v>
      </c>
      <c r="H439" s="405"/>
      <c r="I439" s="405"/>
      <c r="J439" s="405"/>
      <c r="K439" s="405"/>
      <c r="L439" s="405"/>
      <c r="M439" s="405"/>
      <c r="N439" s="405"/>
      <c r="O439" s="405"/>
      <c r="P439" s="405"/>
      <c r="Q439" s="382">
        <f t="shared" si="21"/>
        <v>53.1</v>
      </c>
      <c r="R439" s="382" t="str">
        <f t="shared" si="19"/>
        <v>NO</v>
      </c>
      <c r="S439" s="382" t="str">
        <f t="shared" si="20"/>
        <v>Alto</v>
      </c>
      <c r="T439" s="184"/>
    </row>
    <row r="440" spans="1:20" s="181" customFormat="1" ht="32.1" customHeight="1" x14ac:dyDescent="0.2">
      <c r="A440" s="361" t="s">
        <v>155</v>
      </c>
      <c r="B440" s="362" t="s">
        <v>3262</v>
      </c>
      <c r="C440" s="362" t="s">
        <v>3263</v>
      </c>
      <c r="D440" s="364">
        <v>119</v>
      </c>
      <c r="E440" s="405"/>
      <c r="F440" s="405">
        <v>53.1</v>
      </c>
      <c r="G440" s="405"/>
      <c r="H440" s="405"/>
      <c r="I440" s="405"/>
      <c r="J440" s="405"/>
      <c r="K440" s="405"/>
      <c r="L440" s="405"/>
      <c r="M440" s="405"/>
      <c r="N440" s="405"/>
      <c r="O440" s="405"/>
      <c r="P440" s="405"/>
      <c r="Q440" s="382">
        <f t="shared" si="21"/>
        <v>53.1</v>
      </c>
      <c r="R440" s="382" t="str">
        <f t="shared" si="19"/>
        <v>NO</v>
      </c>
      <c r="S440" s="382" t="str">
        <f t="shared" si="20"/>
        <v>Alto</v>
      </c>
      <c r="T440" s="184"/>
    </row>
    <row r="441" spans="1:20" s="181" customFormat="1" ht="32.1" customHeight="1" x14ac:dyDescent="0.2">
      <c r="A441" s="361" t="s">
        <v>155</v>
      </c>
      <c r="B441" s="362" t="s">
        <v>3264</v>
      </c>
      <c r="C441" s="362" t="s">
        <v>3265</v>
      </c>
      <c r="D441" s="364">
        <v>315</v>
      </c>
      <c r="E441" s="405"/>
      <c r="F441" s="405">
        <v>53.1</v>
      </c>
      <c r="G441" s="405"/>
      <c r="H441" s="405"/>
      <c r="I441" s="405"/>
      <c r="J441" s="405"/>
      <c r="K441" s="405"/>
      <c r="L441" s="405"/>
      <c r="M441" s="405"/>
      <c r="N441" s="405"/>
      <c r="O441" s="405"/>
      <c r="P441" s="405"/>
      <c r="Q441" s="382">
        <f t="shared" si="21"/>
        <v>53.1</v>
      </c>
      <c r="R441" s="382" t="str">
        <f t="shared" si="19"/>
        <v>NO</v>
      </c>
      <c r="S441" s="382" t="str">
        <f t="shared" si="20"/>
        <v>Alto</v>
      </c>
      <c r="T441" s="184"/>
    </row>
    <row r="442" spans="1:20" s="181" customFormat="1" ht="32.1" customHeight="1" x14ac:dyDescent="0.2">
      <c r="A442" s="361" t="s">
        <v>155</v>
      </c>
      <c r="B442" s="362" t="s">
        <v>3266</v>
      </c>
      <c r="C442" s="362" t="s">
        <v>3267</v>
      </c>
      <c r="D442" s="364">
        <v>30</v>
      </c>
      <c r="E442" s="405"/>
      <c r="F442" s="405">
        <v>53.1</v>
      </c>
      <c r="G442" s="405"/>
      <c r="H442" s="405"/>
      <c r="I442" s="405"/>
      <c r="J442" s="405"/>
      <c r="K442" s="405"/>
      <c r="L442" s="405"/>
      <c r="M442" s="405"/>
      <c r="N442" s="405"/>
      <c r="O442" s="405"/>
      <c r="P442" s="405"/>
      <c r="Q442" s="382">
        <f t="shared" si="21"/>
        <v>53.1</v>
      </c>
      <c r="R442" s="382" t="str">
        <f t="shared" si="19"/>
        <v>NO</v>
      </c>
      <c r="S442" s="382" t="str">
        <f t="shared" si="20"/>
        <v>Alto</v>
      </c>
      <c r="T442" s="184"/>
    </row>
    <row r="443" spans="1:20" s="181" customFormat="1" ht="32.1" customHeight="1" x14ac:dyDescent="0.2">
      <c r="A443" s="361" t="s">
        <v>155</v>
      </c>
      <c r="B443" s="362" t="s">
        <v>3268</v>
      </c>
      <c r="C443" s="362" t="s">
        <v>3269</v>
      </c>
      <c r="D443" s="364">
        <v>45</v>
      </c>
      <c r="E443" s="405"/>
      <c r="F443" s="405">
        <v>53.1</v>
      </c>
      <c r="G443" s="405"/>
      <c r="H443" s="405"/>
      <c r="I443" s="405"/>
      <c r="J443" s="405"/>
      <c r="K443" s="405"/>
      <c r="L443" s="405"/>
      <c r="M443" s="405"/>
      <c r="N443" s="405"/>
      <c r="O443" s="405"/>
      <c r="P443" s="405"/>
      <c r="Q443" s="382">
        <f t="shared" si="21"/>
        <v>53.1</v>
      </c>
      <c r="R443" s="382" t="str">
        <f t="shared" si="19"/>
        <v>NO</v>
      </c>
      <c r="S443" s="382" t="str">
        <f t="shared" si="20"/>
        <v>Alto</v>
      </c>
      <c r="T443" s="184"/>
    </row>
    <row r="444" spans="1:20" s="181" customFormat="1" ht="32.1" customHeight="1" x14ac:dyDescent="0.2">
      <c r="A444" s="361" t="s">
        <v>155</v>
      </c>
      <c r="B444" s="362" t="s">
        <v>3270</v>
      </c>
      <c r="C444" s="362" t="s">
        <v>3271</v>
      </c>
      <c r="D444" s="364">
        <v>140</v>
      </c>
      <c r="E444" s="405">
        <v>53.1</v>
      </c>
      <c r="F444" s="405"/>
      <c r="G444" s="405"/>
      <c r="H444" s="405"/>
      <c r="I444" s="405"/>
      <c r="J444" s="405"/>
      <c r="K444" s="405"/>
      <c r="L444" s="405"/>
      <c r="M444" s="405"/>
      <c r="N444" s="405"/>
      <c r="O444" s="405"/>
      <c r="P444" s="405"/>
      <c r="Q444" s="382">
        <f t="shared" si="21"/>
        <v>53.1</v>
      </c>
      <c r="R444" s="382" t="str">
        <f t="shared" si="19"/>
        <v>NO</v>
      </c>
      <c r="S444" s="382" t="str">
        <f t="shared" si="20"/>
        <v>Alto</v>
      </c>
      <c r="T444" s="184"/>
    </row>
    <row r="445" spans="1:20" s="181" customFormat="1" ht="32.1" customHeight="1" x14ac:dyDescent="0.2">
      <c r="A445" s="361" t="s">
        <v>155</v>
      </c>
      <c r="B445" s="362" t="s">
        <v>3272</v>
      </c>
      <c r="C445" s="362" t="s">
        <v>3273</v>
      </c>
      <c r="D445" s="364">
        <v>311</v>
      </c>
      <c r="E445" s="405">
        <v>53.1</v>
      </c>
      <c r="F445" s="405"/>
      <c r="G445" s="405"/>
      <c r="H445" s="405"/>
      <c r="I445" s="405"/>
      <c r="J445" s="405"/>
      <c r="K445" s="405"/>
      <c r="L445" s="405"/>
      <c r="M445" s="405"/>
      <c r="N445" s="405"/>
      <c r="O445" s="405"/>
      <c r="P445" s="405"/>
      <c r="Q445" s="382">
        <f t="shared" si="21"/>
        <v>53.1</v>
      </c>
      <c r="R445" s="382" t="str">
        <f t="shared" si="19"/>
        <v>NO</v>
      </c>
      <c r="S445" s="382" t="str">
        <f t="shared" si="20"/>
        <v>Alto</v>
      </c>
      <c r="T445" s="184"/>
    </row>
    <row r="446" spans="1:20" s="181" customFormat="1" ht="32.1" customHeight="1" x14ac:dyDescent="0.2">
      <c r="A446" s="361" t="s">
        <v>155</v>
      </c>
      <c r="B446" s="362" t="s">
        <v>3274</v>
      </c>
      <c r="C446" s="362" t="s">
        <v>3275</v>
      </c>
      <c r="D446" s="364">
        <v>40</v>
      </c>
      <c r="E446" s="405"/>
      <c r="F446" s="405">
        <v>53.1</v>
      </c>
      <c r="G446" s="405"/>
      <c r="H446" s="405"/>
      <c r="I446" s="405"/>
      <c r="J446" s="405"/>
      <c r="K446" s="405"/>
      <c r="L446" s="405"/>
      <c r="M446" s="405"/>
      <c r="N446" s="405"/>
      <c r="O446" s="405"/>
      <c r="P446" s="405"/>
      <c r="Q446" s="382">
        <f t="shared" si="21"/>
        <v>53.1</v>
      </c>
      <c r="R446" s="382" t="str">
        <f t="shared" si="19"/>
        <v>NO</v>
      </c>
      <c r="S446" s="382" t="str">
        <f t="shared" si="20"/>
        <v>Alto</v>
      </c>
      <c r="T446" s="184"/>
    </row>
    <row r="447" spans="1:20" s="181" customFormat="1" ht="32.1" customHeight="1" x14ac:dyDescent="0.2">
      <c r="A447" s="361" t="s">
        <v>155</v>
      </c>
      <c r="B447" s="362" t="s">
        <v>1028</v>
      </c>
      <c r="C447" s="362" t="s">
        <v>3276</v>
      </c>
      <c r="D447" s="364"/>
      <c r="E447" s="405"/>
      <c r="F447" s="405"/>
      <c r="G447" s="405"/>
      <c r="H447" s="405"/>
      <c r="I447" s="405"/>
      <c r="J447" s="405"/>
      <c r="K447" s="405"/>
      <c r="L447" s="405"/>
      <c r="M447" s="405"/>
      <c r="N447" s="405"/>
      <c r="O447" s="405"/>
      <c r="P447" s="405"/>
      <c r="Q447" s="382" t="e">
        <f t="shared" si="21"/>
        <v>#DIV/0!</v>
      </c>
      <c r="R447" s="382" t="e">
        <f t="shared" si="19"/>
        <v>#DIV/0!</v>
      </c>
      <c r="S447" s="382" t="e">
        <f t="shared" si="20"/>
        <v>#DIV/0!</v>
      </c>
      <c r="T447" s="184"/>
    </row>
    <row r="448" spans="1:20" s="181" customFormat="1" ht="32.1" customHeight="1" x14ac:dyDescent="0.2">
      <c r="A448" s="361" t="s">
        <v>155</v>
      </c>
      <c r="B448" s="362" t="s">
        <v>3277</v>
      </c>
      <c r="C448" s="362" t="s">
        <v>3278</v>
      </c>
      <c r="D448" s="364">
        <v>185</v>
      </c>
      <c r="E448" s="405"/>
      <c r="F448" s="405">
        <v>53.1</v>
      </c>
      <c r="G448" s="405"/>
      <c r="H448" s="405"/>
      <c r="I448" s="405"/>
      <c r="J448" s="405"/>
      <c r="K448" s="405"/>
      <c r="L448" s="405"/>
      <c r="M448" s="405"/>
      <c r="N448" s="405"/>
      <c r="O448" s="405"/>
      <c r="P448" s="405"/>
      <c r="Q448" s="382">
        <f t="shared" si="21"/>
        <v>53.1</v>
      </c>
      <c r="R448" s="382" t="str">
        <f t="shared" si="19"/>
        <v>NO</v>
      </c>
      <c r="S448" s="382" t="str">
        <f t="shared" si="20"/>
        <v>Alto</v>
      </c>
      <c r="T448" s="184"/>
    </row>
    <row r="449" spans="1:20" s="181" customFormat="1" ht="32.1" customHeight="1" x14ac:dyDescent="0.2">
      <c r="A449" s="361" t="s">
        <v>155</v>
      </c>
      <c r="B449" s="362" t="s">
        <v>3279</v>
      </c>
      <c r="C449" s="362" t="s">
        <v>3280</v>
      </c>
      <c r="D449" s="364">
        <v>48</v>
      </c>
      <c r="E449" s="405"/>
      <c r="F449" s="405">
        <v>53.1</v>
      </c>
      <c r="G449" s="405"/>
      <c r="H449" s="405"/>
      <c r="I449" s="405"/>
      <c r="J449" s="405"/>
      <c r="K449" s="405"/>
      <c r="L449" s="405"/>
      <c r="M449" s="405"/>
      <c r="N449" s="405"/>
      <c r="O449" s="405"/>
      <c r="P449" s="405"/>
      <c r="Q449" s="382">
        <f t="shared" si="21"/>
        <v>53.1</v>
      </c>
      <c r="R449" s="382" t="str">
        <f t="shared" si="19"/>
        <v>NO</v>
      </c>
      <c r="S449" s="382" t="str">
        <f t="shared" si="20"/>
        <v>Alto</v>
      </c>
      <c r="T449" s="184"/>
    </row>
    <row r="450" spans="1:20" s="181" customFormat="1" ht="32.1" customHeight="1" x14ac:dyDescent="0.2">
      <c r="A450" s="361" t="s">
        <v>155</v>
      </c>
      <c r="B450" s="362" t="s">
        <v>3281</v>
      </c>
      <c r="C450" s="362" t="s">
        <v>3282</v>
      </c>
      <c r="D450" s="364">
        <v>28</v>
      </c>
      <c r="E450" s="405"/>
      <c r="F450" s="405">
        <v>53.1</v>
      </c>
      <c r="G450" s="405"/>
      <c r="H450" s="405"/>
      <c r="I450" s="405"/>
      <c r="J450" s="405"/>
      <c r="K450" s="405"/>
      <c r="L450" s="405"/>
      <c r="M450" s="405"/>
      <c r="N450" s="405"/>
      <c r="O450" s="405"/>
      <c r="P450" s="405"/>
      <c r="Q450" s="382">
        <f t="shared" si="21"/>
        <v>53.1</v>
      </c>
      <c r="R450" s="382" t="str">
        <f t="shared" si="19"/>
        <v>NO</v>
      </c>
      <c r="S450" s="382" t="str">
        <f t="shared" si="20"/>
        <v>Alto</v>
      </c>
      <c r="T450" s="184"/>
    </row>
    <row r="451" spans="1:20" s="181" customFormat="1" ht="32.1" customHeight="1" x14ac:dyDescent="0.2">
      <c r="A451" s="361" t="s">
        <v>155</v>
      </c>
      <c r="B451" s="362" t="s">
        <v>3283</v>
      </c>
      <c r="C451" s="362" t="s">
        <v>3284</v>
      </c>
      <c r="D451" s="364">
        <v>32</v>
      </c>
      <c r="E451" s="405"/>
      <c r="F451" s="405">
        <v>53.1</v>
      </c>
      <c r="G451" s="405"/>
      <c r="H451" s="405"/>
      <c r="I451" s="405"/>
      <c r="J451" s="405"/>
      <c r="K451" s="405"/>
      <c r="L451" s="405"/>
      <c r="M451" s="405"/>
      <c r="N451" s="405"/>
      <c r="O451" s="405"/>
      <c r="P451" s="405"/>
      <c r="Q451" s="382">
        <f t="shared" si="21"/>
        <v>53.1</v>
      </c>
      <c r="R451" s="382" t="str">
        <f t="shared" si="19"/>
        <v>NO</v>
      </c>
      <c r="S451" s="382" t="str">
        <f t="shared" si="20"/>
        <v>Alto</v>
      </c>
      <c r="T451" s="184"/>
    </row>
    <row r="452" spans="1:20" s="181" customFormat="1" ht="32.1" customHeight="1" x14ac:dyDescent="0.2">
      <c r="A452" s="361" t="s">
        <v>3285</v>
      </c>
      <c r="B452" s="362" t="s">
        <v>2111</v>
      </c>
      <c r="C452" s="362" t="s">
        <v>2693</v>
      </c>
      <c r="D452" s="364">
        <v>116</v>
      </c>
      <c r="E452" s="405"/>
      <c r="F452" s="405"/>
      <c r="G452" s="405"/>
      <c r="H452" s="405"/>
      <c r="I452" s="405"/>
      <c r="J452" s="405">
        <v>97.3</v>
      </c>
      <c r="K452" s="405"/>
      <c r="L452" s="405"/>
      <c r="M452" s="405"/>
      <c r="N452" s="405"/>
      <c r="O452" s="405"/>
      <c r="P452" s="405"/>
      <c r="Q452" s="382">
        <f t="shared" si="21"/>
        <v>97.3</v>
      </c>
      <c r="R452" s="382" t="str">
        <f t="shared" si="19"/>
        <v>NO</v>
      </c>
      <c r="S452" s="382" t="str">
        <f t="shared" si="20"/>
        <v>Inviable Sanitariamente</v>
      </c>
      <c r="T452" s="184"/>
    </row>
    <row r="453" spans="1:20" s="181" customFormat="1" ht="32.1" customHeight="1" x14ac:dyDescent="0.2">
      <c r="A453" s="361" t="s">
        <v>3285</v>
      </c>
      <c r="B453" s="362" t="s">
        <v>2093</v>
      </c>
      <c r="C453" s="362" t="s">
        <v>3286</v>
      </c>
      <c r="D453" s="364">
        <v>73</v>
      </c>
      <c r="E453" s="405"/>
      <c r="F453" s="405">
        <v>97.3</v>
      </c>
      <c r="G453" s="405"/>
      <c r="H453" s="405"/>
      <c r="I453" s="405"/>
      <c r="J453" s="405"/>
      <c r="K453" s="405"/>
      <c r="L453" s="405"/>
      <c r="M453" s="405"/>
      <c r="N453" s="405"/>
      <c r="O453" s="405"/>
      <c r="P453" s="405"/>
      <c r="Q453" s="382">
        <f t="shared" si="21"/>
        <v>97.3</v>
      </c>
      <c r="R453" s="382" t="str">
        <f t="shared" si="19"/>
        <v>NO</v>
      </c>
      <c r="S453" s="382" t="str">
        <f t="shared" si="20"/>
        <v>Inviable Sanitariamente</v>
      </c>
      <c r="T453" s="184"/>
    </row>
    <row r="454" spans="1:20" s="181" customFormat="1" ht="32.1" customHeight="1" x14ac:dyDescent="0.2">
      <c r="A454" s="361" t="s">
        <v>3285</v>
      </c>
      <c r="B454" s="362" t="s">
        <v>3287</v>
      </c>
      <c r="C454" s="362" t="s">
        <v>3288</v>
      </c>
      <c r="D454" s="364">
        <v>63</v>
      </c>
      <c r="E454" s="405"/>
      <c r="F454" s="405">
        <v>97.3</v>
      </c>
      <c r="G454" s="405"/>
      <c r="H454" s="405"/>
      <c r="I454" s="405"/>
      <c r="J454" s="405"/>
      <c r="K454" s="405"/>
      <c r="L454" s="405"/>
      <c r="M454" s="405"/>
      <c r="N454" s="405"/>
      <c r="O454" s="405"/>
      <c r="P454" s="405"/>
      <c r="Q454" s="382">
        <f t="shared" si="21"/>
        <v>97.3</v>
      </c>
      <c r="R454" s="382" t="str">
        <f t="shared" si="19"/>
        <v>NO</v>
      </c>
      <c r="S454" s="382" t="str">
        <f t="shared" si="20"/>
        <v>Inviable Sanitariamente</v>
      </c>
      <c r="T454" s="184"/>
    </row>
    <row r="455" spans="1:20" s="181" customFormat="1" ht="32.1" customHeight="1" x14ac:dyDescent="0.2">
      <c r="A455" s="361" t="s">
        <v>3285</v>
      </c>
      <c r="B455" s="362" t="s">
        <v>3289</v>
      </c>
      <c r="C455" s="362" t="s">
        <v>3290</v>
      </c>
      <c r="D455" s="364">
        <v>38</v>
      </c>
      <c r="E455" s="405"/>
      <c r="F455" s="405">
        <v>97.3</v>
      </c>
      <c r="G455" s="405"/>
      <c r="H455" s="405"/>
      <c r="I455" s="405"/>
      <c r="J455" s="405"/>
      <c r="K455" s="405"/>
      <c r="L455" s="405"/>
      <c r="M455" s="405"/>
      <c r="N455" s="405"/>
      <c r="O455" s="405"/>
      <c r="P455" s="405"/>
      <c r="Q455" s="382">
        <f t="shared" si="21"/>
        <v>97.3</v>
      </c>
      <c r="R455" s="382" t="str">
        <f t="shared" si="19"/>
        <v>NO</v>
      </c>
      <c r="S455" s="382" t="str">
        <f t="shared" si="20"/>
        <v>Inviable Sanitariamente</v>
      </c>
      <c r="T455" s="184"/>
    </row>
    <row r="456" spans="1:20" s="181" customFormat="1" ht="32.1" customHeight="1" x14ac:dyDescent="0.2">
      <c r="A456" s="361" t="s">
        <v>3285</v>
      </c>
      <c r="B456" s="362" t="s">
        <v>3175</v>
      </c>
      <c r="C456" s="362" t="s">
        <v>3291</v>
      </c>
      <c r="D456" s="364">
        <v>40</v>
      </c>
      <c r="E456" s="405"/>
      <c r="F456" s="405"/>
      <c r="G456" s="405"/>
      <c r="H456" s="405"/>
      <c r="I456" s="405"/>
      <c r="J456" s="405"/>
      <c r="K456" s="405">
        <v>97.3</v>
      </c>
      <c r="L456" s="405"/>
      <c r="M456" s="405"/>
      <c r="N456" s="405"/>
      <c r="O456" s="405"/>
      <c r="P456" s="405"/>
      <c r="Q456" s="382">
        <f t="shared" si="21"/>
        <v>97.3</v>
      </c>
      <c r="R456" s="382" t="str">
        <f t="shared" si="19"/>
        <v>NO</v>
      </c>
      <c r="S456" s="382" t="str">
        <f t="shared" si="20"/>
        <v>Inviable Sanitariamente</v>
      </c>
      <c r="T456" s="184"/>
    </row>
    <row r="457" spans="1:20" s="181" customFormat="1" ht="32.1" customHeight="1" x14ac:dyDescent="0.2">
      <c r="A457" s="361" t="s">
        <v>3285</v>
      </c>
      <c r="B457" s="362" t="s">
        <v>2748</v>
      </c>
      <c r="C457" s="362" t="s">
        <v>3292</v>
      </c>
      <c r="D457" s="364">
        <v>50</v>
      </c>
      <c r="E457" s="405"/>
      <c r="F457" s="405"/>
      <c r="G457" s="405"/>
      <c r="H457" s="405"/>
      <c r="I457" s="405"/>
      <c r="J457" s="405">
        <v>97.3</v>
      </c>
      <c r="K457" s="405"/>
      <c r="L457" s="405"/>
      <c r="M457" s="405"/>
      <c r="N457" s="405"/>
      <c r="O457" s="405"/>
      <c r="P457" s="405"/>
      <c r="Q457" s="382">
        <f t="shared" si="21"/>
        <v>97.3</v>
      </c>
      <c r="R457" s="382" t="str">
        <f t="shared" si="19"/>
        <v>NO</v>
      </c>
      <c r="S457" s="382" t="str">
        <f t="shared" si="20"/>
        <v>Inviable Sanitariamente</v>
      </c>
      <c r="T457" s="184"/>
    </row>
    <row r="458" spans="1:20" s="181" customFormat="1" ht="32.1" customHeight="1" x14ac:dyDescent="0.2">
      <c r="A458" s="361" t="s">
        <v>3285</v>
      </c>
      <c r="B458" s="362" t="s">
        <v>3293</v>
      </c>
      <c r="C458" s="362" t="s">
        <v>3294</v>
      </c>
      <c r="D458" s="364">
        <v>57</v>
      </c>
      <c r="E458" s="405"/>
      <c r="F458" s="405"/>
      <c r="G458" s="405"/>
      <c r="H458" s="405"/>
      <c r="I458" s="405"/>
      <c r="J458" s="405"/>
      <c r="K458" s="405">
        <v>97.3</v>
      </c>
      <c r="L458" s="405"/>
      <c r="M458" s="405"/>
      <c r="N458" s="405"/>
      <c r="O458" s="405"/>
      <c r="P458" s="405"/>
      <c r="Q458" s="382">
        <f t="shared" si="21"/>
        <v>97.3</v>
      </c>
      <c r="R458" s="382" t="str">
        <f t="shared" si="19"/>
        <v>NO</v>
      </c>
      <c r="S458" s="382" t="str">
        <f t="shared" si="20"/>
        <v>Inviable Sanitariamente</v>
      </c>
      <c r="T458" s="184"/>
    </row>
    <row r="459" spans="1:20" s="181" customFormat="1" ht="32.1" customHeight="1" x14ac:dyDescent="0.2">
      <c r="A459" s="361" t="s">
        <v>3285</v>
      </c>
      <c r="B459" s="362" t="s">
        <v>3295</v>
      </c>
      <c r="C459" s="362" t="s">
        <v>3296</v>
      </c>
      <c r="D459" s="364">
        <v>100</v>
      </c>
      <c r="E459" s="405"/>
      <c r="F459" s="405"/>
      <c r="G459" s="405"/>
      <c r="H459" s="405"/>
      <c r="I459" s="405"/>
      <c r="J459" s="405"/>
      <c r="K459" s="405"/>
      <c r="L459" s="405"/>
      <c r="M459" s="405"/>
      <c r="N459" s="405">
        <v>97.3</v>
      </c>
      <c r="O459" s="405"/>
      <c r="P459" s="405"/>
      <c r="Q459" s="382">
        <f t="shared" si="21"/>
        <v>97.3</v>
      </c>
      <c r="R459" s="382" t="str">
        <f t="shared" si="19"/>
        <v>NO</v>
      </c>
      <c r="S459" s="382" t="str">
        <f t="shared" si="20"/>
        <v>Inviable Sanitariamente</v>
      </c>
      <c r="T459" s="184"/>
    </row>
    <row r="460" spans="1:20" s="181" customFormat="1" ht="32.1" customHeight="1" x14ac:dyDescent="0.2">
      <c r="A460" s="361" t="s">
        <v>3285</v>
      </c>
      <c r="B460" s="362" t="s">
        <v>3297</v>
      </c>
      <c r="C460" s="362" t="s">
        <v>3298</v>
      </c>
      <c r="D460" s="364">
        <v>27</v>
      </c>
      <c r="E460" s="405">
        <v>0</v>
      </c>
      <c r="F460" s="405"/>
      <c r="G460" s="405"/>
      <c r="H460" s="405"/>
      <c r="I460" s="405"/>
      <c r="J460" s="405"/>
      <c r="K460" s="405"/>
      <c r="L460" s="405">
        <v>0</v>
      </c>
      <c r="M460" s="405"/>
      <c r="N460" s="405"/>
      <c r="O460" s="405"/>
      <c r="P460" s="405"/>
      <c r="Q460" s="382">
        <f t="shared" si="21"/>
        <v>0</v>
      </c>
      <c r="R460" s="382" t="str">
        <f t="shared" si="19"/>
        <v>SI</v>
      </c>
      <c r="S460" s="382" t="str">
        <f t="shared" si="20"/>
        <v>Sin Riesgo</v>
      </c>
      <c r="T460" s="184"/>
    </row>
    <row r="461" spans="1:20" s="181" customFormat="1" ht="32.1" customHeight="1" x14ac:dyDescent="0.2">
      <c r="A461" s="361" t="s">
        <v>3285</v>
      </c>
      <c r="B461" s="362" t="s">
        <v>2517</v>
      </c>
      <c r="C461" s="362" t="s">
        <v>3299</v>
      </c>
      <c r="D461" s="364">
        <v>152</v>
      </c>
      <c r="E461" s="405"/>
      <c r="F461" s="405">
        <v>0</v>
      </c>
      <c r="G461" s="405"/>
      <c r="H461" s="405"/>
      <c r="I461" s="405"/>
      <c r="J461" s="405"/>
      <c r="K461" s="405"/>
      <c r="L461" s="405"/>
      <c r="M461" s="405"/>
      <c r="N461" s="405">
        <v>0</v>
      </c>
      <c r="O461" s="405"/>
      <c r="P461" s="405"/>
      <c r="Q461" s="382">
        <f t="shared" si="21"/>
        <v>0</v>
      </c>
      <c r="R461" s="382" t="str">
        <f t="shared" si="19"/>
        <v>SI</v>
      </c>
      <c r="S461" s="382" t="str">
        <f t="shared" si="20"/>
        <v>Sin Riesgo</v>
      </c>
      <c r="T461" s="184"/>
    </row>
    <row r="462" spans="1:20" s="181" customFormat="1" ht="32.1" customHeight="1" x14ac:dyDescent="0.2">
      <c r="A462" s="361" t="s">
        <v>3285</v>
      </c>
      <c r="B462" s="362" t="s">
        <v>3300</v>
      </c>
      <c r="C462" s="362" t="s">
        <v>3301</v>
      </c>
      <c r="D462" s="364">
        <v>55</v>
      </c>
      <c r="E462" s="405"/>
      <c r="F462" s="405">
        <v>97.3</v>
      </c>
      <c r="G462" s="405"/>
      <c r="H462" s="405"/>
      <c r="I462" s="405"/>
      <c r="J462" s="405"/>
      <c r="K462" s="405"/>
      <c r="L462" s="405"/>
      <c r="M462" s="405"/>
      <c r="N462" s="405"/>
      <c r="O462" s="405"/>
      <c r="P462" s="405"/>
      <c r="Q462" s="382">
        <f t="shared" si="21"/>
        <v>97.3</v>
      </c>
      <c r="R462" s="382" t="str">
        <f t="shared" si="19"/>
        <v>NO</v>
      </c>
      <c r="S462" s="382" t="str">
        <f t="shared" si="20"/>
        <v>Inviable Sanitariamente</v>
      </c>
      <c r="T462" s="184"/>
    </row>
    <row r="463" spans="1:20" s="181" customFormat="1" ht="32.1" customHeight="1" x14ac:dyDescent="0.2">
      <c r="A463" s="361" t="s">
        <v>3285</v>
      </c>
      <c r="B463" s="362" t="s">
        <v>3302</v>
      </c>
      <c r="C463" s="362" t="s">
        <v>3303</v>
      </c>
      <c r="D463" s="364">
        <v>20</v>
      </c>
      <c r="E463" s="405"/>
      <c r="F463" s="405">
        <v>97.3</v>
      </c>
      <c r="G463" s="405"/>
      <c r="H463" s="405"/>
      <c r="I463" s="405"/>
      <c r="J463" s="405"/>
      <c r="K463" s="405"/>
      <c r="L463" s="405"/>
      <c r="M463" s="405"/>
      <c r="N463" s="405"/>
      <c r="O463" s="405"/>
      <c r="P463" s="405"/>
      <c r="Q463" s="382">
        <f t="shared" si="21"/>
        <v>97.3</v>
      </c>
      <c r="R463" s="382" t="str">
        <f t="shared" si="19"/>
        <v>NO</v>
      </c>
      <c r="S463" s="382" t="str">
        <f t="shared" si="20"/>
        <v>Inviable Sanitariamente</v>
      </c>
      <c r="T463" s="184"/>
    </row>
    <row r="464" spans="1:20" s="181" customFormat="1" ht="32.1" customHeight="1" x14ac:dyDescent="0.2">
      <c r="A464" s="361" t="s">
        <v>3285</v>
      </c>
      <c r="B464" s="362" t="s">
        <v>3304</v>
      </c>
      <c r="C464" s="362" t="s">
        <v>3305</v>
      </c>
      <c r="D464" s="364">
        <v>45</v>
      </c>
      <c r="E464" s="405"/>
      <c r="F464" s="405"/>
      <c r="G464" s="405"/>
      <c r="H464" s="405"/>
      <c r="I464" s="405"/>
      <c r="J464" s="405"/>
      <c r="K464" s="405"/>
      <c r="L464" s="405">
        <v>97.3</v>
      </c>
      <c r="M464" s="405"/>
      <c r="N464" s="405"/>
      <c r="O464" s="405"/>
      <c r="P464" s="405"/>
      <c r="Q464" s="382">
        <f t="shared" si="21"/>
        <v>97.3</v>
      </c>
      <c r="R464" s="382" t="str">
        <f t="shared" si="19"/>
        <v>NO</v>
      </c>
      <c r="S464" s="382" t="str">
        <f t="shared" si="20"/>
        <v>Inviable Sanitariamente</v>
      </c>
      <c r="T464" s="184"/>
    </row>
    <row r="465" spans="1:20" s="181" customFormat="1" ht="32.1" customHeight="1" x14ac:dyDescent="0.2">
      <c r="A465" s="361" t="s">
        <v>3285</v>
      </c>
      <c r="B465" s="362" t="s">
        <v>604</v>
      </c>
      <c r="C465" s="362" t="s">
        <v>3306</v>
      </c>
      <c r="D465" s="364">
        <v>38</v>
      </c>
      <c r="E465" s="405"/>
      <c r="F465" s="405"/>
      <c r="G465" s="405"/>
      <c r="H465" s="405"/>
      <c r="I465" s="405"/>
      <c r="J465" s="405"/>
      <c r="K465" s="405"/>
      <c r="L465" s="405">
        <v>97.3</v>
      </c>
      <c r="M465" s="405"/>
      <c r="N465" s="405"/>
      <c r="O465" s="405"/>
      <c r="P465" s="405"/>
      <c r="Q465" s="382">
        <f t="shared" si="21"/>
        <v>97.3</v>
      </c>
      <c r="R465" s="382" t="str">
        <f t="shared" si="19"/>
        <v>NO</v>
      </c>
      <c r="S465" s="382" t="str">
        <f t="shared" si="20"/>
        <v>Inviable Sanitariamente</v>
      </c>
      <c r="T465" s="184"/>
    </row>
    <row r="466" spans="1:20" s="181" customFormat="1" ht="32.1" customHeight="1" x14ac:dyDescent="0.2">
      <c r="A466" s="361" t="s">
        <v>3285</v>
      </c>
      <c r="B466" s="362" t="s">
        <v>3307</v>
      </c>
      <c r="C466" s="362" t="s">
        <v>3308</v>
      </c>
      <c r="D466" s="364">
        <v>16</v>
      </c>
      <c r="E466" s="405"/>
      <c r="F466" s="405"/>
      <c r="G466" s="405"/>
      <c r="H466" s="405"/>
      <c r="I466" s="405"/>
      <c r="J466" s="405"/>
      <c r="K466" s="405"/>
      <c r="L466" s="405"/>
      <c r="M466" s="405"/>
      <c r="N466" s="405">
        <v>97.3</v>
      </c>
      <c r="O466" s="405"/>
      <c r="P466" s="405"/>
      <c r="Q466" s="382">
        <f t="shared" si="21"/>
        <v>97.3</v>
      </c>
      <c r="R466" s="382" t="str">
        <f t="shared" si="19"/>
        <v>NO</v>
      </c>
      <c r="S466" s="382" t="str">
        <f t="shared" si="20"/>
        <v>Inviable Sanitariamente</v>
      </c>
      <c r="T466" s="184"/>
    </row>
    <row r="467" spans="1:20" s="181" customFormat="1" ht="32.1" customHeight="1" x14ac:dyDescent="0.2">
      <c r="A467" s="361" t="s">
        <v>3285</v>
      </c>
      <c r="B467" s="362" t="s">
        <v>2947</v>
      </c>
      <c r="C467" s="362" t="s">
        <v>3309</v>
      </c>
      <c r="D467" s="364">
        <v>42</v>
      </c>
      <c r="E467" s="405"/>
      <c r="F467" s="405"/>
      <c r="G467" s="405"/>
      <c r="H467" s="405"/>
      <c r="I467" s="405"/>
      <c r="J467" s="405">
        <v>97.3</v>
      </c>
      <c r="K467" s="405"/>
      <c r="L467" s="405"/>
      <c r="M467" s="405"/>
      <c r="N467" s="405"/>
      <c r="O467" s="405"/>
      <c r="P467" s="405"/>
      <c r="Q467" s="382">
        <f t="shared" si="21"/>
        <v>97.3</v>
      </c>
      <c r="R467" s="382" t="str">
        <f t="shared" si="19"/>
        <v>NO</v>
      </c>
      <c r="S467" s="382" t="str">
        <f t="shared" si="20"/>
        <v>Inviable Sanitariamente</v>
      </c>
      <c r="T467" s="184"/>
    </row>
    <row r="468" spans="1:20" s="181" customFormat="1" ht="32.1" customHeight="1" x14ac:dyDescent="0.2">
      <c r="A468" s="361" t="s">
        <v>3285</v>
      </c>
      <c r="B468" s="362" t="s">
        <v>3310</v>
      </c>
      <c r="C468" s="362" t="s">
        <v>3311</v>
      </c>
      <c r="D468" s="364">
        <v>19</v>
      </c>
      <c r="E468" s="405"/>
      <c r="F468" s="405"/>
      <c r="G468" s="405">
        <v>97.3</v>
      </c>
      <c r="H468" s="405"/>
      <c r="I468" s="405"/>
      <c r="J468" s="405"/>
      <c r="K468" s="405"/>
      <c r="L468" s="405"/>
      <c r="M468" s="405"/>
      <c r="N468" s="405"/>
      <c r="O468" s="405"/>
      <c r="P468" s="405"/>
      <c r="Q468" s="382">
        <f t="shared" si="21"/>
        <v>97.3</v>
      </c>
      <c r="R468" s="382" t="str">
        <f t="shared" si="19"/>
        <v>NO</v>
      </c>
      <c r="S468" s="382" t="str">
        <f t="shared" si="20"/>
        <v>Inviable Sanitariamente</v>
      </c>
      <c r="T468" s="184"/>
    </row>
    <row r="469" spans="1:20" s="181" customFormat="1" ht="32.1" customHeight="1" x14ac:dyDescent="0.2">
      <c r="A469" s="361" t="s">
        <v>3285</v>
      </c>
      <c r="B469" s="362" t="s">
        <v>3312</v>
      </c>
      <c r="C469" s="362" t="s">
        <v>3313</v>
      </c>
      <c r="D469" s="364">
        <v>85</v>
      </c>
      <c r="E469" s="405"/>
      <c r="F469" s="405"/>
      <c r="G469" s="405"/>
      <c r="H469" s="405"/>
      <c r="I469" s="405">
        <v>97.3</v>
      </c>
      <c r="J469" s="405"/>
      <c r="K469" s="405"/>
      <c r="L469" s="405"/>
      <c r="M469" s="405"/>
      <c r="N469" s="405"/>
      <c r="O469" s="405"/>
      <c r="P469" s="405"/>
      <c r="Q469" s="382">
        <f t="shared" si="21"/>
        <v>97.3</v>
      </c>
      <c r="R469" s="382" t="str">
        <f t="shared" si="19"/>
        <v>NO</v>
      </c>
      <c r="S469" s="382" t="str">
        <f t="shared" si="20"/>
        <v>Inviable Sanitariamente</v>
      </c>
      <c r="T469" s="184"/>
    </row>
    <row r="470" spans="1:20" s="181" customFormat="1" ht="32.1" customHeight="1" x14ac:dyDescent="0.2">
      <c r="A470" s="361" t="s">
        <v>3285</v>
      </c>
      <c r="B470" s="362" t="s">
        <v>3314</v>
      </c>
      <c r="C470" s="362" t="s">
        <v>3315</v>
      </c>
      <c r="D470" s="364">
        <v>53</v>
      </c>
      <c r="E470" s="405"/>
      <c r="F470" s="405">
        <v>97.3</v>
      </c>
      <c r="G470" s="405"/>
      <c r="H470" s="405"/>
      <c r="I470" s="405"/>
      <c r="J470" s="405"/>
      <c r="K470" s="405"/>
      <c r="L470" s="405"/>
      <c r="M470" s="405"/>
      <c r="N470" s="405"/>
      <c r="O470" s="405"/>
      <c r="P470" s="405"/>
      <c r="Q470" s="382">
        <f t="shared" si="21"/>
        <v>97.3</v>
      </c>
      <c r="R470" s="382" t="str">
        <f t="shared" si="19"/>
        <v>NO</v>
      </c>
      <c r="S470" s="382" t="str">
        <f t="shared" si="20"/>
        <v>Inviable Sanitariamente</v>
      </c>
      <c r="T470" s="184"/>
    </row>
    <row r="471" spans="1:20" s="181" customFormat="1" ht="32.1" customHeight="1" x14ac:dyDescent="0.2">
      <c r="A471" s="361" t="s">
        <v>3285</v>
      </c>
      <c r="B471" s="362" t="s">
        <v>3316</v>
      </c>
      <c r="C471" s="362" t="s">
        <v>3317</v>
      </c>
      <c r="D471" s="364">
        <v>125</v>
      </c>
      <c r="E471" s="405"/>
      <c r="F471" s="405"/>
      <c r="G471" s="405"/>
      <c r="H471" s="405"/>
      <c r="I471" s="405"/>
      <c r="J471" s="405">
        <v>97.3</v>
      </c>
      <c r="K471" s="405"/>
      <c r="L471" s="405"/>
      <c r="M471" s="405"/>
      <c r="N471" s="405"/>
      <c r="O471" s="405"/>
      <c r="P471" s="405"/>
      <c r="Q471" s="382">
        <f t="shared" si="21"/>
        <v>97.3</v>
      </c>
      <c r="R471" s="382" t="str">
        <f t="shared" si="19"/>
        <v>NO</v>
      </c>
      <c r="S471" s="382" t="str">
        <f t="shared" si="20"/>
        <v>Inviable Sanitariamente</v>
      </c>
      <c r="T471" s="184"/>
    </row>
    <row r="472" spans="1:20" s="181" customFormat="1" ht="32.1" customHeight="1" x14ac:dyDescent="0.2">
      <c r="A472" s="361" t="s">
        <v>3285</v>
      </c>
      <c r="B472" s="362" t="s">
        <v>1109</v>
      </c>
      <c r="C472" s="362" t="s">
        <v>3318</v>
      </c>
      <c r="D472" s="364">
        <v>96</v>
      </c>
      <c r="E472" s="405"/>
      <c r="F472" s="405"/>
      <c r="G472" s="405"/>
      <c r="H472" s="405"/>
      <c r="I472" s="405">
        <v>97.3</v>
      </c>
      <c r="J472" s="405"/>
      <c r="K472" s="405"/>
      <c r="L472" s="405"/>
      <c r="M472" s="405"/>
      <c r="N472" s="405"/>
      <c r="O472" s="405"/>
      <c r="P472" s="405"/>
      <c r="Q472" s="382">
        <f t="shared" si="21"/>
        <v>97.3</v>
      </c>
      <c r="R472" s="382" t="str">
        <f t="shared" si="19"/>
        <v>NO</v>
      </c>
      <c r="S472" s="382" t="str">
        <f t="shared" si="20"/>
        <v>Inviable Sanitariamente</v>
      </c>
      <c r="T472" s="184"/>
    </row>
    <row r="473" spans="1:20" s="181" customFormat="1" ht="32.1" customHeight="1" x14ac:dyDescent="0.2">
      <c r="A473" s="361" t="s">
        <v>3285</v>
      </c>
      <c r="B473" s="362" t="s">
        <v>3319</v>
      </c>
      <c r="C473" s="362" t="s">
        <v>3320</v>
      </c>
      <c r="D473" s="364">
        <v>74</v>
      </c>
      <c r="E473" s="405"/>
      <c r="F473" s="405"/>
      <c r="G473" s="405"/>
      <c r="H473" s="405"/>
      <c r="I473" s="405"/>
      <c r="J473" s="405"/>
      <c r="K473" s="405"/>
      <c r="L473" s="405">
        <v>97.3</v>
      </c>
      <c r="M473" s="405"/>
      <c r="N473" s="405"/>
      <c r="O473" s="405"/>
      <c r="P473" s="405"/>
      <c r="Q473" s="382">
        <f t="shared" si="21"/>
        <v>97.3</v>
      </c>
      <c r="R473" s="382" t="str">
        <f t="shared" si="19"/>
        <v>NO</v>
      </c>
      <c r="S473" s="382" t="str">
        <f t="shared" si="20"/>
        <v>Inviable Sanitariamente</v>
      </c>
      <c r="T473" s="184"/>
    </row>
    <row r="474" spans="1:20" s="181" customFormat="1" ht="32.1" customHeight="1" x14ac:dyDescent="0.2">
      <c r="A474" s="361" t="s">
        <v>3285</v>
      </c>
      <c r="B474" s="362" t="s">
        <v>674</v>
      </c>
      <c r="C474" s="362" t="s">
        <v>3321</v>
      </c>
      <c r="D474" s="364">
        <v>22</v>
      </c>
      <c r="E474" s="405"/>
      <c r="F474" s="405"/>
      <c r="G474" s="405"/>
      <c r="H474" s="405"/>
      <c r="I474" s="405"/>
      <c r="J474" s="405">
        <v>97.3</v>
      </c>
      <c r="K474" s="405"/>
      <c r="L474" s="405"/>
      <c r="M474" s="405"/>
      <c r="N474" s="405"/>
      <c r="O474" s="405"/>
      <c r="P474" s="405"/>
      <c r="Q474" s="382">
        <f t="shared" si="21"/>
        <v>97.3</v>
      </c>
      <c r="R474" s="382" t="str">
        <f t="shared" si="19"/>
        <v>NO</v>
      </c>
      <c r="S474" s="382" t="str">
        <f t="shared" si="20"/>
        <v>Inviable Sanitariamente</v>
      </c>
      <c r="T474" s="184"/>
    </row>
    <row r="475" spans="1:20" s="181" customFormat="1" ht="32.1" customHeight="1" x14ac:dyDescent="0.2">
      <c r="A475" s="361" t="s">
        <v>3285</v>
      </c>
      <c r="B475" s="362" t="s">
        <v>3322</v>
      </c>
      <c r="C475" s="362" t="s">
        <v>3323</v>
      </c>
      <c r="D475" s="364">
        <v>6</v>
      </c>
      <c r="E475" s="405"/>
      <c r="F475" s="405"/>
      <c r="G475" s="405"/>
      <c r="H475" s="405"/>
      <c r="I475" s="405"/>
      <c r="J475" s="405"/>
      <c r="K475" s="405"/>
      <c r="L475" s="405"/>
      <c r="M475" s="405"/>
      <c r="N475" s="405">
        <v>97.3</v>
      </c>
      <c r="O475" s="405"/>
      <c r="P475" s="405"/>
      <c r="Q475" s="382">
        <f t="shared" si="21"/>
        <v>97.3</v>
      </c>
      <c r="R475" s="382" t="str">
        <f t="shared" si="19"/>
        <v>NO</v>
      </c>
      <c r="S475" s="382" t="str">
        <f t="shared" si="20"/>
        <v>Inviable Sanitariamente</v>
      </c>
      <c r="T475" s="184"/>
    </row>
    <row r="476" spans="1:20" s="181" customFormat="1" ht="32.1" customHeight="1" x14ac:dyDescent="0.2">
      <c r="A476" s="361" t="s">
        <v>3285</v>
      </c>
      <c r="B476" s="362" t="s">
        <v>3324</v>
      </c>
      <c r="C476" s="362" t="s">
        <v>3325</v>
      </c>
      <c r="D476" s="364">
        <v>62</v>
      </c>
      <c r="E476" s="405"/>
      <c r="F476" s="405"/>
      <c r="G476" s="405"/>
      <c r="H476" s="405"/>
      <c r="I476" s="405"/>
      <c r="J476" s="405">
        <v>97.3</v>
      </c>
      <c r="K476" s="405"/>
      <c r="L476" s="405"/>
      <c r="M476" s="405"/>
      <c r="N476" s="405"/>
      <c r="O476" s="405"/>
      <c r="P476" s="405"/>
      <c r="Q476" s="382">
        <f t="shared" si="21"/>
        <v>97.3</v>
      </c>
      <c r="R476" s="382" t="str">
        <f t="shared" si="19"/>
        <v>NO</v>
      </c>
      <c r="S476" s="382" t="str">
        <f t="shared" si="20"/>
        <v>Inviable Sanitariamente</v>
      </c>
      <c r="T476" s="184"/>
    </row>
    <row r="477" spans="1:20" s="181" customFormat="1" ht="32.1" customHeight="1" x14ac:dyDescent="0.2">
      <c r="A477" s="361" t="s">
        <v>3285</v>
      </c>
      <c r="B477" s="362" t="s">
        <v>3326</v>
      </c>
      <c r="C477" s="362" t="s">
        <v>3327</v>
      </c>
      <c r="D477" s="364">
        <v>25</v>
      </c>
      <c r="E477" s="405"/>
      <c r="F477" s="405"/>
      <c r="G477" s="405"/>
      <c r="H477" s="405"/>
      <c r="I477" s="405"/>
      <c r="J477" s="405">
        <v>97.3</v>
      </c>
      <c r="K477" s="405"/>
      <c r="L477" s="405"/>
      <c r="M477" s="405"/>
      <c r="N477" s="405"/>
      <c r="O477" s="405"/>
      <c r="P477" s="405"/>
      <c r="Q477" s="382">
        <f t="shared" si="21"/>
        <v>97.3</v>
      </c>
      <c r="R477" s="382" t="str">
        <f t="shared" si="19"/>
        <v>NO</v>
      </c>
      <c r="S477" s="382" t="str">
        <f t="shared" si="20"/>
        <v>Inviable Sanitariamente</v>
      </c>
      <c r="T477" s="184"/>
    </row>
    <row r="478" spans="1:20" s="181" customFormat="1" ht="32.1" customHeight="1" x14ac:dyDescent="0.2">
      <c r="A478" s="361" t="s">
        <v>3285</v>
      </c>
      <c r="B478" s="362" t="s">
        <v>3328</v>
      </c>
      <c r="C478" s="362" t="s">
        <v>3329</v>
      </c>
      <c r="D478" s="364">
        <v>97</v>
      </c>
      <c r="E478" s="405"/>
      <c r="F478" s="405"/>
      <c r="G478" s="405"/>
      <c r="H478" s="405"/>
      <c r="I478" s="405"/>
      <c r="J478" s="405"/>
      <c r="K478" s="405">
        <v>97.3</v>
      </c>
      <c r="L478" s="405"/>
      <c r="M478" s="405"/>
      <c r="N478" s="405"/>
      <c r="O478" s="405"/>
      <c r="P478" s="405"/>
      <c r="Q478" s="382">
        <f t="shared" si="21"/>
        <v>97.3</v>
      </c>
      <c r="R478" s="382" t="str">
        <f t="shared" si="19"/>
        <v>NO</v>
      </c>
      <c r="S478" s="382" t="str">
        <f t="shared" si="20"/>
        <v>Inviable Sanitariamente</v>
      </c>
      <c r="T478" s="184"/>
    </row>
    <row r="479" spans="1:20" s="181" customFormat="1" ht="32.1" customHeight="1" x14ac:dyDescent="0.2">
      <c r="A479" s="361" t="s">
        <v>3285</v>
      </c>
      <c r="B479" s="362" t="s">
        <v>3330</v>
      </c>
      <c r="C479" s="362" t="s">
        <v>3331</v>
      </c>
      <c r="D479" s="364">
        <v>60</v>
      </c>
      <c r="E479" s="405"/>
      <c r="F479" s="405"/>
      <c r="G479" s="405"/>
      <c r="H479" s="405"/>
      <c r="I479" s="405"/>
      <c r="J479" s="405"/>
      <c r="K479" s="405"/>
      <c r="L479" s="405">
        <v>97.3</v>
      </c>
      <c r="M479" s="405"/>
      <c r="N479" s="405"/>
      <c r="O479" s="405"/>
      <c r="P479" s="405"/>
      <c r="Q479" s="382">
        <f t="shared" si="21"/>
        <v>97.3</v>
      </c>
      <c r="R479" s="382" t="str">
        <f t="shared" si="19"/>
        <v>NO</v>
      </c>
      <c r="S479" s="382" t="str">
        <f t="shared" si="20"/>
        <v>Inviable Sanitariamente</v>
      </c>
      <c r="T479" s="184"/>
    </row>
    <row r="480" spans="1:20" s="181" customFormat="1" ht="32.1" customHeight="1" x14ac:dyDescent="0.2">
      <c r="A480" s="361" t="s">
        <v>3285</v>
      </c>
      <c r="B480" s="362" t="s">
        <v>3332</v>
      </c>
      <c r="C480" s="362" t="s">
        <v>3333</v>
      </c>
      <c r="D480" s="364">
        <v>59</v>
      </c>
      <c r="E480" s="405"/>
      <c r="F480" s="405"/>
      <c r="G480" s="405"/>
      <c r="H480" s="405"/>
      <c r="I480" s="405"/>
      <c r="J480" s="405"/>
      <c r="K480" s="405"/>
      <c r="L480" s="405">
        <v>97.3</v>
      </c>
      <c r="M480" s="405"/>
      <c r="N480" s="405"/>
      <c r="O480" s="405"/>
      <c r="P480" s="405"/>
      <c r="Q480" s="382">
        <f t="shared" si="21"/>
        <v>97.3</v>
      </c>
      <c r="R480" s="382" t="str">
        <f t="shared" si="19"/>
        <v>NO</v>
      </c>
      <c r="S480" s="382" t="str">
        <f t="shared" si="20"/>
        <v>Inviable Sanitariamente</v>
      </c>
      <c r="T480" s="184"/>
    </row>
    <row r="481" spans="1:20" s="181" customFormat="1" ht="32.1" customHeight="1" x14ac:dyDescent="0.2">
      <c r="A481" s="361" t="s">
        <v>3285</v>
      </c>
      <c r="B481" s="362" t="s">
        <v>3334</v>
      </c>
      <c r="C481" s="362" t="s">
        <v>3335</v>
      </c>
      <c r="D481" s="364">
        <v>59</v>
      </c>
      <c r="E481" s="405"/>
      <c r="F481" s="405"/>
      <c r="G481" s="405"/>
      <c r="H481" s="405"/>
      <c r="I481" s="405"/>
      <c r="J481" s="405"/>
      <c r="K481" s="405"/>
      <c r="L481" s="405"/>
      <c r="M481" s="405"/>
      <c r="N481" s="405"/>
      <c r="O481" s="405"/>
      <c r="P481" s="405">
        <v>97.3</v>
      </c>
      <c r="Q481" s="382">
        <f t="shared" si="21"/>
        <v>97.3</v>
      </c>
      <c r="R481" s="382" t="str">
        <f t="shared" si="19"/>
        <v>NO</v>
      </c>
      <c r="S481" s="382" t="str">
        <f t="shared" si="20"/>
        <v>Inviable Sanitariamente</v>
      </c>
      <c r="T481" s="184"/>
    </row>
    <row r="482" spans="1:20" s="181" customFormat="1" ht="32.1" customHeight="1" x14ac:dyDescent="0.2">
      <c r="A482" s="361" t="s">
        <v>3285</v>
      </c>
      <c r="B482" s="362" t="s">
        <v>3336</v>
      </c>
      <c r="C482" s="362" t="s">
        <v>3337</v>
      </c>
      <c r="D482" s="364">
        <v>83</v>
      </c>
      <c r="E482" s="405"/>
      <c r="F482" s="405"/>
      <c r="G482" s="405">
        <v>97.3</v>
      </c>
      <c r="H482" s="405"/>
      <c r="I482" s="405"/>
      <c r="J482" s="405"/>
      <c r="K482" s="405"/>
      <c r="L482" s="405"/>
      <c r="M482" s="405"/>
      <c r="N482" s="405"/>
      <c r="O482" s="405"/>
      <c r="P482" s="405"/>
      <c r="Q482" s="382">
        <f t="shared" si="21"/>
        <v>97.3</v>
      </c>
      <c r="R482" s="382" t="str">
        <f t="shared" si="19"/>
        <v>NO</v>
      </c>
      <c r="S482" s="382" t="str">
        <f t="shared" si="20"/>
        <v>Inviable Sanitariamente</v>
      </c>
      <c r="T482" s="184"/>
    </row>
    <row r="483" spans="1:20" s="181" customFormat="1" ht="32.1" customHeight="1" x14ac:dyDescent="0.2">
      <c r="A483" s="361" t="s">
        <v>3285</v>
      </c>
      <c r="B483" s="362" t="s">
        <v>2791</v>
      </c>
      <c r="C483" s="362" t="s">
        <v>3338</v>
      </c>
      <c r="D483" s="364">
        <v>32</v>
      </c>
      <c r="E483" s="405"/>
      <c r="F483" s="405"/>
      <c r="G483" s="405"/>
      <c r="H483" s="405"/>
      <c r="I483" s="405"/>
      <c r="J483" s="405">
        <v>97.3</v>
      </c>
      <c r="K483" s="405"/>
      <c r="L483" s="405"/>
      <c r="M483" s="405"/>
      <c r="N483" s="405"/>
      <c r="O483" s="405"/>
      <c r="P483" s="405"/>
      <c r="Q483" s="382">
        <f t="shared" si="21"/>
        <v>97.3</v>
      </c>
      <c r="R483" s="382" t="str">
        <f t="shared" si="19"/>
        <v>NO</v>
      </c>
      <c r="S483" s="382" t="str">
        <f t="shared" si="20"/>
        <v>Inviable Sanitariamente</v>
      </c>
      <c r="T483" s="184"/>
    </row>
    <row r="484" spans="1:20" s="181" customFormat="1" ht="32.1" customHeight="1" x14ac:dyDescent="0.2">
      <c r="A484" s="361" t="s">
        <v>3285</v>
      </c>
      <c r="B484" s="362" t="s">
        <v>3339</v>
      </c>
      <c r="C484" s="362" t="s">
        <v>3340</v>
      </c>
      <c r="D484" s="364">
        <v>179</v>
      </c>
      <c r="E484" s="405">
        <v>0</v>
      </c>
      <c r="F484" s="405"/>
      <c r="G484" s="405"/>
      <c r="H484" s="405"/>
      <c r="I484" s="405"/>
      <c r="J484" s="405"/>
      <c r="K484" s="405"/>
      <c r="L484" s="405"/>
      <c r="M484" s="405"/>
      <c r="N484" s="405"/>
      <c r="O484" s="405"/>
      <c r="P484" s="405"/>
      <c r="Q484" s="382">
        <f t="shared" si="21"/>
        <v>0</v>
      </c>
      <c r="R484" s="382" t="str">
        <f t="shared" ref="R484:R532" si="22">IF(Q484&lt;5,"SI","NO")</f>
        <v>SI</v>
      </c>
      <c r="S484" s="382" t="str">
        <f t="shared" si="20"/>
        <v>Sin Riesgo</v>
      </c>
      <c r="T484" s="184"/>
    </row>
    <row r="485" spans="1:20" s="186" customFormat="1" ht="32.1" customHeight="1" x14ac:dyDescent="0.2">
      <c r="A485" s="361" t="s">
        <v>3285</v>
      </c>
      <c r="B485" s="362" t="s">
        <v>3341</v>
      </c>
      <c r="C485" s="362" t="s">
        <v>3342</v>
      </c>
      <c r="D485" s="364">
        <v>223</v>
      </c>
      <c r="E485" s="405">
        <v>0</v>
      </c>
      <c r="F485" s="405">
        <v>0</v>
      </c>
      <c r="G485" s="405"/>
      <c r="H485" s="405"/>
      <c r="I485" s="405"/>
      <c r="J485" s="405"/>
      <c r="K485" s="405"/>
      <c r="L485" s="405"/>
      <c r="M485" s="405"/>
      <c r="N485" s="405"/>
      <c r="O485" s="405"/>
      <c r="P485" s="405"/>
      <c r="Q485" s="382">
        <f t="shared" si="21"/>
        <v>0</v>
      </c>
      <c r="R485" s="382" t="str">
        <f t="shared" si="22"/>
        <v>SI</v>
      </c>
      <c r="S485" s="382" t="str">
        <f t="shared" ref="S485:S532" si="23">IF(Q485&lt;=5,"Sin Riesgo",IF(Q485 &lt;=14,"Bajo",IF(Q485&lt;=35,"Medio",IF(Q485&lt;=80,"Alto","Inviable Sanitariamente"))))</f>
        <v>Sin Riesgo</v>
      </c>
      <c r="T485" s="185"/>
    </row>
    <row r="486" spans="1:20" ht="32.1" customHeight="1" x14ac:dyDescent="0.2">
      <c r="A486" s="361" t="s">
        <v>3285</v>
      </c>
      <c r="B486" s="362" t="s">
        <v>2820</v>
      </c>
      <c r="C486" s="362" t="s">
        <v>3343</v>
      </c>
      <c r="D486" s="364">
        <v>688</v>
      </c>
      <c r="E486" s="405">
        <v>0</v>
      </c>
      <c r="F486" s="405"/>
      <c r="G486" s="405"/>
      <c r="H486" s="405"/>
      <c r="I486" s="405"/>
      <c r="J486" s="405"/>
      <c r="K486" s="405"/>
      <c r="L486" s="405"/>
      <c r="M486" s="405"/>
      <c r="N486" s="405"/>
      <c r="O486" s="405"/>
      <c r="P486" s="405"/>
      <c r="Q486" s="382">
        <f t="shared" si="21"/>
        <v>0</v>
      </c>
      <c r="R486" s="382" t="str">
        <f t="shared" si="22"/>
        <v>SI</v>
      </c>
      <c r="S486" s="382" t="str">
        <f t="shared" si="23"/>
        <v>Sin Riesgo</v>
      </c>
      <c r="T486" s="185"/>
    </row>
    <row r="487" spans="1:20" ht="32.1" customHeight="1" x14ac:dyDescent="0.2">
      <c r="A487" s="361" t="s">
        <v>3285</v>
      </c>
      <c r="B487" s="362" t="s">
        <v>3344</v>
      </c>
      <c r="C487" s="362" t="s">
        <v>3345</v>
      </c>
      <c r="D487" s="364">
        <v>53</v>
      </c>
      <c r="E487" s="405">
        <v>0</v>
      </c>
      <c r="F487" s="405">
        <v>0</v>
      </c>
      <c r="G487" s="405"/>
      <c r="H487" s="405"/>
      <c r="I487" s="405"/>
      <c r="J487" s="405"/>
      <c r="K487" s="405"/>
      <c r="L487" s="405"/>
      <c r="M487" s="405"/>
      <c r="N487" s="405"/>
      <c r="O487" s="405"/>
      <c r="P487" s="405"/>
      <c r="Q487" s="382">
        <f t="shared" si="21"/>
        <v>0</v>
      </c>
      <c r="R487" s="382" t="str">
        <f t="shared" si="22"/>
        <v>SI</v>
      </c>
      <c r="S487" s="382" t="str">
        <f t="shared" si="23"/>
        <v>Sin Riesgo</v>
      </c>
      <c r="T487" s="185"/>
    </row>
    <row r="488" spans="1:20" ht="32.1" customHeight="1" x14ac:dyDescent="0.2">
      <c r="A488" s="361" t="s">
        <v>3285</v>
      </c>
      <c r="B488" s="362" t="s">
        <v>3346</v>
      </c>
      <c r="C488" s="362" t="s">
        <v>3347</v>
      </c>
      <c r="D488" s="364">
        <v>80</v>
      </c>
      <c r="E488" s="405"/>
      <c r="F488" s="405"/>
      <c r="G488" s="405"/>
      <c r="H488" s="405"/>
      <c r="I488" s="405"/>
      <c r="J488" s="405"/>
      <c r="K488" s="405"/>
      <c r="L488" s="405"/>
      <c r="M488" s="405"/>
      <c r="N488" s="405"/>
      <c r="O488" s="405">
        <v>97.3</v>
      </c>
      <c r="P488" s="405"/>
      <c r="Q488" s="382">
        <f t="shared" si="21"/>
        <v>97.3</v>
      </c>
      <c r="R488" s="382" t="str">
        <f t="shared" si="22"/>
        <v>NO</v>
      </c>
      <c r="S488" s="382" t="str">
        <f t="shared" si="23"/>
        <v>Inviable Sanitariamente</v>
      </c>
      <c r="T488" s="185"/>
    </row>
    <row r="489" spans="1:20" ht="32.1" customHeight="1" x14ac:dyDescent="0.2">
      <c r="A489" s="361" t="s">
        <v>4069</v>
      </c>
      <c r="B489" s="362" t="s">
        <v>3349</v>
      </c>
      <c r="C489" s="362" t="s">
        <v>3350</v>
      </c>
      <c r="D489" s="364">
        <v>125</v>
      </c>
      <c r="E489" s="405"/>
      <c r="F489" s="405"/>
      <c r="G489" s="405"/>
      <c r="H489" s="405"/>
      <c r="I489" s="405"/>
      <c r="J489" s="405">
        <v>97</v>
      </c>
      <c r="K489" s="405"/>
      <c r="L489" s="405"/>
      <c r="M489" s="405"/>
      <c r="N489" s="405"/>
      <c r="O489" s="405"/>
      <c r="P489" s="405"/>
      <c r="Q489" s="382">
        <f t="shared" si="21"/>
        <v>97</v>
      </c>
      <c r="R489" s="382" t="str">
        <f t="shared" si="22"/>
        <v>NO</v>
      </c>
      <c r="S489" s="382" t="str">
        <f t="shared" si="23"/>
        <v>Inviable Sanitariamente</v>
      </c>
      <c r="T489" s="185"/>
    </row>
    <row r="490" spans="1:20" ht="32.1" customHeight="1" x14ac:dyDescent="0.2">
      <c r="A490" s="361" t="s">
        <v>4069</v>
      </c>
      <c r="B490" s="362" t="s">
        <v>832</v>
      </c>
      <c r="C490" s="362" t="s">
        <v>3351</v>
      </c>
      <c r="D490" s="364">
        <v>18</v>
      </c>
      <c r="E490" s="405"/>
      <c r="F490" s="405">
        <v>97.9</v>
      </c>
      <c r="G490" s="405"/>
      <c r="H490" s="405"/>
      <c r="I490" s="405"/>
      <c r="J490" s="405"/>
      <c r="K490" s="405"/>
      <c r="L490" s="405"/>
      <c r="M490" s="405"/>
      <c r="N490" s="405"/>
      <c r="O490" s="405"/>
      <c r="P490" s="405"/>
      <c r="Q490" s="382">
        <f t="shared" si="21"/>
        <v>97.9</v>
      </c>
      <c r="R490" s="382" t="str">
        <f t="shared" si="22"/>
        <v>NO</v>
      </c>
      <c r="S490" s="382" t="str">
        <f t="shared" si="23"/>
        <v>Inviable Sanitariamente</v>
      </c>
      <c r="T490" s="185"/>
    </row>
    <row r="491" spans="1:20" ht="32.1" customHeight="1" x14ac:dyDescent="0.2">
      <c r="A491" s="361" t="s">
        <v>4069</v>
      </c>
      <c r="B491" s="362" t="s">
        <v>3352</v>
      </c>
      <c r="C491" s="362" t="s">
        <v>3353</v>
      </c>
      <c r="D491" s="364">
        <v>70</v>
      </c>
      <c r="E491" s="405"/>
      <c r="F491" s="405"/>
      <c r="G491" s="405"/>
      <c r="H491" s="405"/>
      <c r="I491" s="405">
        <v>97.35</v>
      </c>
      <c r="J491" s="405"/>
      <c r="K491" s="405"/>
      <c r="L491" s="405"/>
      <c r="M491" s="405"/>
      <c r="N491" s="405"/>
      <c r="O491" s="405"/>
      <c r="P491" s="405"/>
      <c r="Q491" s="382">
        <f t="shared" si="21"/>
        <v>97.35</v>
      </c>
      <c r="R491" s="382" t="str">
        <f t="shared" si="22"/>
        <v>NO</v>
      </c>
      <c r="S491" s="382" t="str">
        <f t="shared" si="23"/>
        <v>Inviable Sanitariamente</v>
      </c>
      <c r="T491" s="185"/>
    </row>
    <row r="492" spans="1:20" ht="32.1" customHeight="1" x14ac:dyDescent="0.2">
      <c r="A492" s="361" t="s">
        <v>4069</v>
      </c>
      <c r="B492" s="362" t="s">
        <v>3354</v>
      </c>
      <c r="C492" s="362" t="s">
        <v>3355</v>
      </c>
      <c r="D492" s="364">
        <v>110</v>
      </c>
      <c r="E492" s="405"/>
      <c r="F492" s="405">
        <v>97.35</v>
      </c>
      <c r="G492" s="405"/>
      <c r="H492" s="405"/>
      <c r="I492" s="405">
        <v>53.1</v>
      </c>
      <c r="J492" s="405"/>
      <c r="K492" s="405">
        <v>97.4</v>
      </c>
      <c r="L492" s="405">
        <v>97.4</v>
      </c>
      <c r="M492" s="405"/>
      <c r="N492" s="405"/>
      <c r="O492" s="405">
        <v>53.1</v>
      </c>
      <c r="P492" s="405"/>
      <c r="Q492" s="382">
        <f t="shared" si="21"/>
        <v>79.67</v>
      </c>
      <c r="R492" s="382" t="str">
        <f t="shared" si="22"/>
        <v>NO</v>
      </c>
      <c r="S492" s="382" t="str">
        <f t="shared" si="23"/>
        <v>Alto</v>
      </c>
      <c r="T492" s="185"/>
    </row>
    <row r="493" spans="1:20" ht="32.1" customHeight="1" x14ac:dyDescent="0.2">
      <c r="A493" s="361" t="s">
        <v>4069</v>
      </c>
      <c r="B493" s="362" t="s">
        <v>3356</v>
      </c>
      <c r="C493" s="362" t="s">
        <v>3357</v>
      </c>
      <c r="D493" s="364">
        <v>110</v>
      </c>
      <c r="E493" s="405"/>
      <c r="F493" s="405">
        <v>97.35</v>
      </c>
      <c r="G493" s="405"/>
      <c r="H493" s="405"/>
      <c r="I493" s="405"/>
      <c r="J493" s="405"/>
      <c r="K493" s="405"/>
      <c r="L493" s="405"/>
      <c r="M493" s="405"/>
      <c r="N493" s="405"/>
      <c r="O493" s="405"/>
      <c r="P493" s="405"/>
      <c r="Q493" s="382">
        <f t="shared" si="21"/>
        <v>97.35</v>
      </c>
      <c r="R493" s="382" t="str">
        <f t="shared" si="22"/>
        <v>NO</v>
      </c>
      <c r="S493" s="382" t="str">
        <f t="shared" si="23"/>
        <v>Inviable Sanitariamente</v>
      </c>
      <c r="T493" s="185"/>
    </row>
    <row r="494" spans="1:20" ht="32.1" customHeight="1" x14ac:dyDescent="0.2">
      <c r="A494" s="361" t="s">
        <v>4069</v>
      </c>
      <c r="B494" s="362" t="s">
        <v>3358</v>
      </c>
      <c r="C494" s="362" t="s">
        <v>3359</v>
      </c>
      <c r="D494" s="364">
        <v>67</v>
      </c>
      <c r="E494" s="405"/>
      <c r="F494" s="405"/>
      <c r="G494" s="405"/>
      <c r="H494" s="405"/>
      <c r="I494" s="405"/>
      <c r="J494" s="405"/>
      <c r="K494" s="405"/>
      <c r="L494" s="405">
        <v>97.4</v>
      </c>
      <c r="M494" s="405"/>
      <c r="N494" s="405"/>
      <c r="O494" s="405"/>
      <c r="P494" s="405"/>
      <c r="Q494" s="382">
        <f t="shared" si="21"/>
        <v>97.4</v>
      </c>
      <c r="R494" s="382" t="str">
        <f t="shared" si="22"/>
        <v>NO</v>
      </c>
      <c r="S494" s="382" t="str">
        <f t="shared" si="23"/>
        <v>Inviable Sanitariamente</v>
      </c>
      <c r="T494" s="185"/>
    </row>
    <row r="495" spans="1:20" ht="32.1" customHeight="1" x14ac:dyDescent="0.2">
      <c r="A495" s="361" t="s">
        <v>4069</v>
      </c>
      <c r="B495" s="362" t="s">
        <v>3360</v>
      </c>
      <c r="C495" s="362" t="s">
        <v>3361</v>
      </c>
      <c r="D495" s="364">
        <v>117</v>
      </c>
      <c r="E495" s="405"/>
      <c r="F495" s="405">
        <v>0</v>
      </c>
      <c r="G495" s="405"/>
      <c r="H495" s="405"/>
      <c r="I495" s="405">
        <v>0</v>
      </c>
      <c r="J495" s="405">
        <v>0</v>
      </c>
      <c r="K495" s="405">
        <v>0</v>
      </c>
      <c r="L495" s="405">
        <v>0</v>
      </c>
      <c r="M495" s="405"/>
      <c r="N495" s="405"/>
      <c r="O495" s="405">
        <v>0</v>
      </c>
      <c r="P495" s="405"/>
      <c r="Q495" s="382">
        <f t="shared" si="21"/>
        <v>0</v>
      </c>
      <c r="R495" s="382" t="str">
        <f t="shared" si="22"/>
        <v>SI</v>
      </c>
      <c r="S495" s="382" t="str">
        <f t="shared" si="23"/>
        <v>Sin Riesgo</v>
      </c>
      <c r="T495" s="185"/>
    </row>
    <row r="496" spans="1:20" ht="32.1" customHeight="1" x14ac:dyDescent="0.2">
      <c r="A496" s="361" t="s">
        <v>4069</v>
      </c>
      <c r="B496" s="362" t="s">
        <v>3362</v>
      </c>
      <c r="C496" s="362" t="s">
        <v>3363</v>
      </c>
      <c r="D496" s="364">
        <v>100</v>
      </c>
      <c r="E496" s="405"/>
      <c r="F496" s="405">
        <v>97.35</v>
      </c>
      <c r="G496" s="405"/>
      <c r="H496" s="405"/>
      <c r="I496" s="405"/>
      <c r="J496" s="405"/>
      <c r="K496" s="405"/>
      <c r="L496" s="405"/>
      <c r="M496" s="405"/>
      <c r="N496" s="405"/>
      <c r="O496" s="405"/>
      <c r="P496" s="405"/>
      <c r="Q496" s="382">
        <f t="shared" si="21"/>
        <v>97.35</v>
      </c>
      <c r="R496" s="382" t="str">
        <f t="shared" si="22"/>
        <v>NO</v>
      </c>
      <c r="S496" s="382" t="str">
        <f t="shared" si="23"/>
        <v>Inviable Sanitariamente</v>
      </c>
      <c r="T496" s="185"/>
    </row>
    <row r="497" spans="1:19" ht="32.1" customHeight="1" x14ac:dyDescent="0.2">
      <c r="A497" s="361" t="s">
        <v>4069</v>
      </c>
      <c r="B497" s="362" t="s">
        <v>3364</v>
      </c>
      <c r="C497" s="362" t="s">
        <v>3365</v>
      </c>
      <c r="D497" s="364">
        <v>179</v>
      </c>
      <c r="E497" s="405"/>
      <c r="F497" s="405"/>
      <c r="G497" s="405"/>
      <c r="H497" s="405"/>
      <c r="I497" s="405">
        <v>53.1</v>
      </c>
      <c r="J497" s="405" t="s">
        <v>1600</v>
      </c>
      <c r="K497" s="405"/>
      <c r="L497" s="405"/>
      <c r="M497" s="405"/>
      <c r="N497" s="405"/>
      <c r="O497" s="405">
        <v>97.5</v>
      </c>
      <c r="P497" s="405"/>
      <c r="Q497" s="382">
        <f t="shared" si="21"/>
        <v>75.3</v>
      </c>
      <c r="R497" s="382" t="str">
        <f t="shared" si="22"/>
        <v>NO</v>
      </c>
      <c r="S497" s="382" t="str">
        <f t="shared" si="23"/>
        <v>Alto</v>
      </c>
    </row>
    <row r="498" spans="1:19" ht="32.1" customHeight="1" x14ac:dyDescent="0.2">
      <c r="A498" s="361" t="s">
        <v>4069</v>
      </c>
      <c r="B498" s="362" t="s">
        <v>3366</v>
      </c>
      <c r="C498" s="362" t="s">
        <v>3367</v>
      </c>
      <c r="D498" s="364">
        <v>69</v>
      </c>
      <c r="E498" s="405"/>
      <c r="F498" s="405"/>
      <c r="G498" s="405"/>
      <c r="H498" s="405"/>
      <c r="I498" s="405"/>
      <c r="J498" s="405">
        <v>97.4</v>
      </c>
      <c r="K498" s="405"/>
      <c r="L498" s="405"/>
      <c r="M498" s="405"/>
      <c r="N498" s="405"/>
      <c r="O498" s="405"/>
      <c r="P498" s="405"/>
      <c r="Q498" s="382">
        <f t="shared" si="21"/>
        <v>97.4</v>
      </c>
      <c r="R498" s="382" t="str">
        <f t="shared" si="22"/>
        <v>NO</v>
      </c>
      <c r="S498" s="382" t="str">
        <f t="shared" si="23"/>
        <v>Inviable Sanitariamente</v>
      </c>
    </row>
    <row r="499" spans="1:19" ht="32.1" customHeight="1" x14ac:dyDescent="0.2">
      <c r="A499" s="361" t="s">
        <v>4069</v>
      </c>
      <c r="B499" s="362" t="s">
        <v>3368</v>
      </c>
      <c r="C499" s="362" t="s">
        <v>3369</v>
      </c>
      <c r="D499" s="364">
        <v>102</v>
      </c>
      <c r="E499" s="405"/>
      <c r="F499" s="405">
        <v>53.1</v>
      </c>
      <c r="G499" s="405"/>
      <c r="H499" s="405"/>
      <c r="I499" s="405">
        <v>0</v>
      </c>
      <c r="J499" s="405">
        <v>0</v>
      </c>
      <c r="K499" s="405"/>
      <c r="L499" s="405">
        <v>0</v>
      </c>
      <c r="M499" s="405"/>
      <c r="N499" s="405"/>
      <c r="O499" s="405"/>
      <c r="P499" s="405"/>
      <c r="Q499" s="382">
        <f t="shared" ref="Q499:Q532" si="24">AVERAGE(E499:P499)</f>
        <v>13.275</v>
      </c>
      <c r="R499" s="382" t="str">
        <f t="shared" si="22"/>
        <v>NO</v>
      </c>
      <c r="S499" s="382" t="str">
        <f t="shared" si="23"/>
        <v>Bajo</v>
      </c>
    </row>
    <row r="500" spans="1:19" ht="32.1" customHeight="1" x14ac:dyDescent="0.2">
      <c r="A500" s="361" t="s">
        <v>4069</v>
      </c>
      <c r="B500" s="362" t="s">
        <v>3370</v>
      </c>
      <c r="C500" s="362" t="s">
        <v>3371</v>
      </c>
      <c r="D500" s="364">
        <v>65</v>
      </c>
      <c r="E500" s="405">
        <v>97.2</v>
      </c>
      <c r="F500" s="405"/>
      <c r="G500" s="405"/>
      <c r="H500" s="405"/>
      <c r="I500" s="405"/>
      <c r="J500" s="405"/>
      <c r="K500" s="405"/>
      <c r="L500" s="405"/>
      <c r="M500" s="405"/>
      <c r="N500" s="405"/>
      <c r="O500" s="405"/>
      <c r="P500" s="405"/>
      <c r="Q500" s="382">
        <f t="shared" si="24"/>
        <v>97.2</v>
      </c>
      <c r="R500" s="382" t="str">
        <f t="shared" si="22"/>
        <v>NO</v>
      </c>
      <c r="S500" s="382" t="str">
        <f t="shared" si="23"/>
        <v>Inviable Sanitariamente</v>
      </c>
    </row>
    <row r="501" spans="1:19" ht="32.1" customHeight="1" x14ac:dyDescent="0.2">
      <c r="A501" s="361" t="s">
        <v>4069</v>
      </c>
      <c r="B501" s="362" t="s">
        <v>426</v>
      </c>
      <c r="C501" s="362" t="s">
        <v>3372</v>
      </c>
      <c r="D501" s="364">
        <v>15</v>
      </c>
      <c r="E501" s="405"/>
      <c r="F501" s="405">
        <v>97.2</v>
      </c>
      <c r="G501" s="405"/>
      <c r="H501" s="405"/>
      <c r="I501" s="405"/>
      <c r="J501" s="405"/>
      <c r="K501" s="405"/>
      <c r="L501" s="405"/>
      <c r="M501" s="405"/>
      <c r="N501" s="405"/>
      <c r="O501" s="405"/>
      <c r="P501" s="405"/>
      <c r="Q501" s="382">
        <f t="shared" si="24"/>
        <v>97.2</v>
      </c>
      <c r="R501" s="382" t="str">
        <f t="shared" si="22"/>
        <v>NO</v>
      </c>
      <c r="S501" s="382" t="str">
        <f t="shared" si="23"/>
        <v>Inviable Sanitariamente</v>
      </c>
    </row>
    <row r="502" spans="1:19" ht="32.1" customHeight="1" x14ac:dyDescent="0.2">
      <c r="A502" s="361" t="s">
        <v>4069</v>
      </c>
      <c r="B502" s="362" t="s">
        <v>2945</v>
      </c>
      <c r="C502" s="362" t="s">
        <v>2946</v>
      </c>
      <c r="D502" s="364">
        <v>32</v>
      </c>
      <c r="E502" s="405"/>
      <c r="F502" s="405">
        <v>97.2</v>
      </c>
      <c r="G502" s="405"/>
      <c r="H502" s="405"/>
      <c r="I502" s="405"/>
      <c r="J502" s="405"/>
      <c r="K502" s="405"/>
      <c r="L502" s="405"/>
      <c r="M502" s="405"/>
      <c r="N502" s="405"/>
      <c r="O502" s="405"/>
      <c r="P502" s="405"/>
      <c r="Q502" s="382">
        <f t="shared" si="24"/>
        <v>97.2</v>
      </c>
      <c r="R502" s="382" t="str">
        <f t="shared" si="22"/>
        <v>NO</v>
      </c>
      <c r="S502" s="382" t="str">
        <f t="shared" si="23"/>
        <v>Inviable Sanitariamente</v>
      </c>
    </row>
    <row r="503" spans="1:19" ht="32.1" customHeight="1" x14ac:dyDescent="0.2">
      <c r="A503" s="361" t="s">
        <v>4069</v>
      </c>
      <c r="B503" s="362" t="s">
        <v>3373</v>
      </c>
      <c r="C503" s="362" t="s">
        <v>3374</v>
      </c>
      <c r="D503" s="364">
        <v>86</v>
      </c>
      <c r="E503" s="405"/>
      <c r="F503" s="405">
        <v>53.1</v>
      </c>
      <c r="G503" s="405"/>
      <c r="H503" s="405"/>
      <c r="I503" s="405">
        <v>53.1</v>
      </c>
      <c r="J503" s="405"/>
      <c r="K503" s="405"/>
      <c r="L503" s="405">
        <v>53.1</v>
      </c>
      <c r="M503" s="405"/>
      <c r="N503" s="405"/>
      <c r="O503" s="405"/>
      <c r="P503" s="405"/>
      <c r="Q503" s="382">
        <f t="shared" si="24"/>
        <v>53.1</v>
      </c>
      <c r="R503" s="382" t="str">
        <f t="shared" si="22"/>
        <v>NO</v>
      </c>
      <c r="S503" s="382" t="str">
        <f t="shared" si="23"/>
        <v>Alto</v>
      </c>
    </row>
    <row r="504" spans="1:19" ht="32.1" customHeight="1" x14ac:dyDescent="0.2">
      <c r="A504" s="361" t="s">
        <v>4069</v>
      </c>
      <c r="B504" s="362" t="s">
        <v>3375</v>
      </c>
      <c r="C504" s="362" t="s">
        <v>3376</v>
      </c>
      <c r="D504" s="364">
        <v>93</v>
      </c>
      <c r="E504" s="405"/>
      <c r="F504" s="405"/>
      <c r="G504" s="405"/>
      <c r="H504" s="405"/>
      <c r="I504" s="405"/>
      <c r="J504" s="405"/>
      <c r="K504" s="405"/>
      <c r="L504" s="405">
        <v>70.8</v>
      </c>
      <c r="M504" s="405"/>
      <c r="N504" s="405"/>
      <c r="O504" s="405">
        <v>70.8</v>
      </c>
      <c r="P504" s="405"/>
      <c r="Q504" s="382">
        <f t="shared" si="24"/>
        <v>70.8</v>
      </c>
      <c r="R504" s="382" t="str">
        <f t="shared" si="22"/>
        <v>NO</v>
      </c>
      <c r="S504" s="382" t="str">
        <f t="shared" si="23"/>
        <v>Alto</v>
      </c>
    </row>
    <row r="505" spans="1:19" ht="32.1" customHeight="1" x14ac:dyDescent="0.2">
      <c r="A505" s="361" t="s">
        <v>4069</v>
      </c>
      <c r="B505" s="362" t="s">
        <v>3377</v>
      </c>
      <c r="C505" s="362" t="s">
        <v>3378</v>
      </c>
      <c r="D505" s="364">
        <v>55</v>
      </c>
      <c r="E505" s="405"/>
      <c r="F505" s="405"/>
      <c r="G505" s="405"/>
      <c r="H505" s="405"/>
      <c r="I505" s="405"/>
      <c r="J505" s="405"/>
      <c r="K505" s="405"/>
      <c r="L505" s="405"/>
      <c r="M505" s="405"/>
      <c r="N505" s="405"/>
      <c r="O505" s="405"/>
      <c r="P505" s="405">
        <v>100</v>
      </c>
      <c r="Q505" s="382">
        <f t="shared" si="24"/>
        <v>100</v>
      </c>
      <c r="R505" s="382" t="str">
        <f t="shared" si="22"/>
        <v>NO</v>
      </c>
      <c r="S505" s="382" t="str">
        <f t="shared" si="23"/>
        <v>Inviable Sanitariamente</v>
      </c>
    </row>
    <row r="506" spans="1:19" ht="32.1" customHeight="1" x14ac:dyDescent="0.2">
      <c r="A506" s="361" t="s">
        <v>4069</v>
      </c>
      <c r="B506" s="362" t="s">
        <v>3379</v>
      </c>
      <c r="C506" s="362" t="s">
        <v>3380</v>
      </c>
      <c r="D506" s="364">
        <v>30</v>
      </c>
      <c r="E506" s="405"/>
      <c r="F506" s="405">
        <v>97.9</v>
      </c>
      <c r="G506" s="405"/>
      <c r="H506" s="405"/>
      <c r="I506" s="405"/>
      <c r="J506" s="405"/>
      <c r="K506" s="405"/>
      <c r="L506" s="405"/>
      <c r="M506" s="405"/>
      <c r="N506" s="405"/>
      <c r="O506" s="405"/>
      <c r="P506" s="405"/>
      <c r="Q506" s="382">
        <f t="shared" si="24"/>
        <v>97.9</v>
      </c>
      <c r="R506" s="382" t="str">
        <f t="shared" si="22"/>
        <v>NO</v>
      </c>
      <c r="S506" s="382" t="str">
        <f t="shared" si="23"/>
        <v>Inviable Sanitariamente</v>
      </c>
    </row>
    <row r="507" spans="1:19" ht="32.1" customHeight="1" x14ac:dyDescent="0.2">
      <c r="A507" s="361" t="s">
        <v>4069</v>
      </c>
      <c r="B507" s="362" t="s">
        <v>3381</v>
      </c>
      <c r="C507" s="362" t="s">
        <v>3382</v>
      </c>
      <c r="D507" s="364">
        <v>15</v>
      </c>
      <c r="E507" s="405"/>
      <c r="F507" s="405">
        <v>97.9</v>
      </c>
      <c r="G507" s="405"/>
      <c r="H507" s="405"/>
      <c r="I507" s="405"/>
      <c r="J507" s="405"/>
      <c r="K507" s="405"/>
      <c r="L507" s="405"/>
      <c r="M507" s="405"/>
      <c r="N507" s="405"/>
      <c r="O507" s="405"/>
      <c r="P507" s="405"/>
      <c r="Q507" s="382">
        <f t="shared" si="24"/>
        <v>97.9</v>
      </c>
      <c r="R507" s="382" t="str">
        <f t="shared" si="22"/>
        <v>NO</v>
      </c>
      <c r="S507" s="382" t="str">
        <f t="shared" si="23"/>
        <v>Inviable Sanitariamente</v>
      </c>
    </row>
    <row r="508" spans="1:19" ht="32.1" customHeight="1" x14ac:dyDescent="0.2">
      <c r="A508" s="361" t="s">
        <v>4069</v>
      </c>
      <c r="B508" s="362" t="s">
        <v>3287</v>
      </c>
      <c r="C508" s="362" t="s">
        <v>3383</v>
      </c>
      <c r="D508" s="364"/>
      <c r="E508" s="405"/>
      <c r="F508" s="405">
        <v>0</v>
      </c>
      <c r="G508" s="405"/>
      <c r="H508" s="405"/>
      <c r="I508" s="405">
        <v>0</v>
      </c>
      <c r="J508" s="405">
        <v>0</v>
      </c>
      <c r="K508" s="405">
        <v>0</v>
      </c>
      <c r="L508" s="405">
        <v>0</v>
      </c>
      <c r="M508" s="405"/>
      <c r="N508" s="405"/>
      <c r="O508" s="405"/>
      <c r="P508" s="405"/>
      <c r="Q508" s="382">
        <f t="shared" si="24"/>
        <v>0</v>
      </c>
      <c r="R508" s="382" t="str">
        <f t="shared" si="22"/>
        <v>SI</v>
      </c>
      <c r="S508" s="382" t="str">
        <f t="shared" si="23"/>
        <v>Sin Riesgo</v>
      </c>
    </row>
    <row r="509" spans="1:19" ht="32.1" customHeight="1" x14ac:dyDescent="0.2">
      <c r="A509" s="361" t="s">
        <v>4069</v>
      </c>
      <c r="B509" s="362" t="s">
        <v>3384</v>
      </c>
      <c r="C509" s="362" t="s">
        <v>3385</v>
      </c>
      <c r="D509" s="364">
        <v>118</v>
      </c>
      <c r="E509" s="405"/>
      <c r="F509" s="405"/>
      <c r="G509" s="405"/>
      <c r="H509" s="405"/>
      <c r="I509" s="405"/>
      <c r="J509" s="405"/>
      <c r="K509" s="405"/>
      <c r="L509" s="405"/>
      <c r="M509" s="405"/>
      <c r="N509" s="405"/>
      <c r="O509" s="405">
        <v>70.8</v>
      </c>
      <c r="P509" s="405">
        <v>70.8</v>
      </c>
      <c r="Q509" s="382">
        <f t="shared" si="24"/>
        <v>70.8</v>
      </c>
      <c r="R509" s="382" t="str">
        <f t="shared" si="22"/>
        <v>NO</v>
      </c>
      <c r="S509" s="382" t="str">
        <f t="shared" si="23"/>
        <v>Alto</v>
      </c>
    </row>
    <row r="510" spans="1:19" ht="32.1" customHeight="1" x14ac:dyDescent="0.2">
      <c r="A510" s="361" t="s">
        <v>4069</v>
      </c>
      <c r="B510" s="362" t="s">
        <v>3386</v>
      </c>
      <c r="C510" s="362" t="s">
        <v>3387</v>
      </c>
      <c r="D510" s="364">
        <v>271</v>
      </c>
      <c r="E510" s="405"/>
      <c r="F510" s="405">
        <v>0</v>
      </c>
      <c r="G510" s="405"/>
      <c r="H510" s="405"/>
      <c r="I510" s="405">
        <v>26.55</v>
      </c>
      <c r="J510" s="405"/>
      <c r="K510" s="405"/>
      <c r="L510" s="405"/>
      <c r="M510" s="405"/>
      <c r="N510" s="405"/>
      <c r="O510" s="405"/>
      <c r="P510" s="405"/>
      <c r="Q510" s="382">
        <f t="shared" si="24"/>
        <v>13.275</v>
      </c>
      <c r="R510" s="382" t="str">
        <f t="shared" si="22"/>
        <v>NO</v>
      </c>
      <c r="S510" s="382" t="str">
        <f t="shared" si="23"/>
        <v>Bajo</v>
      </c>
    </row>
    <row r="511" spans="1:19" ht="32.1" customHeight="1" x14ac:dyDescent="0.2">
      <c r="A511" s="361" t="s">
        <v>4069</v>
      </c>
      <c r="B511" s="362" t="s">
        <v>3388</v>
      </c>
      <c r="C511" s="362" t="s">
        <v>3389</v>
      </c>
      <c r="D511" s="364">
        <v>380</v>
      </c>
      <c r="E511" s="405">
        <v>76.92</v>
      </c>
      <c r="F511" s="405"/>
      <c r="G511" s="405"/>
      <c r="H511" s="405"/>
      <c r="I511" s="405"/>
      <c r="J511" s="405"/>
      <c r="K511" s="405"/>
      <c r="L511" s="405"/>
      <c r="M511" s="405"/>
      <c r="N511" s="405"/>
      <c r="O511" s="405"/>
      <c r="P511" s="405"/>
      <c r="Q511" s="382">
        <f t="shared" si="24"/>
        <v>76.92</v>
      </c>
      <c r="R511" s="382" t="str">
        <f t="shared" si="22"/>
        <v>NO</v>
      </c>
      <c r="S511" s="382" t="str">
        <f t="shared" si="23"/>
        <v>Alto</v>
      </c>
    </row>
    <row r="512" spans="1:19" ht="32.1" customHeight="1" x14ac:dyDescent="0.2">
      <c r="A512" s="361" t="s">
        <v>4069</v>
      </c>
      <c r="B512" s="362" t="s">
        <v>1028</v>
      </c>
      <c r="C512" s="362" t="s">
        <v>3390</v>
      </c>
      <c r="D512" s="364">
        <v>260</v>
      </c>
      <c r="E512" s="405"/>
      <c r="F512" s="405">
        <v>0</v>
      </c>
      <c r="G512" s="405"/>
      <c r="H512" s="405"/>
      <c r="I512" s="405">
        <v>0</v>
      </c>
      <c r="J512" s="405">
        <v>0</v>
      </c>
      <c r="K512" s="405">
        <v>0</v>
      </c>
      <c r="L512" s="405">
        <v>0</v>
      </c>
      <c r="M512" s="405"/>
      <c r="N512" s="405"/>
      <c r="O512" s="405"/>
      <c r="P512" s="405"/>
      <c r="Q512" s="382">
        <f t="shared" si="24"/>
        <v>0</v>
      </c>
      <c r="R512" s="382" t="str">
        <f t="shared" si="22"/>
        <v>SI</v>
      </c>
      <c r="S512" s="382" t="str">
        <f t="shared" si="23"/>
        <v>Sin Riesgo</v>
      </c>
    </row>
    <row r="513" spans="1:19" ht="32.1" customHeight="1" x14ac:dyDescent="0.2">
      <c r="A513" s="361" t="s">
        <v>4069</v>
      </c>
      <c r="B513" s="362" t="s">
        <v>3391</v>
      </c>
      <c r="C513" s="362" t="s">
        <v>3392</v>
      </c>
      <c r="D513" s="364">
        <v>1103</v>
      </c>
      <c r="E513" s="405"/>
      <c r="F513" s="405">
        <v>0</v>
      </c>
      <c r="G513" s="405"/>
      <c r="H513" s="405"/>
      <c r="I513" s="405">
        <v>70.8</v>
      </c>
      <c r="J513" s="405">
        <v>0</v>
      </c>
      <c r="K513" s="405">
        <v>0</v>
      </c>
      <c r="L513" s="405">
        <v>0</v>
      </c>
      <c r="M513" s="405"/>
      <c r="N513" s="405"/>
      <c r="O513" s="405"/>
      <c r="P513" s="405"/>
      <c r="Q513" s="382">
        <f t="shared" si="24"/>
        <v>14.16</v>
      </c>
      <c r="R513" s="382" t="str">
        <f t="shared" si="22"/>
        <v>NO</v>
      </c>
      <c r="S513" s="382" t="str">
        <f t="shared" si="23"/>
        <v>Medio</v>
      </c>
    </row>
    <row r="514" spans="1:19" ht="32.1" customHeight="1" x14ac:dyDescent="0.2">
      <c r="A514" s="361" t="s">
        <v>4069</v>
      </c>
      <c r="B514" s="362" t="s">
        <v>3393</v>
      </c>
      <c r="C514" s="362" t="s">
        <v>3394</v>
      </c>
      <c r="D514" s="364"/>
      <c r="E514" s="405"/>
      <c r="F514" s="405">
        <v>0</v>
      </c>
      <c r="G514" s="405"/>
      <c r="H514" s="405"/>
      <c r="I514" s="405">
        <v>0</v>
      </c>
      <c r="J514" s="405">
        <v>0</v>
      </c>
      <c r="K514" s="405">
        <v>0</v>
      </c>
      <c r="L514" s="405">
        <v>0</v>
      </c>
      <c r="M514" s="405"/>
      <c r="N514" s="405"/>
      <c r="O514" s="405"/>
      <c r="P514" s="405"/>
      <c r="Q514" s="382">
        <f t="shared" si="24"/>
        <v>0</v>
      </c>
      <c r="R514" s="382" t="str">
        <f t="shared" si="22"/>
        <v>SI</v>
      </c>
      <c r="S514" s="382" t="str">
        <f t="shared" si="23"/>
        <v>Sin Riesgo</v>
      </c>
    </row>
    <row r="515" spans="1:19" ht="32.1" customHeight="1" x14ac:dyDescent="0.2">
      <c r="A515" s="361" t="s">
        <v>4069</v>
      </c>
      <c r="B515" s="378" t="s">
        <v>3395</v>
      </c>
      <c r="C515" s="378" t="s">
        <v>3396</v>
      </c>
      <c r="D515" s="364">
        <v>40</v>
      </c>
      <c r="E515" s="405"/>
      <c r="F515" s="405">
        <v>97.9</v>
      </c>
      <c r="G515" s="405"/>
      <c r="H515" s="405"/>
      <c r="I515" s="405"/>
      <c r="J515" s="405"/>
      <c r="K515" s="405"/>
      <c r="L515" s="405"/>
      <c r="M515" s="405"/>
      <c r="N515" s="405"/>
      <c r="O515" s="405"/>
      <c r="P515" s="405"/>
      <c r="Q515" s="382">
        <f t="shared" si="24"/>
        <v>97.9</v>
      </c>
      <c r="R515" s="382" t="str">
        <f t="shared" si="22"/>
        <v>NO</v>
      </c>
      <c r="S515" s="382" t="str">
        <f t="shared" si="23"/>
        <v>Inviable Sanitariamente</v>
      </c>
    </row>
    <row r="516" spans="1:19" ht="32.1" customHeight="1" x14ac:dyDescent="0.2">
      <c r="A516" s="385" t="s">
        <v>158</v>
      </c>
      <c r="B516" s="362" t="s">
        <v>3398</v>
      </c>
      <c r="C516" s="362" t="s">
        <v>3399</v>
      </c>
      <c r="D516" s="364">
        <v>17</v>
      </c>
      <c r="E516" s="405"/>
      <c r="F516" s="405">
        <v>97.3</v>
      </c>
      <c r="G516" s="405"/>
      <c r="H516" s="405"/>
      <c r="I516" s="405"/>
      <c r="J516" s="405"/>
      <c r="K516" s="405"/>
      <c r="L516" s="405"/>
      <c r="M516" s="405"/>
      <c r="N516" s="405"/>
      <c r="O516" s="405"/>
      <c r="P516" s="405"/>
      <c r="Q516" s="382">
        <f t="shared" si="24"/>
        <v>97.3</v>
      </c>
      <c r="R516" s="382" t="str">
        <f t="shared" si="22"/>
        <v>NO</v>
      </c>
      <c r="S516" s="382" t="str">
        <f t="shared" si="23"/>
        <v>Inviable Sanitariamente</v>
      </c>
    </row>
    <row r="517" spans="1:19" ht="32.1" customHeight="1" x14ac:dyDescent="0.2">
      <c r="A517" s="385" t="s">
        <v>158</v>
      </c>
      <c r="B517" s="362" t="s">
        <v>3400</v>
      </c>
      <c r="C517" s="362" t="s">
        <v>3401</v>
      </c>
      <c r="D517" s="364">
        <v>26</v>
      </c>
      <c r="E517" s="405"/>
      <c r="F517" s="405"/>
      <c r="G517" s="405">
        <v>97.3</v>
      </c>
      <c r="H517" s="405"/>
      <c r="I517" s="405"/>
      <c r="J517" s="405"/>
      <c r="K517" s="405"/>
      <c r="L517" s="405"/>
      <c r="M517" s="405"/>
      <c r="N517" s="405"/>
      <c r="O517" s="405"/>
      <c r="P517" s="405"/>
      <c r="Q517" s="382">
        <f t="shared" si="24"/>
        <v>97.3</v>
      </c>
      <c r="R517" s="382" t="str">
        <f t="shared" si="22"/>
        <v>NO</v>
      </c>
      <c r="S517" s="382" t="str">
        <f t="shared" si="23"/>
        <v>Inviable Sanitariamente</v>
      </c>
    </row>
    <row r="518" spans="1:19" ht="32.1" customHeight="1" x14ac:dyDescent="0.2">
      <c r="A518" s="385" t="s">
        <v>158</v>
      </c>
      <c r="B518" s="362" t="s">
        <v>3402</v>
      </c>
      <c r="C518" s="362" t="s">
        <v>3403</v>
      </c>
      <c r="D518" s="364">
        <v>46</v>
      </c>
      <c r="E518" s="405"/>
      <c r="F518" s="405"/>
      <c r="G518" s="405"/>
      <c r="H518" s="405"/>
      <c r="I518" s="405"/>
      <c r="J518" s="405"/>
      <c r="K518" s="405"/>
      <c r="L518" s="405"/>
      <c r="M518" s="405"/>
      <c r="N518" s="405"/>
      <c r="O518" s="405"/>
      <c r="P518" s="405">
        <v>97.3</v>
      </c>
      <c r="Q518" s="382">
        <f t="shared" si="24"/>
        <v>97.3</v>
      </c>
      <c r="R518" s="382" t="str">
        <f t="shared" si="22"/>
        <v>NO</v>
      </c>
      <c r="S518" s="382" t="str">
        <f t="shared" si="23"/>
        <v>Inviable Sanitariamente</v>
      </c>
    </row>
    <row r="519" spans="1:19" ht="32.1" customHeight="1" x14ac:dyDescent="0.2">
      <c r="A519" s="385" t="s">
        <v>158</v>
      </c>
      <c r="B519" s="362" t="s">
        <v>3404</v>
      </c>
      <c r="C519" s="362" t="s">
        <v>3405</v>
      </c>
      <c r="D519" s="364">
        <v>42</v>
      </c>
      <c r="E519" s="405"/>
      <c r="F519" s="405"/>
      <c r="G519" s="405">
        <v>97.3</v>
      </c>
      <c r="H519" s="405"/>
      <c r="I519" s="405"/>
      <c r="J519" s="405"/>
      <c r="K519" s="405"/>
      <c r="L519" s="405"/>
      <c r="M519" s="405"/>
      <c r="N519" s="405"/>
      <c r="O519" s="405"/>
      <c r="P519" s="405"/>
      <c r="Q519" s="382">
        <f t="shared" si="24"/>
        <v>97.3</v>
      </c>
      <c r="R519" s="382" t="str">
        <f t="shared" si="22"/>
        <v>NO</v>
      </c>
      <c r="S519" s="382" t="str">
        <f t="shared" si="23"/>
        <v>Inviable Sanitariamente</v>
      </c>
    </row>
    <row r="520" spans="1:19" ht="32.1" customHeight="1" x14ac:dyDescent="0.2">
      <c r="A520" s="385" t="s">
        <v>158</v>
      </c>
      <c r="B520" s="362" t="s">
        <v>2791</v>
      </c>
      <c r="C520" s="362" t="s">
        <v>3406</v>
      </c>
      <c r="D520" s="364">
        <v>120</v>
      </c>
      <c r="E520" s="405"/>
      <c r="F520" s="405"/>
      <c r="G520" s="405"/>
      <c r="H520" s="405"/>
      <c r="I520" s="405"/>
      <c r="J520" s="405"/>
      <c r="K520" s="405"/>
      <c r="L520" s="405"/>
      <c r="M520" s="405"/>
      <c r="N520" s="405"/>
      <c r="O520" s="405">
        <v>97.3</v>
      </c>
      <c r="P520" s="405"/>
      <c r="Q520" s="382">
        <f t="shared" si="24"/>
        <v>97.3</v>
      </c>
      <c r="R520" s="382" t="str">
        <f t="shared" si="22"/>
        <v>NO</v>
      </c>
      <c r="S520" s="382" t="str">
        <f t="shared" si="23"/>
        <v>Inviable Sanitariamente</v>
      </c>
    </row>
    <row r="521" spans="1:19" ht="32.1" customHeight="1" x14ac:dyDescent="0.2">
      <c r="A521" s="385" t="s">
        <v>158</v>
      </c>
      <c r="B521" s="362" t="s">
        <v>647</v>
      </c>
      <c r="C521" s="362" t="s">
        <v>3407</v>
      </c>
      <c r="D521" s="364">
        <v>20</v>
      </c>
      <c r="E521" s="405"/>
      <c r="F521" s="405"/>
      <c r="G521" s="405"/>
      <c r="H521" s="405"/>
      <c r="I521" s="405"/>
      <c r="J521" s="405"/>
      <c r="K521" s="405"/>
      <c r="L521" s="405"/>
      <c r="M521" s="405"/>
      <c r="N521" s="405"/>
      <c r="O521" s="405">
        <v>97.3</v>
      </c>
      <c r="P521" s="405"/>
      <c r="Q521" s="382">
        <f t="shared" si="24"/>
        <v>97.3</v>
      </c>
      <c r="R521" s="382" t="str">
        <f t="shared" si="22"/>
        <v>NO</v>
      </c>
      <c r="S521" s="382" t="str">
        <f t="shared" si="23"/>
        <v>Inviable Sanitariamente</v>
      </c>
    </row>
    <row r="522" spans="1:19" ht="32.1" customHeight="1" x14ac:dyDescent="0.2">
      <c r="A522" s="385" t="s">
        <v>158</v>
      </c>
      <c r="B522" s="362" t="s">
        <v>1386</v>
      </c>
      <c r="C522" s="362" t="s">
        <v>3408</v>
      </c>
      <c r="D522" s="364">
        <v>7</v>
      </c>
      <c r="E522" s="405"/>
      <c r="F522" s="405">
        <v>97.37</v>
      </c>
      <c r="G522" s="405"/>
      <c r="H522" s="405"/>
      <c r="I522" s="405"/>
      <c r="J522" s="405"/>
      <c r="K522" s="405"/>
      <c r="L522" s="405"/>
      <c r="M522" s="405"/>
      <c r="N522" s="405"/>
      <c r="O522" s="405"/>
      <c r="P522" s="405"/>
      <c r="Q522" s="382">
        <f t="shared" si="24"/>
        <v>97.37</v>
      </c>
      <c r="R522" s="382" t="str">
        <f t="shared" si="22"/>
        <v>NO</v>
      </c>
      <c r="S522" s="382" t="str">
        <f t="shared" si="23"/>
        <v>Inviable Sanitariamente</v>
      </c>
    </row>
    <row r="523" spans="1:19" ht="32.1" customHeight="1" x14ac:dyDescent="0.2">
      <c r="A523" s="385" t="s">
        <v>158</v>
      </c>
      <c r="B523" s="362" t="s">
        <v>2077</v>
      </c>
      <c r="C523" s="362" t="s">
        <v>3409</v>
      </c>
      <c r="D523" s="364">
        <v>39</v>
      </c>
      <c r="E523" s="405"/>
      <c r="F523" s="405"/>
      <c r="G523" s="405"/>
      <c r="H523" s="405"/>
      <c r="I523" s="405"/>
      <c r="J523" s="405"/>
      <c r="K523" s="405"/>
      <c r="L523" s="405"/>
      <c r="M523" s="405"/>
      <c r="N523" s="405"/>
      <c r="O523" s="405"/>
      <c r="P523" s="405">
        <v>97.4</v>
      </c>
      <c r="Q523" s="382">
        <f t="shared" si="24"/>
        <v>97.4</v>
      </c>
      <c r="R523" s="382" t="str">
        <f t="shared" si="22"/>
        <v>NO</v>
      </c>
      <c r="S523" s="382" t="str">
        <f t="shared" si="23"/>
        <v>Inviable Sanitariamente</v>
      </c>
    </row>
    <row r="524" spans="1:19" ht="32.1" customHeight="1" x14ac:dyDescent="0.2">
      <c r="A524" s="385" t="s">
        <v>158</v>
      </c>
      <c r="B524" s="362" t="s">
        <v>3410</v>
      </c>
      <c r="C524" s="362" t="s">
        <v>3411</v>
      </c>
      <c r="D524" s="364">
        <v>12</v>
      </c>
      <c r="E524" s="405"/>
      <c r="F524" s="405"/>
      <c r="G524" s="405">
        <v>97.3</v>
      </c>
      <c r="H524" s="405"/>
      <c r="I524" s="405"/>
      <c r="J524" s="405"/>
      <c r="K524" s="405"/>
      <c r="L524" s="405"/>
      <c r="M524" s="405"/>
      <c r="N524" s="405"/>
      <c r="O524" s="405"/>
      <c r="P524" s="405"/>
      <c r="Q524" s="382">
        <f t="shared" si="24"/>
        <v>97.3</v>
      </c>
      <c r="R524" s="382" t="str">
        <f t="shared" si="22"/>
        <v>NO</v>
      </c>
      <c r="S524" s="382" t="str">
        <f t="shared" si="23"/>
        <v>Inviable Sanitariamente</v>
      </c>
    </row>
    <row r="525" spans="1:19" ht="32.1" customHeight="1" x14ac:dyDescent="0.2">
      <c r="A525" s="385" t="s">
        <v>158</v>
      </c>
      <c r="B525" s="362" t="s">
        <v>3412</v>
      </c>
      <c r="C525" s="362" t="s">
        <v>3413</v>
      </c>
      <c r="D525" s="364" t="s">
        <v>3414</v>
      </c>
      <c r="E525" s="405"/>
      <c r="F525" s="405"/>
      <c r="G525" s="405"/>
      <c r="H525" s="405"/>
      <c r="I525" s="405"/>
      <c r="J525" s="405"/>
      <c r="K525" s="405"/>
      <c r="L525" s="405"/>
      <c r="M525" s="405"/>
      <c r="N525" s="405"/>
      <c r="O525" s="405"/>
      <c r="P525" s="405"/>
      <c r="Q525" s="382" t="e">
        <f t="shared" si="24"/>
        <v>#DIV/0!</v>
      </c>
      <c r="R525" s="382" t="e">
        <f t="shared" si="22"/>
        <v>#DIV/0!</v>
      </c>
      <c r="S525" s="382" t="e">
        <f t="shared" si="23"/>
        <v>#DIV/0!</v>
      </c>
    </row>
    <row r="526" spans="1:19" ht="32.1" customHeight="1" x14ac:dyDescent="0.2">
      <c r="A526" s="385" t="s">
        <v>158</v>
      </c>
      <c r="B526" s="362" t="s">
        <v>8</v>
      </c>
      <c r="C526" s="362" t="s">
        <v>3415</v>
      </c>
      <c r="D526" s="364">
        <v>30</v>
      </c>
      <c r="E526" s="405"/>
      <c r="F526" s="405"/>
      <c r="G526" s="405"/>
      <c r="H526" s="405"/>
      <c r="I526" s="405"/>
      <c r="J526" s="405"/>
      <c r="K526" s="405"/>
      <c r="L526" s="405"/>
      <c r="M526" s="405"/>
      <c r="N526" s="405"/>
      <c r="O526" s="405">
        <v>97.3</v>
      </c>
      <c r="P526" s="405"/>
      <c r="Q526" s="382">
        <f t="shared" si="24"/>
        <v>97.3</v>
      </c>
      <c r="R526" s="382" t="str">
        <f t="shared" si="22"/>
        <v>NO</v>
      </c>
      <c r="S526" s="382" t="str">
        <f t="shared" si="23"/>
        <v>Inviable Sanitariamente</v>
      </c>
    </row>
    <row r="527" spans="1:19" ht="32.1" customHeight="1" x14ac:dyDescent="0.2">
      <c r="A527" s="385" t="s">
        <v>158</v>
      </c>
      <c r="B527" s="362" t="s">
        <v>52</v>
      </c>
      <c r="C527" s="362" t="s">
        <v>3416</v>
      </c>
      <c r="D527" s="364">
        <v>32</v>
      </c>
      <c r="E527" s="405"/>
      <c r="F527" s="405"/>
      <c r="G527" s="405"/>
      <c r="H527" s="405"/>
      <c r="I527" s="405"/>
      <c r="J527" s="405"/>
      <c r="K527" s="405"/>
      <c r="L527" s="405"/>
      <c r="M527" s="405"/>
      <c r="N527" s="405"/>
      <c r="O527" s="405">
        <v>97.3</v>
      </c>
      <c r="P527" s="405"/>
      <c r="Q527" s="382">
        <f t="shared" si="24"/>
        <v>97.3</v>
      </c>
      <c r="R527" s="382" t="str">
        <f t="shared" si="22"/>
        <v>NO</v>
      </c>
      <c r="S527" s="382" t="str">
        <f t="shared" si="23"/>
        <v>Inviable Sanitariamente</v>
      </c>
    </row>
    <row r="528" spans="1:19" ht="32.1" customHeight="1" x14ac:dyDescent="0.2">
      <c r="A528" s="385" t="s">
        <v>158</v>
      </c>
      <c r="B528" s="362" t="s">
        <v>3417</v>
      </c>
      <c r="C528" s="362" t="s">
        <v>3418</v>
      </c>
      <c r="D528" s="364">
        <v>28</v>
      </c>
      <c r="E528" s="405"/>
      <c r="F528" s="405"/>
      <c r="G528" s="405"/>
      <c r="H528" s="405"/>
      <c r="I528" s="405"/>
      <c r="J528" s="405"/>
      <c r="K528" s="405"/>
      <c r="L528" s="405"/>
      <c r="M528" s="405"/>
      <c r="N528" s="405"/>
      <c r="O528" s="405">
        <v>97.3</v>
      </c>
      <c r="P528" s="405"/>
      <c r="Q528" s="382">
        <f t="shared" si="24"/>
        <v>97.3</v>
      </c>
      <c r="R528" s="382" t="str">
        <f t="shared" si="22"/>
        <v>NO</v>
      </c>
      <c r="S528" s="382" t="str">
        <f t="shared" si="23"/>
        <v>Inviable Sanitariamente</v>
      </c>
    </row>
    <row r="529" spans="1:19" ht="32.1" customHeight="1" x14ac:dyDescent="0.2">
      <c r="A529" s="385" t="s">
        <v>158</v>
      </c>
      <c r="B529" s="362" t="s">
        <v>3419</v>
      </c>
      <c r="C529" s="362" t="s">
        <v>3420</v>
      </c>
      <c r="D529" s="364">
        <v>16</v>
      </c>
      <c r="E529" s="405"/>
      <c r="F529" s="405"/>
      <c r="G529" s="405"/>
      <c r="H529" s="405"/>
      <c r="I529" s="405"/>
      <c r="J529" s="405"/>
      <c r="K529" s="405"/>
      <c r="L529" s="405"/>
      <c r="M529" s="405"/>
      <c r="N529" s="405"/>
      <c r="O529" s="405"/>
      <c r="P529" s="405">
        <v>97.3</v>
      </c>
      <c r="Q529" s="382">
        <f t="shared" si="24"/>
        <v>97.3</v>
      </c>
      <c r="R529" s="382" t="str">
        <f t="shared" si="22"/>
        <v>NO</v>
      </c>
      <c r="S529" s="382" t="str">
        <f t="shared" si="23"/>
        <v>Inviable Sanitariamente</v>
      </c>
    </row>
    <row r="530" spans="1:19" ht="32.1" customHeight="1" x14ac:dyDescent="0.2">
      <c r="A530" s="385" t="s">
        <v>158</v>
      </c>
      <c r="B530" s="362" t="s">
        <v>3421</v>
      </c>
      <c r="C530" s="362" t="s">
        <v>3422</v>
      </c>
      <c r="D530" s="364">
        <v>25</v>
      </c>
      <c r="E530" s="405"/>
      <c r="F530" s="405">
        <v>97.3</v>
      </c>
      <c r="G530" s="405"/>
      <c r="H530" s="405"/>
      <c r="I530" s="405"/>
      <c r="J530" s="405"/>
      <c r="K530" s="405"/>
      <c r="L530" s="405"/>
      <c r="M530" s="405"/>
      <c r="N530" s="405"/>
      <c r="O530" s="405"/>
      <c r="P530" s="405"/>
      <c r="Q530" s="382">
        <f t="shared" si="24"/>
        <v>97.3</v>
      </c>
      <c r="R530" s="382" t="str">
        <f t="shared" si="22"/>
        <v>NO</v>
      </c>
      <c r="S530" s="382" t="str">
        <f t="shared" si="23"/>
        <v>Inviable Sanitariamente</v>
      </c>
    </row>
    <row r="531" spans="1:19" ht="33.75" customHeight="1" x14ac:dyDescent="0.2">
      <c r="A531" s="385" t="s">
        <v>158</v>
      </c>
      <c r="B531" s="362" t="s">
        <v>1472</v>
      </c>
      <c r="C531" s="362" t="s">
        <v>3423</v>
      </c>
      <c r="D531" s="364">
        <v>40</v>
      </c>
      <c r="E531" s="405"/>
      <c r="F531" s="405">
        <v>97.3</v>
      </c>
      <c r="G531" s="405"/>
      <c r="H531" s="405"/>
      <c r="I531" s="405"/>
      <c r="J531" s="405"/>
      <c r="K531" s="405"/>
      <c r="L531" s="405"/>
      <c r="M531" s="405"/>
      <c r="N531" s="405"/>
      <c r="O531" s="405"/>
      <c r="P531" s="405"/>
      <c r="Q531" s="382">
        <f t="shared" si="24"/>
        <v>97.3</v>
      </c>
      <c r="R531" s="382" t="str">
        <f t="shared" si="22"/>
        <v>NO</v>
      </c>
      <c r="S531" s="382" t="str">
        <f t="shared" si="23"/>
        <v>Inviable Sanitariamente</v>
      </c>
    </row>
    <row r="532" spans="1:19" ht="32.1" customHeight="1" x14ac:dyDescent="0.2">
      <c r="A532" s="385" t="s">
        <v>158</v>
      </c>
      <c r="B532" s="362" t="s">
        <v>3424</v>
      </c>
      <c r="C532" s="362" t="s">
        <v>3425</v>
      </c>
      <c r="D532" s="364">
        <v>32</v>
      </c>
      <c r="E532" s="405"/>
      <c r="F532" s="405"/>
      <c r="G532" s="405">
        <v>97.37</v>
      </c>
      <c r="H532" s="405"/>
      <c r="I532" s="405"/>
      <c r="J532" s="405"/>
      <c r="K532" s="405"/>
      <c r="L532" s="405"/>
      <c r="M532" s="405"/>
      <c r="N532" s="405"/>
      <c r="O532" s="405"/>
      <c r="P532" s="405"/>
      <c r="Q532" s="382">
        <f t="shared" si="24"/>
        <v>97.37</v>
      </c>
      <c r="R532" s="382" t="str">
        <f t="shared" si="22"/>
        <v>NO</v>
      </c>
      <c r="S532" s="382" t="str">
        <f t="shared" si="23"/>
        <v>Inviable Sanitariamente</v>
      </c>
    </row>
    <row r="533" spans="1:19" ht="32.1" customHeight="1" x14ac:dyDescent="0.2">
      <c r="A533" s="150"/>
      <c r="B533" s="194"/>
      <c r="C533" s="194"/>
      <c r="D533" s="243"/>
      <c r="E533" s="246"/>
      <c r="F533" s="246"/>
      <c r="G533" s="246"/>
      <c r="H533" s="246"/>
      <c r="I533" s="246"/>
      <c r="J533" s="246"/>
      <c r="K533" s="246"/>
      <c r="L533" s="246"/>
      <c r="M533" s="246"/>
      <c r="N533" s="246"/>
      <c r="O533" s="246"/>
      <c r="P533" s="246"/>
      <c r="Q533" s="260"/>
      <c r="R533" s="260"/>
      <c r="S533" s="261"/>
    </row>
    <row r="534" spans="1:19" ht="32.1" customHeight="1" x14ac:dyDescent="0.2">
      <c r="A534" s="187"/>
      <c r="B534" s="187"/>
      <c r="C534" s="187"/>
      <c r="D534" s="187"/>
    </row>
    <row r="535" spans="1:19" ht="32.1" customHeight="1" x14ac:dyDescent="0.2">
      <c r="A535" s="272" t="s">
        <v>4137</v>
      </c>
      <c r="B535" s="272" t="s">
        <v>4184</v>
      </c>
      <c r="C535" s="324" t="s">
        <v>4574</v>
      </c>
      <c r="D535" s="325"/>
      <c r="E535" s="325"/>
      <c r="F535" s="325"/>
      <c r="G535" s="325"/>
      <c r="H535" s="325"/>
      <c r="I535" s="325"/>
      <c r="J535" s="325"/>
      <c r="K535" s="325"/>
      <c r="L535" s="325"/>
      <c r="M535" s="325"/>
      <c r="N535" s="325"/>
      <c r="O535" s="325"/>
      <c r="P535" s="325"/>
      <c r="Q535" s="325"/>
      <c r="R535" s="325"/>
      <c r="S535" s="325"/>
    </row>
    <row r="536" spans="1:19" ht="32.1" customHeight="1" x14ac:dyDescent="0.2">
      <c r="A536" s="276" t="s">
        <v>4071</v>
      </c>
      <c r="B536" s="278">
        <f>COUNTIF(E11:P532,"&lt;=5")</f>
        <v>89</v>
      </c>
      <c r="C536" s="324"/>
      <c r="D536" s="325"/>
      <c r="E536" s="325"/>
      <c r="F536" s="325"/>
      <c r="G536" s="325"/>
      <c r="H536" s="325"/>
      <c r="I536" s="325"/>
      <c r="J536" s="325"/>
      <c r="K536" s="325"/>
      <c r="L536" s="325"/>
      <c r="M536" s="325"/>
      <c r="N536" s="325"/>
      <c r="O536" s="325"/>
      <c r="P536" s="325"/>
      <c r="Q536" s="325"/>
      <c r="R536" s="325"/>
      <c r="S536" s="325"/>
    </row>
    <row r="537" spans="1:19" ht="32.1" customHeight="1" x14ac:dyDescent="0.2">
      <c r="A537" s="263" t="s">
        <v>4072</v>
      </c>
      <c r="B537" s="275">
        <f>COUNTIFS(E11:P532,"&gt;5",E11:P532,"&lt;=14")</f>
        <v>1</v>
      </c>
      <c r="C537" s="324" t="s">
        <v>4573</v>
      </c>
      <c r="D537" s="325"/>
      <c r="E537" s="325"/>
      <c r="F537" s="325"/>
      <c r="G537" s="325"/>
      <c r="H537" s="325"/>
      <c r="I537" s="325"/>
      <c r="J537" s="325"/>
      <c r="K537" s="325"/>
      <c r="L537" s="325"/>
      <c r="M537" s="325"/>
      <c r="N537" s="325"/>
      <c r="O537" s="325"/>
      <c r="P537" s="325"/>
      <c r="Q537" s="325"/>
      <c r="R537" s="325"/>
      <c r="S537" s="325"/>
    </row>
    <row r="538" spans="1:19" ht="32.1" customHeight="1" x14ac:dyDescent="0.2">
      <c r="A538" s="264" t="s">
        <v>4073</v>
      </c>
      <c r="B538" s="270">
        <f>COUNTIFS(E11:P532,"&gt;14",E11:P532,"&lt;=35")</f>
        <v>6</v>
      </c>
      <c r="D538" s="187"/>
    </row>
    <row r="539" spans="1:19" ht="32.1" customHeight="1" x14ac:dyDescent="0.2">
      <c r="A539" s="265" t="s">
        <v>4074</v>
      </c>
      <c r="B539" s="270">
        <f>COUNTIFS(E11:P532,"&gt;35",E11:P532,"&lt;=80")</f>
        <v>75</v>
      </c>
      <c r="D539" s="187"/>
    </row>
    <row r="540" spans="1:19" ht="32.1" customHeight="1" x14ac:dyDescent="0.2">
      <c r="A540" s="266" t="s">
        <v>4075</v>
      </c>
      <c r="B540" s="270">
        <f>COUNTIFS(E11:P532,"&gt;80",E11:P532,"&lt;=100")</f>
        <v>389</v>
      </c>
      <c r="D540" s="187"/>
    </row>
    <row r="541" spans="1:19" ht="32.1" customHeight="1" x14ac:dyDescent="0.2">
      <c r="A541" s="285" t="s">
        <v>4076</v>
      </c>
      <c r="B541" s="286">
        <f>COUNT(E11:P532)</f>
        <v>560</v>
      </c>
      <c r="D541" s="187"/>
    </row>
    <row r="542" spans="1:19" ht="36.75" customHeight="1" x14ac:dyDescent="0.2">
      <c r="A542" s="269" t="s">
        <v>4078</v>
      </c>
      <c r="B542" s="271">
        <f>B541-B536</f>
        <v>471</v>
      </c>
      <c r="C542" s="187"/>
      <c r="D542" s="187"/>
    </row>
    <row r="543" spans="1:19" ht="32.1" customHeight="1" x14ac:dyDescent="0.2">
      <c r="A543" s="187"/>
      <c r="B543" s="187"/>
      <c r="C543" s="187"/>
      <c r="D543" s="187"/>
    </row>
    <row r="544" spans="1:19" ht="32.1" customHeight="1" x14ac:dyDescent="0.2">
      <c r="A544" s="187"/>
      <c r="B544" s="187"/>
      <c r="C544" s="187"/>
    </row>
    <row r="545" spans="1:4" ht="32.1" customHeight="1" x14ac:dyDescent="0.2">
      <c r="A545" s="187"/>
      <c r="B545" s="187"/>
      <c r="C545" s="187"/>
    </row>
    <row r="546" spans="1:4" ht="32.1" customHeight="1" x14ac:dyDescent="0.2">
      <c r="A546" s="187"/>
      <c r="B546" s="187"/>
      <c r="C546" s="187"/>
    </row>
    <row r="547" spans="1:4" ht="32.1" customHeight="1" x14ac:dyDescent="0.2">
      <c r="A547" s="187"/>
      <c r="B547" s="187"/>
      <c r="C547" s="187"/>
    </row>
    <row r="548" spans="1:4" ht="32.1" customHeight="1" x14ac:dyDescent="0.2">
      <c r="A548" s="187"/>
      <c r="B548" s="187"/>
      <c r="C548" s="187"/>
    </row>
    <row r="549" spans="1:4" ht="32.1" customHeight="1" x14ac:dyDescent="0.2">
      <c r="A549" s="187"/>
      <c r="B549" s="187"/>
      <c r="C549" s="187"/>
    </row>
    <row r="550" spans="1:4" ht="32.1" customHeight="1" x14ac:dyDescent="0.2">
      <c r="A550" s="187"/>
      <c r="B550" s="187"/>
    </row>
    <row r="551" spans="1:4" ht="32.1" customHeight="1" x14ac:dyDescent="0.2">
      <c r="A551" s="187"/>
      <c r="B551" s="187"/>
      <c r="C551" s="187"/>
      <c r="D551" s="187"/>
    </row>
    <row r="552" spans="1:4" ht="32.1" customHeight="1" x14ac:dyDescent="0.2">
      <c r="A552" s="187"/>
      <c r="B552" s="187"/>
      <c r="C552" s="187"/>
      <c r="D552" s="187"/>
    </row>
    <row r="553" spans="1:4" ht="32.1" customHeight="1" x14ac:dyDescent="0.2">
      <c r="A553" s="187"/>
      <c r="B553" s="187"/>
      <c r="C553" s="187"/>
      <c r="D553" s="187"/>
    </row>
    <row r="554" spans="1:4" ht="32.1" customHeight="1" x14ac:dyDescent="0.2">
      <c r="A554" s="187"/>
      <c r="B554" s="187"/>
      <c r="C554" s="187"/>
      <c r="D554" s="187"/>
    </row>
    <row r="555" spans="1:4" ht="32.1" customHeight="1" x14ac:dyDescent="0.2">
      <c r="A555" s="187"/>
      <c r="B555" s="187"/>
      <c r="C555" s="187"/>
      <c r="D555" s="187"/>
    </row>
    <row r="556" spans="1:4" ht="32.1" customHeight="1" x14ac:dyDescent="0.2">
      <c r="A556" s="187"/>
      <c r="B556" s="187"/>
      <c r="C556" s="187"/>
      <c r="D556" s="187"/>
    </row>
    <row r="557" spans="1:4" ht="32.1" customHeight="1" x14ac:dyDescent="0.2">
      <c r="A557" s="187"/>
      <c r="B557" s="187"/>
      <c r="C557" s="187"/>
      <c r="D557" s="187"/>
    </row>
    <row r="558" spans="1:4" ht="32.1" customHeight="1" x14ac:dyDescent="0.2">
      <c r="A558" s="187"/>
      <c r="B558" s="187"/>
      <c r="C558" s="187"/>
      <c r="D558" s="187"/>
    </row>
    <row r="559" spans="1:4" ht="32.1" customHeight="1" x14ac:dyDescent="0.2">
      <c r="A559" s="187"/>
      <c r="B559" s="187"/>
      <c r="C559" s="187"/>
      <c r="D559" s="187"/>
    </row>
    <row r="560" spans="1:4" ht="32.1" customHeight="1" x14ac:dyDescent="0.2">
      <c r="A560" s="187"/>
      <c r="B560" s="187"/>
      <c r="C560" s="187"/>
      <c r="D560" s="187"/>
    </row>
    <row r="561" spans="1:4" ht="32.1" customHeight="1" x14ac:dyDescent="0.2">
      <c r="A561" s="187"/>
      <c r="B561" s="187"/>
      <c r="C561" s="187"/>
      <c r="D561" s="187"/>
    </row>
    <row r="562" spans="1:4" ht="32.1" customHeight="1" x14ac:dyDescent="0.2">
      <c r="A562" s="187"/>
      <c r="B562" s="187"/>
      <c r="C562" s="187"/>
      <c r="D562" s="187"/>
    </row>
    <row r="563" spans="1:4" ht="32.1" customHeight="1" x14ac:dyDescent="0.2">
      <c r="A563" s="187"/>
      <c r="B563" s="187"/>
      <c r="C563" s="187"/>
      <c r="D563" s="187"/>
    </row>
    <row r="564" spans="1:4" ht="32.1" customHeight="1" x14ac:dyDescent="0.2">
      <c r="A564" s="187"/>
      <c r="B564" s="187"/>
      <c r="C564" s="187"/>
      <c r="D564" s="187"/>
    </row>
    <row r="565" spans="1:4" ht="32.1" customHeight="1" x14ac:dyDescent="0.2">
      <c r="A565" s="187"/>
      <c r="B565" s="187"/>
      <c r="C565" s="187"/>
      <c r="D565" s="187"/>
    </row>
    <row r="566" spans="1:4" ht="32.1" customHeight="1" x14ac:dyDescent="0.2">
      <c r="A566" s="187"/>
      <c r="B566" s="187"/>
      <c r="C566" s="187"/>
      <c r="D566" s="187"/>
    </row>
    <row r="567" spans="1:4" ht="32.1" customHeight="1" x14ac:dyDescent="0.2">
      <c r="A567" s="187"/>
      <c r="B567" s="187"/>
      <c r="C567" s="187"/>
      <c r="D567" s="187"/>
    </row>
    <row r="568" spans="1:4" ht="32.1" customHeight="1" x14ac:dyDescent="0.2">
      <c r="A568" s="187"/>
      <c r="B568" s="187"/>
      <c r="C568" s="187"/>
      <c r="D568" s="187"/>
    </row>
    <row r="569" spans="1:4" ht="32.1" customHeight="1" x14ac:dyDescent="0.2">
      <c r="A569" s="187"/>
      <c r="B569" s="187"/>
      <c r="C569" s="187"/>
      <c r="D569" s="187"/>
    </row>
    <row r="570" spans="1:4" ht="32.1" customHeight="1" x14ac:dyDescent="0.2">
      <c r="A570" s="187"/>
      <c r="B570" s="187"/>
      <c r="C570" s="187"/>
      <c r="D570" s="187"/>
    </row>
    <row r="571" spans="1:4" ht="32.1" customHeight="1" x14ac:dyDescent="0.2">
      <c r="A571" s="187"/>
      <c r="B571" s="187"/>
      <c r="C571" s="187"/>
      <c r="D571" s="187"/>
    </row>
    <row r="572" spans="1:4" ht="32.1" customHeight="1" x14ac:dyDescent="0.2">
      <c r="A572" s="187"/>
      <c r="B572" s="187"/>
      <c r="C572" s="187"/>
      <c r="D572" s="187"/>
    </row>
    <row r="573" spans="1:4" ht="32.1" customHeight="1" x14ac:dyDescent="0.2">
      <c r="A573" s="187"/>
      <c r="B573" s="187"/>
      <c r="C573" s="187"/>
      <c r="D573" s="187"/>
    </row>
    <row r="574" spans="1:4" ht="32.1" customHeight="1" x14ac:dyDescent="0.2">
      <c r="A574" s="187"/>
      <c r="B574" s="187"/>
      <c r="C574" s="187"/>
      <c r="D574" s="187"/>
    </row>
    <row r="575" spans="1:4" ht="32.1" customHeight="1" x14ac:dyDescent="0.2">
      <c r="A575" s="187"/>
      <c r="B575" s="187"/>
      <c r="C575" s="187"/>
      <c r="D575" s="187"/>
    </row>
    <row r="576" spans="1:4" ht="32.1" customHeight="1" x14ac:dyDescent="0.2">
      <c r="A576" s="187"/>
      <c r="B576" s="187"/>
      <c r="C576" s="187"/>
      <c r="D576" s="187"/>
    </row>
    <row r="577" spans="1:4" ht="32.1" customHeight="1" x14ac:dyDescent="0.2">
      <c r="A577" s="187"/>
      <c r="B577" s="187"/>
      <c r="C577" s="187"/>
      <c r="D577" s="187"/>
    </row>
    <row r="578" spans="1:4" ht="32.1" customHeight="1" x14ac:dyDescent="0.2">
      <c r="A578" s="187"/>
      <c r="B578" s="187"/>
      <c r="C578" s="187"/>
      <c r="D578" s="187"/>
    </row>
    <row r="579" spans="1:4" ht="32.1" customHeight="1" x14ac:dyDescent="0.2">
      <c r="A579" s="187"/>
      <c r="B579" s="187"/>
      <c r="C579" s="187"/>
      <c r="D579" s="187"/>
    </row>
    <row r="580" spans="1:4" ht="32.1" customHeight="1" x14ac:dyDescent="0.2">
      <c r="A580" s="187"/>
      <c r="B580" s="187"/>
      <c r="C580" s="187"/>
      <c r="D580" s="187"/>
    </row>
    <row r="581" spans="1:4" ht="32.1" customHeight="1" x14ac:dyDescent="0.2">
      <c r="A581" s="187"/>
      <c r="B581" s="187"/>
      <c r="C581" s="187"/>
      <c r="D581" s="187"/>
    </row>
    <row r="582" spans="1:4" ht="32.1" customHeight="1" x14ac:dyDescent="0.2">
      <c r="A582" s="187"/>
      <c r="B582" s="187"/>
      <c r="C582" s="187"/>
      <c r="D582" s="187"/>
    </row>
    <row r="583" spans="1:4" ht="32.1" customHeight="1" x14ac:dyDescent="0.2">
      <c r="A583" s="187"/>
      <c r="B583" s="187"/>
      <c r="C583" s="187"/>
      <c r="D583" s="187"/>
    </row>
    <row r="584" spans="1:4" ht="32.1" customHeight="1" x14ac:dyDescent="0.2">
      <c r="A584" s="187"/>
      <c r="B584" s="187"/>
      <c r="C584" s="187"/>
      <c r="D584" s="187"/>
    </row>
    <row r="585" spans="1:4" ht="32.1" customHeight="1" x14ac:dyDescent="0.2">
      <c r="A585" s="187"/>
      <c r="B585" s="187"/>
      <c r="C585" s="187"/>
      <c r="D585" s="187"/>
    </row>
    <row r="586" spans="1:4" ht="32.1" customHeight="1" x14ac:dyDescent="0.2">
      <c r="A586" s="187"/>
      <c r="B586" s="187"/>
      <c r="C586" s="187"/>
      <c r="D586" s="187"/>
    </row>
    <row r="587" spans="1:4" ht="32.1" customHeight="1" x14ac:dyDescent="0.2">
      <c r="A587" s="187"/>
      <c r="B587" s="187"/>
      <c r="C587" s="187"/>
      <c r="D587" s="187"/>
    </row>
    <row r="588" spans="1:4" ht="32.1" customHeight="1" x14ac:dyDescent="0.2">
      <c r="A588" s="187"/>
      <c r="B588" s="187"/>
      <c r="C588" s="187"/>
      <c r="D588" s="187"/>
    </row>
    <row r="589" spans="1:4" ht="32.1" customHeight="1" x14ac:dyDescent="0.2">
      <c r="A589" s="187"/>
      <c r="B589" s="187"/>
      <c r="C589" s="187"/>
      <c r="D589" s="187"/>
    </row>
    <row r="590" spans="1:4" ht="32.1" customHeight="1" x14ac:dyDescent="0.2">
      <c r="A590" s="187"/>
      <c r="B590" s="187"/>
      <c r="C590" s="187"/>
      <c r="D590" s="187"/>
    </row>
    <row r="591" spans="1:4" ht="32.1" customHeight="1" x14ac:dyDescent="0.2">
      <c r="A591" s="187"/>
      <c r="B591" s="187"/>
      <c r="C591" s="187"/>
      <c r="D591" s="187"/>
    </row>
    <row r="592" spans="1:4" ht="32.1" customHeight="1" x14ac:dyDescent="0.2">
      <c r="A592" s="187"/>
      <c r="B592" s="187"/>
      <c r="C592" s="187"/>
      <c r="D592" s="187"/>
    </row>
    <row r="593" spans="1:4" ht="32.1" customHeight="1" x14ac:dyDescent="0.2">
      <c r="A593" s="187"/>
      <c r="B593" s="187"/>
      <c r="C593" s="187"/>
      <c r="D593" s="187"/>
    </row>
    <row r="594" spans="1:4" ht="32.1" customHeight="1" x14ac:dyDescent="0.2">
      <c r="A594" s="187"/>
      <c r="B594" s="187"/>
      <c r="C594" s="187"/>
      <c r="D594" s="187"/>
    </row>
    <row r="595" spans="1:4" ht="32.1" customHeight="1" x14ac:dyDescent="0.2">
      <c r="A595" s="187"/>
      <c r="B595" s="187"/>
      <c r="C595" s="187"/>
      <c r="D595" s="187"/>
    </row>
    <row r="596" spans="1:4" ht="32.1" customHeight="1" x14ac:dyDescent="0.2">
      <c r="A596" s="187"/>
      <c r="B596" s="187"/>
      <c r="C596" s="187"/>
      <c r="D596" s="187"/>
    </row>
    <row r="597" spans="1:4" ht="32.1" customHeight="1" x14ac:dyDescent="0.2">
      <c r="A597" s="187"/>
      <c r="B597" s="187"/>
      <c r="C597" s="187"/>
      <c r="D597" s="187"/>
    </row>
    <row r="598" spans="1:4" ht="32.1" customHeight="1" x14ac:dyDescent="0.2">
      <c r="A598" s="187"/>
      <c r="B598" s="187"/>
      <c r="C598" s="187"/>
      <c r="D598" s="187"/>
    </row>
    <row r="599" spans="1:4" ht="32.1" customHeight="1" x14ac:dyDescent="0.2">
      <c r="A599" s="187"/>
      <c r="B599" s="187"/>
      <c r="C599" s="187"/>
      <c r="D599" s="187"/>
    </row>
    <row r="600" spans="1:4" ht="32.1" customHeight="1" x14ac:dyDescent="0.2">
      <c r="A600" s="187"/>
      <c r="B600" s="187"/>
      <c r="C600" s="187"/>
      <c r="D600" s="187"/>
    </row>
    <row r="601" spans="1:4" ht="32.1" customHeight="1" x14ac:dyDescent="0.2">
      <c r="A601" s="187"/>
      <c r="B601" s="187"/>
      <c r="C601" s="187"/>
      <c r="D601" s="187"/>
    </row>
    <row r="602" spans="1:4" ht="32.1" customHeight="1" x14ac:dyDescent="0.2">
      <c r="A602" s="187"/>
      <c r="B602" s="187"/>
      <c r="C602" s="187"/>
      <c r="D602" s="187"/>
    </row>
    <row r="603" spans="1:4" ht="32.1" customHeight="1" x14ac:dyDescent="0.2">
      <c r="A603" s="187"/>
      <c r="B603" s="187"/>
      <c r="C603" s="187"/>
      <c r="D603" s="187"/>
    </row>
    <row r="604" spans="1:4" ht="32.1" customHeight="1" x14ac:dyDescent="0.2">
      <c r="A604" s="187"/>
      <c r="B604" s="187"/>
      <c r="C604" s="187"/>
      <c r="D604" s="187"/>
    </row>
    <row r="605" spans="1:4" ht="32.1" customHeight="1" x14ac:dyDescent="0.2">
      <c r="A605" s="187"/>
      <c r="B605" s="187"/>
      <c r="C605" s="187"/>
      <c r="D605" s="187"/>
    </row>
    <row r="606" spans="1:4" ht="32.1" customHeight="1" x14ac:dyDescent="0.2">
      <c r="A606" s="187"/>
      <c r="B606" s="187"/>
      <c r="C606" s="187"/>
      <c r="D606" s="187"/>
    </row>
    <row r="607" spans="1:4" ht="32.1" customHeight="1" x14ac:dyDescent="0.2">
      <c r="A607" s="187"/>
      <c r="B607" s="187"/>
      <c r="C607" s="187"/>
      <c r="D607" s="187"/>
    </row>
    <row r="608" spans="1:4" ht="32.1" customHeight="1" x14ac:dyDescent="0.2">
      <c r="A608" s="187"/>
      <c r="B608" s="187"/>
      <c r="C608" s="187"/>
      <c r="D608" s="187"/>
    </row>
    <row r="609" spans="1:4" ht="32.1" customHeight="1" x14ac:dyDescent="0.2">
      <c r="A609" s="187"/>
      <c r="B609" s="187"/>
      <c r="C609" s="187"/>
      <c r="D609" s="187"/>
    </row>
    <row r="610" spans="1:4" ht="32.1" customHeight="1" x14ac:dyDescent="0.2">
      <c r="A610" s="187"/>
      <c r="B610" s="187"/>
      <c r="C610" s="187"/>
      <c r="D610" s="187"/>
    </row>
    <row r="611" spans="1:4" ht="32.1" customHeight="1" x14ac:dyDescent="0.2">
      <c r="A611" s="187"/>
      <c r="B611" s="187"/>
      <c r="C611" s="187"/>
      <c r="D611" s="187"/>
    </row>
    <row r="612" spans="1:4" ht="32.1" customHeight="1" x14ac:dyDescent="0.2">
      <c r="A612" s="187"/>
      <c r="B612" s="187"/>
      <c r="C612" s="187"/>
      <c r="D612" s="187"/>
    </row>
    <row r="613" spans="1:4" ht="32.1" customHeight="1" x14ac:dyDescent="0.2">
      <c r="A613" s="187"/>
      <c r="B613" s="187"/>
      <c r="C613" s="187"/>
      <c r="D613" s="187"/>
    </row>
    <row r="614" spans="1:4" ht="32.1" customHeight="1" x14ac:dyDescent="0.2">
      <c r="A614" s="187"/>
      <c r="B614" s="187"/>
      <c r="C614" s="187"/>
      <c r="D614" s="187"/>
    </row>
    <row r="615" spans="1:4" ht="32.1" customHeight="1" x14ac:dyDescent="0.2">
      <c r="A615" s="187"/>
      <c r="B615" s="187"/>
      <c r="C615" s="187"/>
      <c r="D615" s="187"/>
    </row>
    <row r="616" spans="1:4" ht="32.1" customHeight="1" x14ac:dyDescent="0.2">
      <c r="A616" s="187"/>
      <c r="B616" s="187"/>
      <c r="C616" s="187"/>
      <c r="D616" s="187"/>
    </row>
    <row r="617" spans="1:4" ht="32.1" customHeight="1" x14ac:dyDescent="0.2">
      <c r="A617" s="187"/>
      <c r="B617" s="187"/>
      <c r="C617" s="187"/>
      <c r="D617" s="187"/>
    </row>
    <row r="618" spans="1:4" ht="32.1" customHeight="1" x14ac:dyDescent="0.2">
      <c r="A618" s="187"/>
      <c r="B618" s="187"/>
      <c r="C618" s="187"/>
      <c r="D618" s="187"/>
    </row>
    <row r="619" spans="1:4" ht="32.1" customHeight="1" x14ac:dyDescent="0.2">
      <c r="A619" s="187"/>
      <c r="B619" s="187"/>
      <c r="C619" s="187"/>
      <c r="D619" s="187"/>
    </row>
    <row r="620" spans="1:4" ht="32.1" customHeight="1" x14ac:dyDescent="0.2">
      <c r="A620" s="187"/>
      <c r="B620" s="187"/>
      <c r="C620" s="187"/>
      <c r="D620" s="187"/>
    </row>
    <row r="621" spans="1:4" ht="32.1" customHeight="1" x14ac:dyDescent="0.2">
      <c r="A621" s="187"/>
      <c r="B621" s="187"/>
      <c r="C621" s="187"/>
      <c r="D621" s="187"/>
    </row>
    <row r="622" spans="1:4" ht="32.1" customHeight="1" x14ac:dyDescent="0.2">
      <c r="A622" s="187"/>
      <c r="B622" s="187"/>
      <c r="C622" s="187"/>
      <c r="D622" s="187"/>
    </row>
    <row r="623" spans="1:4" ht="32.1" customHeight="1" x14ac:dyDescent="0.2">
      <c r="A623" s="187"/>
      <c r="B623" s="187"/>
      <c r="C623" s="187"/>
      <c r="D623" s="187"/>
    </row>
    <row r="624" spans="1:4" ht="32.1" customHeight="1" x14ac:dyDescent="0.2">
      <c r="A624" s="187"/>
      <c r="B624" s="187"/>
      <c r="C624" s="187"/>
      <c r="D624" s="187"/>
    </row>
    <row r="625" spans="1:4" ht="32.1" customHeight="1" x14ac:dyDescent="0.2">
      <c r="A625" s="187"/>
      <c r="B625" s="187"/>
      <c r="C625" s="187"/>
      <c r="D625" s="187"/>
    </row>
    <row r="626" spans="1:4" ht="32.1" customHeight="1" x14ac:dyDescent="0.2">
      <c r="A626" s="187"/>
      <c r="B626" s="187"/>
      <c r="C626" s="187"/>
      <c r="D626" s="187"/>
    </row>
    <row r="627" spans="1:4" ht="32.1" customHeight="1" x14ac:dyDescent="0.2">
      <c r="A627" s="187"/>
      <c r="B627" s="187"/>
      <c r="C627" s="187"/>
      <c r="D627" s="187"/>
    </row>
    <row r="628" spans="1:4" ht="32.1" customHeight="1" x14ac:dyDescent="0.2">
      <c r="A628" s="187"/>
      <c r="B628" s="187"/>
      <c r="C628" s="187"/>
      <c r="D628" s="187"/>
    </row>
    <row r="629" spans="1:4" ht="32.1" customHeight="1" x14ac:dyDescent="0.2">
      <c r="A629" s="187"/>
      <c r="B629" s="187"/>
      <c r="C629" s="187"/>
      <c r="D629" s="187"/>
    </row>
    <row r="630" spans="1:4" ht="32.1" customHeight="1" x14ac:dyDescent="0.2">
      <c r="A630" s="187"/>
      <c r="B630" s="187"/>
      <c r="C630" s="187"/>
      <c r="D630" s="187"/>
    </row>
    <row r="631" spans="1:4" ht="32.1" customHeight="1" x14ac:dyDescent="0.2">
      <c r="A631" s="187"/>
      <c r="B631" s="187"/>
      <c r="C631" s="187"/>
      <c r="D631" s="187"/>
    </row>
    <row r="632" spans="1:4" ht="32.1" customHeight="1" x14ac:dyDescent="0.2">
      <c r="A632" s="187"/>
      <c r="B632" s="187"/>
      <c r="C632" s="187"/>
      <c r="D632" s="187"/>
    </row>
    <row r="633" spans="1:4" ht="32.1" customHeight="1" x14ac:dyDescent="0.2">
      <c r="A633" s="187"/>
      <c r="B633" s="187"/>
      <c r="C633" s="187"/>
      <c r="D633" s="187"/>
    </row>
    <row r="634" spans="1:4" ht="32.1" customHeight="1" x14ac:dyDescent="0.2">
      <c r="A634" s="187"/>
      <c r="B634" s="187"/>
      <c r="C634" s="187"/>
      <c r="D634" s="187"/>
    </row>
    <row r="635" spans="1:4" ht="32.1" customHeight="1" x14ac:dyDescent="0.2">
      <c r="A635" s="187"/>
      <c r="B635" s="187"/>
      <c r="C635" s="187"/>
      <c r="D635" s="187"/>
    </row>
    <row r="636" spans="1:4" ht="32.1" customHeight="1" x14ac:dyDescent="0.2">
      <c r="A636" s="187"/>
      <c r="B636" s="187"/>
      <c r="C636" s="187"/>
      <c r="D636" s="187"/>
    </row>
    <row r="637" spans="1:4" ht="32.1" customHeight="1" x14ac:dyDescent="0.2">
      <c r="A637" s="187"/>
      <c r="B637" s="187"/>
      <c r="C637" s="187"/>
      <c r="D637" s="187"/>
    </row>
    <row r="638" spans="1:4" ht="32.1" customHeight="1" x14ac:dyDescent="0.2">
      <c r="A638" s="187"/>
      <c r="B638" s="187"/>
      <c r="C638" s="187"/>
      <c r="D638" s="187"/>
    </row>
    <row r="639" spans="1:4" ht="32.1" customHeight="1" x14ac:dyDescent="0.2">
      <c r="A639" s="187"/>
      <c r="B639" s="187"/>
      <c r="C639" s="187"/>
      <c r="D639" s="187"/>
    </row>
    <row r="640" spans="1:4" ht="32.1" customHeight="1" x14ac:dyDescent="0.2">
      <c r="A640" s="187"/>
      <c r="B640" s="187"/>
      <c r="C640" s="187"/>
      <c r="D640" s="187"/>
    </row>
    <row r="641" spans="1:4" ht="32.1" customHeight="1" x14ac:dyDescent="0.2">
      <c r="A641" s="187"/>
      <c r="B641" s="187"/>
      <c r="C641" s="187"/>
      <c r="D641" s="187"/>
    </row>
    <row r="642" spans="1:4" ht="32.1" customHeight="1" x14ac:dyDescent="0.2">
      <c r="A642" s="187"/>
      <c r="B642" s="187"/>
      <c r="C642" s="187"/>
      <c r="D642" s="187"/>
    </row>
    <row r="643" spans="1:4" ht="32.1" customHeight="1" x14ac:dyDescent="0.2">
      <c r="A643" s="187"/>
      <c r="B643" s="187"/>
      <c r="C643" s="187"/>
      <c r="D643" s="187"/>
    </row>
    <row r="644" spans="1:4" ht="32.1" customHeight="1" x14ac:dyDescent="0.2">
      <c r="A644" s="187"/>
      <c r="B644" s="187"/>
      <c r="C644" s="187"/>
      <c r="D644" s="187"/>
    </row>
    <row r="645" spans="1:4" ht="32.1" customHeight="1" x14ac:dyDescent="0.2">
      <c r="A645" s="187"/>
      <c r="B645" s="187"/>
      <c r="C645" s="187"/>
      <c r="D645" s="187"/>
    </row>
    <row r="646" spans="1:4" ht="32.1" customHeight="1" x14ac:dyDescent="0.2">
      <c r="A646" s="187"/>
      <c r="B646" s="187"/>
      <c r="C646" s="187"/>
      <c r="D646" s="187"/>
    </row>
    <row r="647" spans="1:4" ht="32.1" customHeight="1" x14ac:dyDescent="0.2">
      <c r="A647" s="187"/>
      <c r="B647" s="187"/>
      <c r="C647" s="187"/>
      <c r="D647" s="187"/>
    </row>
    <row r="648" spans="1:4" ht="32.1" customHeight="1" x14ac:dyDescent="0.2">
      <c r="A648" s="187"/>
      <c r="B648" s="187"/>
      <c r="C648" s="187"/>
      <c r="D648" s="187"/>
    </row>
    <row r="649" spans="1:4" ht="32.1" customHeight="1" x14ac:dyDescent="0.2">
      <c r="A649" s="187"/>
      <c r="B649" s="187"/>
      <c r="C649" s="187"/>
      <c r="D649" s="187"/>
    </row>
    <row r="650" spans="1:4" ht="32.1" customHeight="1" x14ac:dyDescent="0.2">
      <c r="A650" s="187"/>
      <c r="B650" s="187"/>
      <c r="C650" s="187"/>
      <c r="D650" s="187"/>
    </row>
    <row r="651" spans="1:4" ht="32.1" customHeight="1" x14ac:dyDescent="0.2">
      <c r="A651" s="187"/>
      <c r="B651" s="187"/>
      <c r="C651" s="187"/>
      <c r="D651" s="187"/>
    </row>
    <row r="652" spans="1:4" ht="32.1" customHeight="1" x14ac:dyDescent="0.2">
      <c r="A652" s="187"/>
      <c r="B652" s="187"/>
      <c r="C652" s="187"/>
      <c r="D652" s="187"/>
    </row>
    <row r="653" spans="1:4" ht="32.1" customHeight="1" x14ac:dyDescent="0.2">
      <c r="A653" s="187"/>
      <c r="B653" s="187"/>
      <c r="C653" s="187"/>
      <c r="D653" s="187"/>
    </row>
    <row r="654" spans="1:4" ht="32.1" customHeight="1" x14ac:dyDescent="0.2">
      <c r="A654" s="187"/>
      <c r="B654" s="187"/>
      <c r="C654" s="187"/>
      <c r="D654" s="187"/>
    </row>
    <row r="655" spans="1:4" ht="32.1" customHeight="1" x14ac:dyDescent="0.2">
      <c r="A655" s="187"/>
      <c r="B655" s="187"/>
      <c r="C655" s="187"/>
      <c r="D655" s="187"/>
    </row>
    <row r="656" spans="1:4" ht="32.1" customHeight="1" x14ac:dyDescent="0.2">
      <c r="A656" s="187"/>
      <c r="B656" s="187"/>
      <c r="C656" s="187"/>
      <c r="D656" s="187"/>
    </row>
    <row r="657" spans="1:4" ht="32.1" customHeight="1" x14ac:dyDescent="0.2">
      <c r="A657" s="187"/>
      <c r="B657" s="187"/>
      <c r="C657" s="187"/>
      <c r="D657" s="187"/>
    </row>
    <row r="658" spans="1:4" ht="32.1" customHeight="1" x14ac:dyDescent="0.2">
      <c r="A658" s="187"/>
      <c r="B658" s="187"/>
      <c r="C658" s="187"/>
      <c r="D658" s="187"/>
    </row>
    <row r="659" spans="1:4" ht="32.1" customHeight="1" x14ac:dyDescent="0.2">
      <c r="A659" s="187"/>
      <c r="B659" s="187"/>
      <c r="C659" s="187"/>
      <c r="D659" s="187"/>
    </row>
    <row r="660" spans="1:4" ht="32.1" customHeight="1" x14ac:dyDescent="0.2">
      <c r="A660" s="187"/>
      <c r="B660" s="187"/>
      <c r="C660" s="187"/>
      <c r="D660" s="187"/>
    </row>
    <row r="661" spans="1:4" ht="32.1" customHeight="1" x14ac:dyDescent="0.2">
      <c r="A661" s="187"/>
      <c r="B661" s="187"/>
      <c r="C661" s="187"/>
      <c r="D661" s="187"/>
    </row>
    <row r="662" spans="1:4" ht="32.1" customHeight="1" x14ac:dyDescent="0.2">
      <c r="A662" s="187"/>
      <c r="B662" s="187"/>
      <c r="C662" s="187"/>
      <c r="D662" s="187"/>
    </row>
    <row r="663" spans="1:4" ht="32.1" customHeight="1" x14ac:dyDescent="0.2">
      <c r="A663" s="187"/>
      <c r="B663" s="187"/>
      <c r="C663" s="187"/>
      <c r="D663" s="187"/>
    </row>
    <row r="664" spans="1:4" ht="32.1" customHeight="1" x14ac:dyDescent="0.2">
      <c r="A664" s="187"/>
      <c r="B664" s="187"/>
      <c r="C664" s="187"/>
      <c r="D664" s="187"/>
    </row>
    <row r="665" spans="1:4" ht="32.1" customHeight="1" x14ac:dyDescent="0.2">
      <c r="A665" s="187"/>
      <c r="B665" s="187"/>
      <c r="C665" s="187"/>
      <c r="D665" s="187"/>
    </row>
    <row r="666" spans="1:4" ht="32.1" customHeight="1" x14ac:dyDescent="0.2">
      <c r="A666" s="187"/>
      <c r="B666" s="187"/>
      <c r="C666" s="187"/>
      <c r="D666" s="187"/>
    </row>
    <row r="667" spans="1:4" ht="32.1" customHeight="1" x14ac:dyDescent="0.2">
      <c r="A667" s="187"/>
      <c r="B667" s="187"/>
      <c r="C667" s="187"/>
      <c r="D667" s="187"/>
    </row>
    <row r="668" spans="1:4" ht="32.1" customHeight="1" x14ac:dyDescent="0.2">
      <c r="A668" s="187"/>
      <c r="B668" s="187"/>
      <c r="C668" s="187"/>
      <c r="D668" s="187"/>
    </row>
    <row r="669" spans="1:4" ht="32.1" customHeight="1" x14ac:dyDescent="0.2">
      <c r="A669" s="187"/>
      <c r="B669" s="187"/>
      <c r="C669" s="187"/>
      <c r="D669" s="187"/>
    </row>
    <row r="670" spans="1:4" ht="32.1" customHeight="1" x14ac:dyDescent="0.2">
      <c r="A670" s="187"/>
      <c r="B670" s="187"/>
      <c r="C670" s="187"/>
      <c r="D670" s="187"/>
    </row>
    <row r="671" spans="1:4" ht="32.1" customHeight="1" x14ac:dyDescent="0.2">
      <c r="A671" s="187"/>
      <c r="B671" s="187"/>
      <c r="C671" s="187"/>
      <c r="D671" s="187"/>
    </row>
    <row r="672" spans="1:4" ht="32.1" customHeight="1" x14ac:dyDescent="0.2">
      <c r="A672" s="187"/>
      <c r="B672" s="187"/>
      <c r="C672" s="187"/>
      <c r="D672" s="187"/>
    </row>
    <row r="673" spans="1:4" ht="32.1" customHeight="1" x14ac:dyDescent="0.2">
      <c r="A673" s="187"/>
      <c r="B673" s="187"/>
      <c r="C673" s="187"/>
      <c r="D673" s="187"/>
    </row>
    <row r="674" spans="1:4" ht="32.1" customHeight="1" x14ac:dyDescent="0.2">
      <c r="A674" s="187"/>
      <c r="B674" s="187"/>
      <c r="C674" s="187"/>
      <c r="D674" s="187"/>
    </row>
    <row r="675" spans="1:4" x14ac:dyDescent="0.2">
      <c r="A675" s="187"/>
      <c r="B675" s="187"/>
      <c r="C675" s="187"/>
      <c r="D675" s="187"/>
    </row>
    <row r="676" spans="1:4" x14ac:dyDescent="0.2">
      <c r="A676" s="187"/>
      <c r="B676" s="187"/>
      <c r="C676" s="187"/>
      <c r="D676" s="187"/>
    </row>
    <row r="677" spans="1:4" x14ac:dyDescent="0.2">
      <c r="A677" s="187"/>
      <c r="B677" s="187"/>
      <c r="C677" s="187"/>
      <c r="D677" s="187"/>
    </row>
    <row r="678" spans="1:4" x14ac:dyDescent="0.2">
      <c r="A678" s="187"/>
      <c r="B678" s="187"/>
      <c r="C678" s="187"/>
      <c r="D678" s="187"/>
    </row>
    <row r="679" spans="1:4" x14ac:dyDescent="0.2">
      <c r="A679" s="187"/>
      <c r="B679" s="187"/>
      <c r="C679" s="187"/>
      <c r="D679" s="187"/>
    </row>
    <row r="680" spans="1:4" x14ac:dyDescent="0.2">
      <c r="A680" s="187"/>
      <c r="B680" s="187"/>
      <c r="C680" s="187"/>
      <c r="D680" s="187"/>
    </row>
    <row r="681" spans="1:4" x14ac:dyDescent="0.2"/>
    <row r="682" spans="1:4" x14ac:dyDescent="0.2"/>
    <row r="683" spans="1:4" x14ac:dyDescent="0.2"/>
    <row r="684" spans="1:4" x14ac:dyDescent="0.2"/>
    <row r="685" spans="1:4" x14ac:dyDescent="0.2"/>
    <row r="686" spans="1:4" x14ac:dyDescent="0.2"/>
    <row r="687" spans="1:4" x14ac:dyDescent="0.2"/>
    <row r="688" spans="1:4"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sheetData>
  <autoFilter ref="A10:W532">
    <sortState ref="A12:W510">
      <sortCondition ref="A9:A510"/>
    </sortState>
  </autoFilter>
  <customSheetViews>
    <customSheetView guid="{45C8AF51-29EC-46A5-AB7F-1F0634E55D82}" scale="60" hiddenRows="1" hiddenColumns="1">
      <pane xSplit="3" ySplit="9" topLeftCell="D10" activePane="bottomRight" state="frozenSplit"/>
      <selection pane="bottomRight" activeCell="B2" sqref="B2:D2"/>
      <pageMargins left="0.28999999999999998" right="0.2" top="0.6692913385826772" bottom="0.9055118110236221" header="0.43" footer="0.59055118110236227"/>
      <printOptions horizontalCentered="1"/>
      <pageSetup paperSize="14" scale="75" orientation="landscape" r:id="rId1"/>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customSheetView>
    <customSheetView guid="{FCC3B493-4306-43B2-9C73-76324485DD47}" scale="60" hiddenRows="1" hiddenColumns="1">
      <pane xSplit="3" ySplit="9" topLeftCell="D335" activePane="bottomRight" state="frozenSplit"/>
      <selection pane="bottomRight" activeCell="C372" sqref="C372"/>
      <pageMargins left="0.28999999999999998" right="0.2" top="0.6692913385826772" bottom="0.9055118110236221" header="0.43" footer="0.59055118110236227"/>
      <printOptions horizontalCentered="1"/>
      <pageSetup paperSize="14" scale="75" orientation="landscape" r:id="rId2"/>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customSheetView>
    <customSheetView guid="{AEDE1BDB-8710-4CDA-8488-31F49D423ACE}" scale="60" hiddenRows="1">
      <pane xSplit="3" ySplit="9" topLeftCell="D470" activePane="bottomRight" state="frozenSplit"/>
      <selection pane="bottomRight" activeCell="D488" sqref="D488"/>
      <pageMargins left="0.28999999999999998" right="0.2" top="0.6692913385826772" bottom="0.9055118110236221" header="0.43" footer="0.59055118110236227"/>
      <printOptions horizontalCentered="1"/>
      <pageSetup paperSize="14" scale="75" orientation="landscape" r:id="rId3"/>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customSheetView>
    <customSheetView guid="{75DD7674-E7DE-4BB1-A36D-76AA33452CB3}" scale="60" showAutoFilter="1" hiddenRows="1" hiddenColumns="1">
      <pane xSplit="3" ySplit="9" topLeftCell="D10" activePane="bottomRight" state="frozenSplit"/>
      <selection pane="bottomRight" activeCell="D256" sqref="D256"/>
      <pageMargins left="0.28999999999999998" right="0.2" top="0.6692913385826772" bottom="0.9055118110236221" header="0.43" footer="0.59055118110236227"/>
      <printOptions horizontalCentered="1"/>
      <pageSetup paperSize="14" scale="75" orientation="landscape" r:id="rId4"/>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9:W506">
        <sortState ref="A12:W506">
          <sortCondition ref="A9:A506"/>
        </sortState>
      </autoFilter>
    </customSheetView>
  </customSheetViews>
  <mergeCells count="21">
    <mergeCell ref="A7:B7"/>
    <mergeCell ref="H5:J6"/>
    <mergeCell ref="K5:M6"/>
    <mergeCell ref="N5:P6"/>
    <mergeCell ref="Q5:R6"/>
    <mergeCell ref="S5:S6"/>
    <mergeCell ref="B1:D1"/>
    <mergeCell ref="B2:D2"/>
    <mergeCell ref="B3:D3"/>
    <mergeCell ref="B5:D5"/>
    <mergeCell ref="E5:G6"/>
    <mergeCell ref="A9:A10"/>
    <mergeCell ref="E9:P9"/>
    <mergeCell ref="Q9:Q10"/>
    <mergeCell ref="C535:S536"/>
    <mergeCell ref="C537:S537"/>
    <mergeCell ref="S9:S10"/>
    <mergeCell ref="R9:R10"/>
    <mergeCell ref="B9:B10"/>
    <mergeCell ref="C9:C10"/>
    <mergeCell ref="D9:D10"/>
  </mergeCells>
  <phoneticPr fontId="2" type="noConversion"/>
  <conditionalFormatting sqref="E82:P92 E240:P257 E459:P463 E448:P456 E154:J165 E375:P402 E60:P72 E168:P175 E107:P138 E140:P153 E177:P177 E180:P237 E95:P96">
    <cfRule type="containsBlanks" dxfId="6120" priority="2823" stopIfTrue="1">
      <formula>LEN(TRIM(E60))=0</formula>
    </cfRule>
    <cfRule type="cellIs" dxfId="6119" priority="2824" stopIfTrue="1" operator="between">
      <formula>79.1</formula>
      <formula>100</formula>
    </cfRule>
    <cfRule type="cellIs" dxfId="6118" priority="2825" stopIfTrue="1" operator="between">
      <formula>34.1</formula>
      <formula>79</formula>
    </cfRule>
    <cfRule type="cellIs" dxfId="6117" priority="2826" stopIfTrue="1" operator="between">
      <formula>13.1</formula>
      <formula>34</formula>
    </cfRule>
    <cfRule type="cellIs" dxfId="6116" priority="2827" stopIfTrue="1" operator="between">
      <formula>5.1</formula>
      <formula>13</formula>
    </cfRule>
    <cfRule type="cellIs" dxfId="6115" priority="2828" stopIfTrue="1" operator="between">
      <formula>0</formula>
      <formula>5</formula>
    </cfRule>
    <cfRule type="containsBlanks" dxfId="6114" priority="2829" stopIfTrue="1">
      <formula>LEN(TRIM(E60))=0</formula>
    </cfRule>
  </conditionalFormatting>
  <conditionalFormatting sqref="E239:P239 E347:E373 E261:P264 O258:P258 M260:P260 E267:P267 O265:P265 N266:P266 E270:P282 N268:P268 E413:J415 E38:P41 E166:P167 E73:P81 Q12:Q92 Q107:Q138 Q140:Q175 Q177 Q180:Q282 E285:Q304 E307:Q314 Q316:Q533 E316:P316 Q95:Q96 F360:I361">
    <cfRule type="containsBlanks" dxfId="6113" priority="2641" stopIfTrue="1">
      <formula>LEN(TRIM(E12))=0</formula>
    </cfRule>
    <cfRule type="cellIs" dxfId="6112" priority="2642" stopIfTrue="1" operator="between">
      <formula>80.1</formula>
      <formula>100</formula>
    </cfRule>
    <cfRule type="cellIs" dxfId="6111" priority="2643" stopIfTrue="1" operator="between">
      <formula>35.1</formula>
      <formula>80</formula>
    </cfRule>
    <cfRule type="cellIs" dxfId="6110" priority="2644" stopIfTrue="1" operator="between">
      <formula>14.1</formula>
      <formula>35</formula>
    </cfRule>
    <cfRule type="cellIs" dxfId="6109" priority="2645" stopIfTrue="1" operator="between">
      <formula>5.1</formula>
      <formula>14</formula>
    </cfRule>
    <cfRule type="cellIs" dxfId="6108" priority="2646" stopIfTrue="1" operator="between">
      <formula>0</formula>
      <formula>5</formula>
    </cfRule>
    <cfRule type="containsBlanks" dxfId="6107" priority="2647" stopIfTrue="1">
      <formula>LEN(TRIM(E12))=0</formula>
    </cfRule>
  </conditionalFormatting>
  <conditionalFormatting sqref="E22:J37">
    <cfRule type="containsBlanks" dxfId="6106" priority="2600" stopIfTrue="1">
      <formula>LEN(TRIM(E22))=0</formula>
    </cfRule>
    <cfRule type="cellIs" dxfId="6105" priority="2601" stopIfTrue="1" operator="between">
      <formula>79.1</formula>
      <formula>100</formula>
    </cfRule>
    <cfRule type="cellIs" dxfId="6104" priority="2602" stopIfTrue="1" operator="between">
      <formula>34.1</formula>
      <formula>79</formula>
    </cfRule>
    <cfRule type="cellIs" dxfId="6103" priority="2603" stopIfTrue="1" operator="between">
      <formula>13.1</formula>
      <formula>34</formula>
    </cfRule>
    <cfRule type="cellIs" dxfId="6102" priority="2604" stopIfTrue="1" operator="between">
      <formula>5.1</formula>
      <formula>13</formula>
    </cfRule>
    <cfRule type="cellIs" dxfId="6101" priority="2605" stopIfTrue="1" operator="between">
      <formula>0</formula>
      <formula>5</formula>
    </cfRule>
    <cfRule type="containsBlanks" dxfId="6100" priority="2606" stopIfTrue="1">
      <formula>LEN(TRIM(E22))=0</formula>
    </cfRule>
  </conditionalFormatting>
  <conditionalFormatting sqref="E238:P238">
    <cfRule type="containsBlanks" dxfId="6099" priority="2565" stopIfTrue="1">
      <formula>LEN(TRIM(E238))=0</formula>
    </cfRule>
    <cfRule type="cellIs" dxfId="6098" priority="2566" stopIfTrue="1" operator="between">
      <formula>79.1</formula>
      <formula>100</formula>
    </cfRule>
    <cfRule type="cellIs" dxfId="6097" priority="2567" stopIfTrue="1" operator="between">
      <formula>34.1</formula>
      <formula>79</formula>
    </cfRule>
    <cfRule type="cellIs" dxfId="6096" priority="2568" stopIfTrue="1" operator="between">
      <formula>13.1</formula>
      <formula>34</formula>
    </cfRule>
    <cfRule type="cellIs" dxfId="6095" priority="2569" stopIfTrue="1" operator="between">
      <formula>5.1</formula>
      <formula>13</formula>
    </cfRule>
    <cfRule type="cellIs" dxfId="6094" priority="2570" stopIfTrue="1" operator="between">
      <formula>0</formula>
      <formula>5</formula>
    </cfRule>
    <cfRule type="containsBlanks" dxfId="6093" priority="2571" stopIfTrue="1">
      <formula>LEN(TRIM(E238))=0</formula>
    </cfRule>
  </conditionalFormatting>
  <conditionalFormatting sqref="E154:P154 E162:P165">
    <cfRule type="containsBlanks" dxfId="6092" priority="2579" stopIfTrue="1">
      <formula>LEN(TRIM(E154))=0</formula>
    </cfRule>
    <cfRule type="cellIs" dxfId="6091" priority="2580" stopIfTrue="1" operator="between">
      <formula>79.1</formula>
      <formula>100</formula>
    </cfRule>
    <cfRule type="cellIs" dxfId="6090" priority="2581" stopIfTrue="1" operator="between">
      <formula>34.1</formula>
      <formula>79</formula>
    </cfRule>
    <cfRule type="cellIs" dxfId="6089" priority="2582" stopIfTrue="1" operator="between">
      <formula>13.1</formula>
      <formula>34</formula>
    </cfRule>
    <cfRule type="cellIs" dxfId="6088" priority="2583" stopIfTrue="1" operator="between">
      <formula>5.1</formula>
      <formula>13</formula>
    </cfRule>
    <cfRule type="cellIs" dxfId="6087" priority="2584" stopIfTrue="1" operator="between">
      <formula>0</formula>
      <formula>5</formula>
    </cfRule>
    <cfRule type="containsBlanks" dxfId="6086" priority="2585" stopIfTrue="1">
      <formula>LEN(TRIM(E154))=0</formula>
    </cfRule>
  </conditionalFormatting>
  <conditionalFormatting sqref="E374">
    <cfRule type="containsBlanks" dxfId="6085" priority="2537" stopIfTrue="1">
      <formula>LEN(TRIM(E374))=0</formula>
    </cfRule>
    <cfRule type="cellIs" dxfId="6084" priority="2538" stopIfTrue="1" operator="between">
      <formula>79.1</formula>
      <formula>100</formula>
    </cfRule>
    <cfRule type="cellIs" dxfId="6083" priority="2539" stopIfTrue="1" operator="between">
      <formula>34.1</formula>
      <formula>79</formula>
    </cfRule>
    <cfRule type="cellIs" dxfId="6082" priority="2540" stopIfTrue="1" operator="between">
      <formula>13.1</formula>
      <formula>34</formula>
    </cfRule>
    <cfRule type="cellIs" dxfId="6081" priority="2541" stopIfTrue="1" operator="between">
      <formula>5.1</formula>
      <formula>13</formula>
    </cfRule>
    <cfRule type="cellIs" dxfId="6080" priority="2542" stopIfTrue="1" operator="between">
      <formula>0</formula>
      <formula>5</formula>
    </cfRule>
    <cfRule type="containsBlanks" dxfId="6079" priority="2543" stopIfTrue="1">
      <formula>LEN(TRIM(E374))=0</formula>
    </cfRule>
  </conditionalFormatting>
  <conditionalFormatting sqref="N419:P419 P439 E435:P435 E430:P430 E421:P421 E425:P427 O424:P424 M433:P433 O422:P422 O434:P434 P436 O431:P431 P428">
    <cfRule type="containsBlanks" dxfId="6078" priority="2530" stopIfTrue="1">
      <formula>LEN(TRIM(E419))=0</formula>
    </cfRule>
    <cfRule type="cellIs" dxfId="6077" priority="2531" stopIfTrue="1" operator="between">
      <formula>79.1</formula>
      <formula>100</formula>
    </cfRule>
    <cfRule type="cellIs" dxfId="6076" priority="2532" stopIfTrue="1" operator="between">
      <formula>34.1</formula>
      <formula>79</formula>
    </cfRule>
    <cfRule type="cellIs" dxfId="6075" priority="2533" stopIfTrue="1" operator="between">
      <formula>13.1</formula>
      <formula>34</formula>
    </cfRule>
    <cfRule type="cellIs" dxfId="6074" priority="2534" stopIfTrue="1" operator="between">
      <formula>5.1</formula>
      <formula>13</formula>
    </cfRule>
    <cfRule type="cellIs" dxfId="6073" priority="2535" stopIfTrue="1" operator="between">
      <formula>0</formula>
      <formula>5</formula>
    </cfRule>
    <cfRule type="containsBlanks" dxfId="6072" priority="2536" stopIfTrue="1">
      <formula>LEN(TRIM(E419))=0</formula>
    </cfRule>
  </conditionalFormatting>
  <conditionalFormatting sqref="I457:J458">
    <cfRule type="containsBlanks" dxfId="6071" priority="2523" stopIfTrue="1">
      <formula>LEN(TRIM(I457))=0</formula>
    </cfRule>
    <cfRule type="cellIs" dxfId="6070" priority="2524" stopIfTrue="1" operator="between">
      <formula>79.1</formula>
      <formula>100</formula>
    </cfRule>
    <cfRule type="cellIs" dxfId="6069" priority="2525" stopIfTrue="1" operator="between">
      <formula>34.1</formula>
      <formula>79</formula>
    </cfRule>
    <cfRule type="cellIs" dxfId="6068" priority="2526" stopIfTrue="1" operator="between">
      <formula>13.1</formula>
      <formula>34</formula>
    </cfRule>
    <cfRule type="cellIs" dxfId="6067" priority="2527" stopIfTrue="1" operator="between">
      <formula>5.1</formula>
      <formula>13</formula>
    </cfRule>
    <cfRule type="cellIs" dxfId="6066" priority="2528" stopIfTrue="1" operator="between">
      <formula>0</formula>
      <formula>5</formula>
    </cfRule>
    <cfRule type="containsBlanks" dxfId="6065" priority="2529" stopIfTrue="1">
      <formula>LEN(TRIM(I457))=0</formula>
    </cfRule>
  </conditionalFormatting>
  <conditionalFormatting sqref="M466:P466 M482:P483 J465:P465 E478:P479 N476:P476 K475:P475 K471:P471 P469 K468:P468 J467:P467 E481:P481 N480:P480 J470:P470 E474:P474 I472:P472 P473 M477:P477 E484:P532">
    <cfRule type="containsBlanks" dxfId="6064" priority="2516" stopIfTrue="1">
      <formula>LEN(TRIM(E465))=0</formula>
    </cfRule>
    <cfRule type="cellIs" dxfId="6063" priority="2517" stopIfTrue="1" operator="between">
      <formula>79.1</formula>
      <formula>100</formula>
    </cfRule>
    <cfRule type="cellIs" dxfId="6062" priority="2518" stopIfTrue="1" operator="between">
      <formula>34.1</formula>
      <formula>79</formula>
    </cfRule>
    <cfRule type="cellIs" dxfId="6061" priority="2519" stopIfTrue="1" operator="between">
      <formula>13.1</formula>
      <formula>34</formula>
    </cfRule>
    <cfRule type="cellIs" dxfId="6060" priority="2520" stopIfTrue="1" operator="between">
      <formula>5.1</formula>
      <formula>13</formula>
    </cfRule>
    <cfRule type="cellIs" dxfId="6059" priority="2521" stopIfTrue="1" operator="between">
      <formula>0</formula>
      <formula>5</formula>
    </cfRule>
    <cfRule type="containsBlanks" dxfId="6058" priority="2522" stopIfTrue="1">
      <formula>LEN(TRIM(E465))=0</formula>
    </cfRule>
  </conditionalFormatting>
  <conditionalFormatting sqref="F43 H43:P43">
    <cfRule type="containsBlanks" dxfId="6057" priority="2479" stopIfTrue="1">
      <formula>LEN(TRIM(F43))=0</formula>
    </cfRule>
    <cfRule type="cellIs" dxfId="6056" priority="2480" stopIfTrue="1" operator="between">
      <formula>80.1</formula>
      <formula>100</formula>
    </cfRule>
    <cfRule type="cellIs" dxfId="6055" priority="2481" stopIfTrue="1" operator="between">
      <formula>35.1</formula>
      <formula>80</formula>
    </cfRule>
    <cfRule type="cellIs" dxfId="6054" priority="2482" stopIfTrue="1" operator="between">
      <formula>14.1</formula>
      <formula>35</formula>
    </cfRule>
    <cfRule type="cellIs" dxfId="6053" priority="2483" stopIfTrue="1" operator="between">
      <formula>5.1</formula>
      <formula>14</formula>
    </cfRule>
    <cfRule type="cellIs" dxfId="6052" priority="2484" stopIfTrue="1" operator="between">
      <formula>0</formula>
      <formula>5</formula>
    </cfRule>
    <cfRule type="containsBlanks" dxfId="6051" priority="2485" stopIfTrue="1">
      <formula>LEN(TRIM(F43))=0</formula>
    </cfRule>
  </conditionalFormatting>
  <conditionalFormatting sqref="E43">
    <cfRule type="containsBlanks" dxfId="6050" priority="2472" stopIfTrue="1">
      <formula>LEN(TRIM(E43))=0</formula>
    </cfRule>
    <cfRule type="cellIs" dxfId="6049" priority="2473" stopIfTrue="1" operator="between">
      <formula>80.1</formula>
      <formula>100</formula>
    </cfRule>
    <cfRule type="cellIs" dxfId="6048" priority="2474" stopIfTrue="1" operator="between">
      <formula>35.1</formula>
      <formula>80</formula>
    </cfRule>
    <cfRule type="cellIs" dxfId="6047" priority="2475" stopIfTrue="1" operator="between">
      <formula>14.1</formula>
      <formula>35</formula>
    </cfRule>
    <cfRule type="cellIs" dxfId="6046" priority="2476" stopIfTrue="1" operator="between">
      <formula>5.1</formula>
      <formula>14</formula>
    </cfRule>
    <cfRule type="cellIs" dxfId="6045" priority="2477" stopIfTrue="1" operator="between">
      <formula>0</formula>
      <formula>5</formula>
    </cfRule>
    <cfRule type="containsBlanks" dxfId="6044" priority="2478" stopIfTrue="1">
      <formula>LEN(TRIM(E43))=0</formula>
    </cfRule>
  </conditionalFormatting>
  <conditionalFormatting sqref="F50:P50">
    <cfRule type="containsBlanks" dxfId="6043" priority="2457" stopIfTrue="1">
      <formula>LEN(TRIM(F50))=0</formula>
    </cfRule>
    <cfRule type="cellIs" dxfId="6042" priority="2458" stopIfTrue="1" operator="between">
      <formula>80.1</formula>
      <formula>100</formula>
    </cfRule>
    <cfRule type="cellIs" dxfId="6041" priority="2459" stopIfTrue="1" operator="between">
      <formula>35.1</formula>
      <formula>80</formula>
    </cfRule>
    <cfRule type="cellIs" dxfId="6040" priority="2460" stopIfTrue="1" operator="between">
      <formula>14.1</formula>
      <formula>35</formula>
    </cfRule>
    <cfRule type="cellIs" dxfId="6039" priority="2461" stopIfTrue="1" operator="between">
      <formula>5.1</formula>
      <formula>14</formula>
    </cfRule>
    <cfRule type="cellIs" dxfId="6038" priority="2462" stopIfTrue="1" operator="between">
      <formula>0</formula>
      <formula>5</formula>
    </cfRule>
    <cfRule type="containsBlanks" dxfId="6037" priority="2463" stopIfTrue="1">
      <formula>LEN(TRIM(F50))=0</formula>
    </cfRule>
  </conditionalFormatting>
  <conditionalFormatting sqref="E50">
    <cfRule type="containsBlanks" dxfId="6036" priority="2450" stopIfTrue="1">
      <formula>LEN(TRIM(E50))=0</formula>
    </cfRule>
    <cfRule type="cellIs" dxfId="6035" priority="2451" stopIfTrue="1" operator="between">
      <formula>80.1</formula>
      <formula>100</formula>
    </cfRule>
    <cfRule type="cellIs" dxfId="6034" priority="2452" stopIfTrue="1" operator="between">
      <formula>35.1</formula>
      <formula>80</formula>
    </cfRule>
    <cfRule type="cellIs" dxfId="6033" priority="2453" stopIfTrue="1" operator="between">
      <formula>14.1</formula>
      <formula>35</formula>
    </cfRule>
    <cfRule type="cellIs" dxfId="6032" priority="2454" stopIfTrue="1" operator="between">
      <formula>5.1</formula>
      <formula>14</formula>
    </cfRule>
    <cfRule type="cellIs" dxfId="6031" priority="2455" stopIfTrue="1" operator="between">
      <formula>0</formula>
      <formula>5</formula>
    </cfRule>
    <cfRule type="containsBlanks" dxfId="6030" priority="2456" stopIfTrue="1">
      <formula>LEN(TRIM(E50))=0</formula>
    </cfRule>
  </conditionalFormatting>
  <conditionalFormatting sqref="F51:P51">
    <cfRule type="containsBlanks" dxfId="6029" priority="2413" stopIfTrue="1">
      <formula>LEN(TRIM(F51))=0</formula>
    </cfRule>
    <cfRule type="cellIs" dxfId="6028" priority="2414" stopIfTrue="1" operator="between">
      <formula>80.1</formula>
      <formula>100</formula>
    </cfRule>
    <cfRule type="cellIs" dxfId="6027" priority="2415" stopIfTrue="1" operator="between">
      <formula>35.1</formula>
      <formula>80</formula>
    </cfRule>
    <cfRule type="cellIs" dxfId="6026" priority="2416" stopIfTrue="1" operator="between">
      <formula>14.1</formula>
      <formula>35</formula>
    </cfRule>
    <cfRule type="cellIs" dxfId="6025" priority="2417" stopIfTrue="1" operator="between">
      <formula>5.1</formula>
      <formula>14</formula>
    </cfRule>
    <cfRule type="cellIs" dxfId="6024" priority="2418" stopIfTrue="1" operator="between">
      <formula>0</formula>
      <formula>5</formula>
    </cfRule>
    <cfRule type="containsBlanks" dxfId="6023" priority="2419" stopIfTrue="1">
      <formula>LEN(TRIM(F51))=0</formula>
    </cfRule>
  </conditionalFormatting>
  <conditionalFormatting sqref="E51">
    <cfRule type="containsBlanks" dxfId="6022" priority="2406" stopIfTrue="1">
      <formula>LEN(TRIM(E51))=0</formula>
    </cfRule>
    <cfRule type="cellIs" dxfId="6021" priority="2407" stopIfTrue="1" operator="between">
      <formula>80.1</formula>
      <formula>100</formula>
    </cfRule>
    <cfRule type="cellIs" dxfId="6020" priority="2408" stopIfTrue="1" operator="between">
      <formula>35.1</formula>
      <formula>80</formula>
    </cfRule>
    <cfRule type="cellIs" dxfId="6019" priority="2409" stopIfTrue="1" operator="between">
      <formula>14.1</formula>
      <formula>35</formula>
    </cfRule>
    <cfRule type="cellIs" dxfId="6018" priority="2410" stopIfTrue="1" operator="between">
      <formula>5.1</formula>
      <formula>14</formula>
    </cfRule>
    <cfRule type="cellIs" dxfId="6017" priority="2411" stopIfTrue="1" operator="between">
      <formula>0</formula>
      <formula>5</formula>
    </cfRule>
    <cfRule type="containsBlanks" dxfId="6016" priority="2412" stopIfTrue="1">
      <formula>LEN(TRIM(E51))=0</formula>
    </cfRule>
  </conditionalFormatting>
  <conditionalFormatting sqref="F52:P52">
    <cfRule type="containsBlanks" dxfId="6015" priority="2369" stopIfTrue="1">
      <formula>LEN(TRIM(F52))=0</formula>
    </cfRule>
    <cfRule type="cellIs" dxfId="6014" priority="2370" stopIfTrue="1" operator="between">
      <formula>80.1</formula>
      <formula>100</formula>
    </cfRule>
    <cfRule type="cellIs" dxfId="6013" priority="2371" stopIfTrue="1" operator="between">
      <formula>35.1</formula>
      <formula>80</formula>
    </cfRule>
    <cfRule type="cellIs" dxfId="6012" priority="2372" stopIfTrue="1" operator="between">
      <formula>14.1</formula>
      <formula>35</formula>
    </cfRule>
    <cfRule type="cellIs" dxfId="6011" priority="2373" stopIfTrue="1" operator="between">
      <formula>5.1</formula>
      <formula>14</formula>
    </cfRule>
    <cfRule type="cellIs" dxfId="6010" priority="2374" stopIfTrue="1" operator="between">
      <formula>0</formula>
      <formula>5</formula>
    </cfRule>
    <cfRule type="containsBlanks" dxfId="6009" priority="2375" stopIfTrue="1">
      <formula>LEN(TRIM(F52))=0</formula>
    </cfRule>
  </conditionalFormatting>
  <conditionalFormatting sqref="E52">
    <cfRule type="containsBlanks" dxfId="6008" priority="2362" stopIfTrue="1">
      <formula>LEN(TRIM(E52))=0</formula>
    </cfRule>
    <cfRule type="cellIs" dxfId="6007" priority="2363" stopIfTrue="1" operator="between">
      <formula>80.1</formula>
      <formula>100</formula>
    </cfRule>
    <cfRule type="cellIs" dxfId="6006" priority="2364" stopIfTrue="1" operator="between">
      <formula>35.1</formula>
      <formula>80</formula>
    </cfRule>
    <cfRule type="cellIs" dxfId="6005" priority="2365" stopIfTrue="1" operator="between">
      <formula>14.1</formula>
      <formula>35</formula>
    </cfRule>
    <cfRule type="cellIs" dxfId="6004" priority="2366" stopIfTrue="1" operator="between">
      <formula>5.1</formula>
      <formula>14</formula>
    </cfRule>
    <cfRule type="cellIs" dxfId="6003" priority="2367" stopIfTrue="1" operator="between">
      <formula>0</formula>
      <formula>5</formula>
    </cfRule>
    <cfRule type="containsBlanks" dxfId="6002" priority="2368" stopIfTrue="1">
      <formula>LEN(TRIM(E52))=0</formula>
    </cfRule>
  </conditionalFormatting>
  <conditionalFormatting sqref="F48:P48">
    <cfRule type="containsBlanks" dxfId="6001" priority="2303" stopIfTrue="1">
      <formula>LEN(TRIM(F48))=0</formula>
    </cfRule>
    <cfRule type="cellIs" dxfId="6000" priority="2304" stopIfTrue="1" operator="between">
      <formula>80.1</formula>
      <formula>100</formula>
    </cfRule>
    <cfRule type="cellIs" dxfId="5999" priority="2305" stopIfTrue="1" operator="between">
      <formula>35.1</formula>
      <formula>80</formula>
    </cfRule>
    <cfRule type="cellIs" dxfId="5998" priority="2306" stopIfTrue="1" operator="between">
      <formula>14.1</formula>
      <formula>35</formula>
    </cfRule>
    <cfRule type="cellIs" dxfId="5997" priority="2307" stopIfTrue="1" operator="between">
      <formula>5.1</formula>
      <formula>14</formula>
    </cfRule>
    <cfRule type="cellIs" dxfId="5996" priority="2308" stopIfTrue="1" operator="between">
      <formula>0</formula>
      <formula>5</formula>
    </cfRule>
    <cfRule type="containsBlanks" dxfId="5995" priority="2309" stopIfTrue="1">
      <formula>LEN(TRIM(F48))=0</formula>
    </cfRule>
  </conditionalFormatting>
  <conditionalFormatting sqref="E48">
    <cfRule type="containsBlanks" dxfId="5994" priority="2296" stopIfTrue="1">
      <formula>LEN(TRIM(E48))=0</formula>
    </cfRule>
    <cfRule type="cellIs" dxfId="5993" priority="2297" stopIfTrue="1" operator="between">
      <formula>80.1</formula>
      <formula>100</formula>
    </cfRule>
    <cfRule type="cellIs" dxfId="5992" priority="2298" stopIfTrue="1" operator="between">
      <formula>35.1</formula>
      <formula>80</formula>
    </cfRule>
    <cfRule type="cellIs" dxfId="5991" priority="2299" stopIfTrue="1" operator="between">
      <formula>14.1</formula>
      <formula>35</formula>
    </cfRule>
    <cfRule type="cellIs" dxfId="5990" priority="2300" stopIfTrue="1" operator="between">
      <formula>5.1</formula>
      <formula>14</formula>
    </cfRule>
    <cfRule type="cellIs" dxfId="5989" priority="2301" stopIfTrue="1" operator="between">
      <formula>0</formula>
      <formula>5</formula>
    </cfRule>
    <cfRule type="containsBlanks" dxfId="5988" priority="2302" stopIfTrue="1">
      <formula>LEN(TRIM(E48))=0</formula>
    </cfRule>
  </conditionalFormatting>
  <conditionalFormatting sqref="F49:P49">
    <cfRule type="containsBlanks" dxfId="5987" priority="2281" stopIfTrue="1">
      <formula>LEN(TRIM(F49))=0</formula>
    </cfRule>
    <cfRule type="cellIs" dxfId="5986" priority="2282" stopIfTrue="1" operator="between">
      <formula>80.1</formula>
      <formula>100</formula>
    </cfRule>
    <cfRule type="cellIs" dxfId="5985" priority="2283" stopIfTrue="1" operator="between">
      <formula>35.1</formula>
      <formula>80</formula>
    </cfRule>
    <cfRule type="cellIs" dxfId="5984" priority="2284" stopIfTrue="1" operator="between">
      <formula>14.1</formula>
      <formula>35</formula>
    </cfRule>
    <cfRule type="cellIs" dxfId="5983" priority="2285" stopIfTrue="1" operator="between">
      <formula>5.1</formula>
      <formula>14</formula>
    </cfRule>
    <cfRule type="cellIs" dxfId="5982" priority="2286" stopIfTrue="1" operator="between">
      <formula>0</formula>
      <formula>5</formula>
    </cfRule>
    <cfRule type="containsBlanks" dxfId="5981" priority="2287" stopIfTrue="1">
      <formula>LEN(TRIM(F49))=0</formula>
    </cfRule>
  </conditionalFormatting>
  <conditionalFormatting sqref="E49">
    <cfRule type="containsBlanks" dxfId="5980" priority="2274" stopIfTrue="1">
      <formula>LEN(TRIM(E49))=0</formula>
    </cfRule>
    <cfRule type="cellIs" dxfId="5979" priority="2275" stopIfTrue="1" operator="between">
      <formula>80.1</formula>
      <formula>100</formula>
    </cfRule>
    <cfRule type="cellIs" dxfId="5978" priority="2276" stopIfTrue="1" operator="between">
      <formula>35.1</formula>
      <formula>80</formula>
    </cfRule>
    <cfRule type="cellIs" dxfId="5977" priority="2277" stopIfTrue="1" operator="between">
      <formula>14.1</formula>
      <formula>35</formula>
    </cfRule>
    <cfRule type="cellIs" dxfId="5976" priority="2278" stopIfTrue="1" operator="between">
      <formula>5.1</formula>
      <formula>14</formula>
    </cfRule>
    <cfRule type="cellIs" dxfId="5975" priority="2279" stopIfTrue="1" operator="between">
      <formula>0</formula>
      <formula>5</formula>
    </cfRule>
    <cfRule type="containsBlanks" dxfId="5974" priority="2280" stopIfTrue="1">
      <formula>LEN(TRIM(E49))=0</formula>
    </cfRule>
  </conditionalFormatting>
  <conditionalFormatting sqref="F44:P44">
    <cfRule type="containsBlanks" dxfId="5973" priority="2259" stopIfTrue="1">
      <formula>LEN(TRIM(F44))=0</formula>
    </cfRule>
    <cfRule type="cellIs" dxfId="5972" priority="2260" stopIfTrue="1" operator="between">
      <formula>80.1</formula>
      <formula>100</formula>
    </cfRule>
    <cfRule type="cellIs" dxfId="5971" priority="2261" stopIfTrue="1" operator="between">
      <formula>35.1</formula>
      <formula>80</formula>
    </cfRule>
    <cfRule type="cellIs" dxfId="5970" priority="2262" stopIfTrue="1" operator="between">
      <formula>14.1</formula>
      <formula>35</formula>
    </cfRule>
    <cfRule type="cellIs" dxfId="5969" priority="2263" stopIfTrue="1" operator="between">
      <formula>5.1</formula>
      <formula>14</formula>
    </cfRule>
    <cfRule type="cellIs" dxfId="5968" priority="2264" stopIfTrue="1" operator="between">
      <formula>0</formula>
      <formula>5</formula>
    </cfRule>
    <cfRule type="containsBlanks" dxfId="5967" priority="2265" stopIfTrue="1">
      <formula>LEN(TRIM(F44))=0</formula>
    </cfRule>
  </conditionalFormatting>
  <conditionalFormatting sqref="E44">
    <cfRule type="containsBlanks" dxfId="5966" priority="2252" stopIfTrue="1">
      <formula>LEN(TRIM(E44))=0</formula>
    </cfRule>
    <cfRule type="cellIs" dxfId="5965" priority="2253" stopIfTrue="1" operator="between">
      <formula>80.1</formula>
      <formula>100</formula>
    </cfRule>
    <cfRule type="cellIs" dxfId="5964" priority="2254" stopIfTrue="1" operator="between">
      <formula>35.1</formula>
      <formula>80</formula>
    </cfRule>
    <cfRule type="cellIs" dxfId="5963" priority="2255" stopIfTrue="1" operator="between">
      <formula>14.1</formula>
      <formula>35</formula>
    </cfRule>
    <cfRule type="cellIs" dxfId="5962" priority="2256" stopIfTrue="1" operator="between">
      <formula>5.1</formula>
      <formula>14</formula>
    </cfRule>
    <cfRule type="cellIs" dxfId="5961" priority="2257" stopIfTrue="1" operator="between">
      <formula>0</formula>
      <formula>5</formula>
    </cfRule>
    <cfRule type="containsBlanks" dxfId="5960" priority="2258" stopIfTrue="1">
      <formula>LEN(TRIM(E44))=0</formula>
    </cfRule>
  </conditionalFormatting>
  <conditionalFormatting sqref="F42:P42">
    <cfRule type="containsBlanks" dxfId="5959" priority="2215" stopIfTrue="1">
      <formula>LEN(TRIM(F42))=0</formula>
    </cfRule>
    <cfRule type="cellIs" dxfId="5958" priority="2216" stopIfTrue="1" operator="between">
      <formula>80.1</formula>
      <formula>100</formula>
    </cfRule>
    <cfRule type="cellIs" dxfId="5957" priority="2217" stopIfTrue="1" operator="between">
      <formula>35.1</formula>
      <formula>80</formula>
    </cfRule>
    <cfRule type="cellIs" dxfId="5956" priority="2218" stopIfTrue="1" operator="between">
      <formula>14.1</formula>
      <formula>35</formula>
    </cfRule>
    <cfRule type="cellIs" dxfId="5955" priority="2219" stopIfTrue="1" operator="between">
      <formula>5.1</formula>
      <formula>14</formula>
    </cfRule>
    <cfRule type="cellIs" dxfId="5954" priority="2220" stopIfTrue="1" operator="between">
      <formula>0</formula>
      <formula>5</formula>
    </cfRule>
    <cfRule type="containsBlanks" dxfId="5953" priority="2221" stopIfTrue="1">
      <formula>LEN(TRIM(F42))=0</formula>
    </cfRule>
  </conditionalFormatting>
  <conditionalFormatting sqref="E42">
    <cfRule type="containsBlanks" dxfId="5952" priority="2208" stopIfTrue="1">
      <formula>LEN(TRIM(E42))=0</formula>
    </cfRule>
    <cfRule type="cellIs" dxfId="5951" priority="2209" stopIfTrue="1" operator="between">
      <formula>80.1</formula>
      <formula>100</formula>
    </cfRule>
    <cfRule type="cellIs" dxfId="5950" priority="2210" stopIfTrue="1" operator="between">
      <formula>35.1</formula>
      <formula>80</formula>
    </cfRule>
    <cfRule type="cellIs" dxfId="5949" priority="2211" stopIfTrue="1" operator="between">
      <formula>14.1</formula>
      <formula>35</formula>
    </cfRule>
    <cfRule type="cellIs" dxfId="5948" priority="2212" stopIfTrue="1" operator="between">
      <formula>5.1</formula>
      <formula>14</formula>
    </cfRule>
    <cfRule type="cellIs" dxfId="5947" priority="2213" stopIfTrue="1" operator="between">
      <formula>0</formula>
      <formula>5</formula>
    </cfRule>
    <cfRule type="containsBlanks" dxfId="5946" priority="2214" stopIfTrue="1">
      <formula>LEN(TRIM(E42))=0</formula>
    </cfRule>
  </conditionalFormatting>
  <conditionalFormatting sqref="F155:P155">
    <cfRule type="containsBlanks" dxfId="5945" priority="2171" stopIfTrue="1">
      <formula>LEN(TRIM(F155))=0</formula>
    </cfRule>
    <cfRule type="cellIs" dxfId="5944" priority="2172" stopIfTrue="1" operator="between">
      <formula>80.1</formula>
      <formula>100</formula>
    </cfRule>
    <cfRule type="cellIs" dxfId="5943" priority="2173" stopIfTrue="1" operator="between">
      <formula>35.1</formula>
      <formula>80</formula>
    </cfRule>
    <cfRule type="cellIs" dxfId="5942" priority="2174" stopIfTrue="1" operator="between">
      <formula>14.1</formula>
      <formula>35</formula>
    </cfRule>
    <cfRule type="cellIs" dxfId="5941" priority="2175" stopIfTrue="1" operator="between">
      <formula>5.1</formula>
      <formula>14</formula>
    </cfRule>
    <cfRule type="cellIs" dxfId="5940" priority="2176" stopIfTrue="1" operator="between">
      <formula>0</formula>
      <formula>5</formula>
    </cfRule>
    <cfRule type="containsBlanks" dxfId="5939" priority="2177" stopIfTrue="1">
      <formula>LEN(TRIM(F155))=0</formula>
    </cfRule>
  </conditionalFormatting>
  <conditionalFormatting sqref="E155">
    <cfRule type="containsBlanks" dxfId="5938" priority="2164" stopIfTrue="1">
      <formula>LEN(TRIM(E155))=0</formula>
    </cfRule>
    <cfRule type="cellIs" dxfId="5937" priority="2165" stopIfTrue="1" operator="between">
      <formula>80.1</formula>
      <formula>100</formula>
    </cfRule>
    <cfRule type="cellIs" dxfId="5936" priority="2166" stopIfTrue="1" operator="between">
      <formula>35.1</formula>
      <formula>80</formula>
    </cfRule>
    <cfRule type="cellIs" dxfId="5935" priority="2167" stopIfTrue="1" operator="between">
      <formula>14.1</formula>
      <formula>35</formula>
    </cfRule>
    <cfRule type="cellIs" dxfId="5934" priority="2168" stopIfTrue="1" operator="between">
      <formula>5.1</formula>
      <formula>14</formula>
    </cfRule>
    <cfRule type="cellIs" dxfId="5933" priority="2169" stopIfTrue="1" operator="between">
      <formula>0</formula>
      <formula>5</formula>
    </cfRule>
    <cfRule type="containsBlanks" dxfId="5932" priority="2170" stopIfTrue="1">
      <formula>LEN(TRIM(E155))=0</formula>
    </cfRule>
  </conditionalFormatting>
  <conditionalFormatting sqref="F156:P156">
    <cfRule type="containsBlanks" dxfId="5931" priority="2149" stopIfTrue="1">
      <formula>LEN(TRIM(F156))=0</formula>
    </cfRule>
    <cfRule type="cellIs" dxfId="5930" priority="2150" stopIfTrue="1" operator="between">
      <formula>80.1</formula>
      <formula>100</formula>
    </cfRule>
    <cfRule type="cellIs" dxfId="5929" priority="2151" stopIfTrue="1" operator="between">
      <formula>35.1</formula>
      <formula>80</formula>
    </cfRule>
    <cfRule type="cellIs" dxfId="5928" priority="2152" stopIfTrue="1" operator="between">
      <formula>14.1</formula>
      <formula>35</formula>
    </cfRule>
    <cfRule type="cellIs" dxfId="5927" priority="2153" stopIfTrue="1" operator="between">
      <formula>5.1</formula>
      <formula>14</formula>
    </cfRule>
    <cfRule type="cellIs" dxfId="5926" priority="2154" stopIfTrue="1" operator="between">
      <formula>0</formula>
      <formula>5</formula>
    </cfRule>
    <cfRule type="containsBlanks" dxfId="5925" priority="2155" stopIfTrue="1">
      <formula>LEN(TRIM(F156))=0</formula>
    </cfRule>
  </conditionalFormatting>
  <conditionalFormatting sqref="E156">
    <cfRule type="containsBlanks" dxfId="5924" priority="2142" stopIfTrue="1">
      <formula>LEN(TRIM(E156))=0</formula>
    </cfRule>
    <cfRule type="cellIs" dxfId="5923" priority="2143" stopIfTrue="1" operator="between">
      <formula>80.1</formula>
      <formula>100</formula>
    </cfRule>
    <cfRule type="cellIs" dxfId="5922" priority="2144" stopIfTrue="1" operator="between">
      <formula>35.1</formula>
      <formula>80</formula>
    </cfRule>
    <cfRule type="cellIs" dxfId="5921" priority="2145" stopIfTrue="1" operator="between">
      <formula>14.1</formula>
      <formula>35</formula>
    </cfRule>
    <cfRule type="cellIs" dxfId="5920" priority="2146" stopIfTrue="1" operator="between">
      <formula>5.1</formula>
      <formula>14</formula>
    </cfRule>
    <cfRule type="cellIs" dxfId="5919" priority="2147" stopIfTrue="1" operator="between">
      <formula>0</formula>
      <formula>5</formula>
    </cfRule>
    <cfRule type="containsBlanks" dxfId="5918" priority="2148" stopIfTrue="1">
      <formula>LEN(TRIM(E156))=0</formula>
    </cfRule>
  </conditionalFormatting>
  <conditionalFormatting sqref="F157:P157">
    <cfRule type="containsBlanks" dxfId="5917" priority="2127" stopIfTrue="1">
      <formula>LEN(TRIM(F157))=0</formula>
    </cfRule>
    <cfRule type="cellIs" dxfId="5916" priority="2128" stopIfTrue="1" operator="between">
      <formula>80.1</formula>
      <formula>100</formula>
    </cfRule>
    <cfRule type="cellIs" dxfId="5915" priority="2129" stopIfTrue="1" operator="between">
      <formula>35.1</formula>
      <formula>80</formula>
    </cfRule>
    <cfRule type="cellIs" dxfId="5914" priority="2130" stopIfTrue="1" operator="between">
      <formula>14.1</formula>
      <formula>35</formula>
    </cfRule>
    <cfRule type="cellIs" dxfId="5913" priority="2131" stopIfTrue="1" operator="between">
      <formula>5.1</formula>
      <formula>14</formula>
    </cfRule>
    <cfRule type="cellIs" dxfId="5912" priority="2132" stopIfTrue="1" operator="between">
      <formula>0</formula>
      <formula>5</formula>
    </cfRule>
    <cfRule type="containsBlanks" dxfId="5911" priority="2133" stopIfTrue="1">
      <formula>LEN(TRIM(F157))=0</formula>
    </cfRule>
  </conditionalFormatting>
  <conditionalFormatting sqref="E157">
    <cfRule type="containsBlanks" dxfId="5910" priority="2120" stopIfTrue="1">
      <formula>LEN(TRIM(E157))=0</formula>
    </cfRule>
    <cfRule type="cellIs" dxfId="5909" priority="2121" stopIfTrue="1" operator="between">
      <formula>80.1</formula>
      <formula>100</formula>
    </cfRule>
    <cfRule type="cellIs" dxfId="5908" priority="2122" stopIfTrue="1" operator="between">
      <formula>35.1</formula>
      <formula>80</formula>
    </cfRule>
    <cfRule type="cellIs" dxfId="5907" priority="2123" stopIfTrue="1" operator="between">
      <formula>14.1</formula>
      <formula>35</formula>
    </cfRule>
    <cfRule type="cellIs" dxfId="5906" priority="2124" stopIfTrue="1" operator="between">
      <formula>5.1</formula>
      <formula>14</formula>
    </cfRule>
    <cfRule type="cellIs" dxfId="5905" priority="2125" stopIfTrue="1" operator="between">
      <formula>0</formula>
      <formula>5</formula>
    </cfRule>
    <cfRule type="containsBlanks" dxfId="5904" priority="2126" stopIfTrue="1">
      <formula>LEN(TRIM(E157))=0</formula>
    </cfRule>
  </conditionalFormatting>
  <conditionalFormatting sqref="F158:P158">
    <cfRule type="containsBlanks" dxfId="5903" priority="2105" stopIfTrue="1">
      <formula>LEN(TRIM(F158))=0</formula>
    </cfRule>
    <cfRule type="cellIs" dxfId="5902" priority="2106" stopIfTrue="1" operator="between">
      <formula>80.1</formula>
      <formula>100</formula>
    </cfRule>
    <cfRule type="cellIs" dxfId="5901" priority="2107" stopIfTrue="1" operator="between">
      <formula>35.1</formula>
      <formula>80</formula>
    </cfRule>
    <cfRule type="cellIs" dxfId="5900" priority="2108" stopIfTrue="1" operator="between">
      <formula>14.1</formula>
      <formula>35</formula>
    </cfRule>
    <cfRule type="cellIs" dxfId="5899" priority="2109" stopIfTrue="1" operator="between">
      <formula>5.1</formula>
      <formula>14</formula>
    </cfRule>
    <cfRule type="cellIs" dxfId="5898" priority="2110" stopIfTrue="1" operator="between">
      <formula>0</formula>
      <formula>5</formula>
    </cfRule>
    <cfRule type="containsBlanks" dxfId="5897" priority="2111" stopIfTrue="1">
      <formula>LEN(TRIM(F158))=0</formula>
    </cfRule>
  </conditionalFormatting>
  <conditionalFormatting sqref="E158">
    <cfRule type="containsBlanks" dxfId="5896" priority="2098" stopIfTrue="1">
      <formula>LEN(TRIM(E158))=0</formula>
    </cfRule>
    <cfRule type="cellIs" dxfId="5895" priority="2099" stopIfTrue="1" operator="between">
      <formula>80.1</formula>
      <formula>100</formula>
    </cfRule>
    <cfRule type="cellIs" dxfId="5894" priority="2100" stopIfTrue="1" operator="between">
      <formula>35.1</formula>
      <formula>80</formula>
    </cfRule>
    <cfRule type="cellIs" dxfId="5893" priority="2101" stopIfTrue="1" operator="between">
      <formula>14.1</formula>
      <formula>35</formula>
    </cfRule>
    <cfRule type="cellIs" dxfId="5892" priority="2102" stopIfTrue="1" operator="between">
      <formula>5.1</formula>
      <formula>14</formula>
    </cfRule>
    <cfRule type="cellIs" dxfId="5891" priority="2103" stopIfTrue="1" operator="between">
      <formula>0</formula>
      <formula>5</formula>
    </cfRule>
    <cfRule type="containsBlanks" dxfId="5890" priority="2104" stopIfTrue="1">
      <formula>LEN(TRIM(E158))=0</formula>
    </cfRule>
  </conditionalFormatting>
  <conditionalFormatting sqref="F159:P159">
    <cfRule type="containsBlanks" dxfId="5889" priority="2083" stopIfTrue="1">
      <formula>LEN(TRIM(F159))=0</formula>
    </cfRule>
    <cfRule type="cellIs" dxfId="5888" priority="2084" stopIfTrue="1" operator="between">
      <formula>80.1</formula>
      <formula>100</formula>
    </cfRule>
    <cfRule type="cellIs" dxfId="5887" priority="2085" stopIfTrue="1" operator="between">
      <formula>35.1</formula>
      <formula>80</formula>
    </cfRule>
    <cfRule type="cellIs" dxfId="5886" priority="2086" stopIfTrue="1" operator="between">
      <formula>14.1</formula>
      <formula>35</formula>
    </cfRule>
    <cfRule type="cellIs" dxfId="5885" priority="2087" stopIfTrue="1" operator="between">
      <formula>5.1</formula>
      <formula>14</formula>
    </cfRule>
    <cfRule type="cellIs" dxfId="5884" priority="2088" stopIfTrue="1" operator="between">
      <formula>0</formula>
      <formula>5</formula>
    </cfRule>
    <cfRule type="containsBlanks" dxfId="5883" priority="2089" stopIfTrue="1">
      <formula>LEN(TRIM(F159))=0</formula>
    </cfRule>
  </conditionalFormatting>
  <conditionalFormatting sqref="E159">
    <cfRule type="containsBlanks" dxfId="5882" priority="2076" stopIfTrue="1">
      <formula>LEN(TRIM(E159))=0</formula>
    </cfRule>
    <cfRule type="cellIs" dxfId="5881" priority="2077" stopIfTrue="1" operator="between">
      <formula>80.1</formula>
      <formula>100</formula>
    </cfRule>
    <cfRule type="cellIs" dxfId="5880" priority="2078" stopIfTrue="1" operator="between">
      <formula>35.1</formula>
      <formula>80</formula>
    </cfRule>
    <cfRule type="cellIs" dxfId="5879" priority="2079" stopIfTrue="1" operator="between">
      <formula>14.1</formula>
      <formula>35</formula>
    </cfRule>
    <cfRule type="cellIs" dxfId="5878" priority="2080" stopIfTrue="1" operator="between">
      <formula>5.1</formula>
      <formula>14</formula>
    </cfRule>
    <cfRule type="cellIs" dxfId="5877" priority="2081" stopIfTrue="1" operator="between">
      <formula>0</formula>
      <formula>5</formula>
    </cfRule>
    <cfRule type="containsBlanks" dxfId="5876" priority="2082" stopIfTrue="1">
      <formula>LEN(TRIM(E159))=0</formula>
    </cfRule>
  </conditionalFormatting>
  <conditionalFormatting sqref="F161:P161">
    <cfRule type="containsBlanks" dxfId="5875" priority="2061" stopIfTrue="1">
      <formula>LEN(TRIM(F161))=0</formula>
    </cfRule>
    <cfRule type="cellIs" dxfId="5874" priority="2062" stopIfTrue="1" operator="between">
      <formula>80.1</formula>
      <formula>100</formula>
    </cfRule>
    <cfRule type="cellIs" dxfId="5873" priority="2063" stopIfTrue="1" operator="between">
      <formula>35.1</formula>
      <formula>80</formula>
    </cfRule>
    <cfRule type="cellIs" dxfId="5872" priority="2064" stopIfTrue="1" operator="between">
      <formula>14.1</formula>
      <formula>35</formula>
    </cfRule>
    <cfRule type="cellIs" dxfId="5871" priority="2065" stopIfTrue="1" operator="between">
      <formula>5.1</formula>
      <formula>14</formula>
    </cfRule>
    <cfRule type="cellIs" dxfId="5870" priority="2066" stopIfTrue="1" operator="between">
      <formula>0</formula>
      <formula>5</formula>
    </cfRule>
    <cfRule type="containsBlanks" dxfId="5869" priority="2067" stopIfTrue="1">
      <formula>LEN(TRIM(F161))=0</formula>
    </cfRule>
  </conditionalFormatting>
  <conditionalFormatting sqref="E161">
    <cfRule type="containsBlanks" dxfId="5868" priority="2054" stopIfTrue="1">
      <formula>LEN(TRIM(E161))=0</formula>
    </cfRule>
    <cfRule type="cellIs" dxfId="5867" priority="2055" stopIfTrue="1" operator="between">
      <formula>80.1</formula>
      <formula>100</formula>
    </cfRule>
    <cfRule type="cellIs" dxfId="5866" priority="2056" stopIfTrue="1" operator="between">
      <formula>35.1</formula>
      <formula>80</formula>
    </cfRule>
    <cfRule type="cellIs" dxfId="5865" priority="2057" stopIfTrue="1" operator="between">
      <formula>14.1</formula>
      <formula>35</formula>
    </cfRule>
    <cfRule type="cellIs" dxfId="5864" priority="2058" stopIfTrue="1" operator="between">
      <formula>5.1</formula>
      <formula>14</formula>
    </cfRule>
    <cfRule type="cellIs" dxfId="5863" priority="2059" stopIfTrue="1" operator="between">
      <formula>0</formula>
      <formula>5</formula>
    </cfRule>
    <cfRule type="containsBlanks" dxfId="5862" priority="2060" stopIfTrue="1">
      <formula>LEN(TRIM(E161))=0</formula>
    </cfRule>
  </conditionalFormatting>
  <conditionalFormatting sqref="F160:P160">
    <cfRule type="containsBlanks" dxfId="5861" priority="2039" stopIfTrue="1">
      <formula>LEN(TRIM(F160))=0</formula>
    </cfRule>
    <cfRule type="cellIs" dxfId="5860" priority="2040" stopIfTrue="1" operator="between">
      <formula>80.1</formula>
      <formula>100</formula>
    </cfRule>
    <cfRule type="cellIs" dxfId="5859" priority="2041" stopIfTrue="1" operator="between">
      <formula>35.1</formula>
      <formula>80</formula>
    </cfRule>
    <cfRule type="cellIs" dxfId="5858" priority="2042" stopIfTrue="1" operator="between">
      <formula>14.1</formula>
      <formula>35</formula>
    </cfRule>
    <cfRule type="cellIs" dxfId="5857" priority="2043" stopIfTrue="1" operator="between">
      <formula>5.1</formula>
      <formula>14</formula>
    </cfRule>
    <cfRule type="cellIs" dxfId="5856" priority="2044" stopIfTrue="1" operator="between">
      <formula>0</formula>
      <formula>5</formula>
    </cfRule>
    <cfRule type="containsBlanks" dxfId="5855" priority="2045" stopIfTrue="1">
      <formula>LEN(TRIM(F160))=0</formula>
    </cfRule>
  </conditionalFormatting>
  <conditionalFormatting sqref="E160">
    <cfRule type="containsBlanks" dxfId="5854" priority="2032" stopIfTrue="1">
      <formula>LEN(TRIM(E160))=0</formula>
    </cfRule>
    <cfRule type="cellIs" dxfId="5853" priority="2033" stopIfTrue="1" operator="between">
      <formula>80.1</formula>
      <formula>100</formula>
    </cfRule>
    <cfRule type="cellIs" dxfId="5852" priority="2034" stopIfTrue="1" operator="between">
      <formula>35.1</formula>
      <formula>80</formula>
    </cfRule>
    <cfRule type="cellIs" dxfId="5851" priority="2035" stopIfTrue="1" operator="between">
      <formula>14.1</formula>
      <formula>35</formula>
    </cfRule>
    <cfRule type="cellIs" dxfId="5850" priority="2036" stopIfTrue="1" operator="between">
      <formula>5.1</formula>
      <formula>14</formula>
    </cfRule>
    <cfRule type="cellIs" dxfId="5849" priority="2037" stopIfTrue="1" operator="between">
      <formula>0</formula>
      <formula>5</formula>
    </cfRule>
    <cfRule type="containsBlanks" dxfId="5848" priority="2038" stopIfTrue="1">
      <formula>LEN(TRIM(E160))=0</formula>
    </cfRule>
  </conditionalFormatting>
  <conditionalFormatting sqref="P416">
    <cfRule type="containsBlanks" dxfId="5847" priority="1951" stopIfTrue="1">
      <formula>LEN(TRIM(P416))=0</formula>
    </cfRule>
    <cfRule type="cellIs" dxfId="5846" priority="1952" stopIfTrue="1" operator="between">
      <formula>80.1</formula>
      <formula>100</formula>
    </cfRule>
    <cfRule type="cellIs" dxfId="5845" priority="1953" stopIfTrue="1" operator="between">
      <formula>35.1</formula>
      <formula>80</formula>
    </cfRule>
    <cfRule type="cellIs" dxfId="5844" priority="1954" stopIfTrue="1" operator="between">
      <formula>14.1</formula>
      <formula>35</formula>
    </cfRule>
    <cfRule type="cellIs" dxfId="5843" priority="1955" stopIfTrue="1" operator="between">
      <formula>5.1</formula>
      <formula>14</formula>
    </cfRule>
    <cfRule type="cellIs" dxfId="5842" priority="1956" stopIfTrue="1" operator="between">
      <formula>0</formula>
      <formula>5</formula>
    </cfRule>
    <cfRule type="containsBlanks" dxfId="5841" priority="1957" stopIfTrue="1">
      <formula>LEN(TRIM(P416))=0</formula>
    </cfRule>
  </conditionalFormatting>
  <conditionalFormatting sqref="E435:J435 E430:J430 E421:J421 E425:J427">
    <cfRule type="containsBlanks" dxfId="5840" priority="1944" stopIfTrue="1">
      <formula>LEN(TRIM(E421))=0</formula>
    </cfRule>
    <cfRule type="cellIs" dxfId="5839" priority="1945" stopIfTrue="1" operator="between">
      <formula>80.1</formula>
      <formula>100</formula>
    </cfRule>
    <cfRule type="cellIs" dxfId="5838" priority="1946" stopIfTrue="1" operator="between">
      <formula>35.1</formula>
      <formula>80</formula>
    </cfRule>
    <cfRule type="cellIs" dxfId="5837" priority="1947" stopIfTrue="1" operator="between">
      <formula>14.1</formula>
      <formula>35</formula>
    </cfRule>
    <cfRule type="cellIs" dxfId="5836" priority="1948" stopIfTrue="1" operator="between">
      <formula>5.1</formula>
      <formula>14</formula>
    </cfRule>
    <cfRule type="cellIs" dxfId="5835" priority="1949" stopIfTrue="1" operator="between">
      <formula>0</formula>
      <formula>5</formula>
    </cfRule>
    <cfRule type="containsBlanks" dxfId="5834" priority="1950" stopIfTrue="1">
      <formula>LEN(TRIM(E421))=0</formula>
    </cfRule>
  </conditionalFormatting>
  <conditionalFormatting sqref="O411:P411">
    <cfRule type="containsBlanks" dxfId="5833" priority="1929" stopIfTrue="1">
      <formula>LEN(TRIM(O411))=0</formula>
    </cfRule>
    <cfRule type="cellIs" dxfId="5832" priority="1930" stopIfTrue="1" operator="between">
      <formula>80.1</formula>
      <formula>100</formula>
    </cfRule>
    <cfRule type="cellIs" dxfId="5831" priority="1931" stopIfTrue="1" operator="between">
      <formula>35.1</formula>
      <formula>80</formula>
    </cfRule>
    <cfRule type="cellIs" dxfId="5830" priority="1932" stopIfTrue="1" operator="between">
      <formula>14.1</formula>
      <formula>35</formula>
    </cfRule>
    <cfRule type="cellIs" dxfId="5829" priority="1933" stopIfTrue="1" operator="between">
      <formula>5.1</formula>
      <formula>14</formula>
    </cfRule>
    <cfRule type="cellIs" dxfId="5828" priority="1934" stopIfTrue="1" operator="between">
      <formula>0</formula>
      <formula>5</formula>
    </cfRule>
    <cfRule type="containsBlanks" dxfId="5827" priority="1935" stopIfTrue="1">
      <formula>LEN(TRIM(O411))=0</formula>
    </cfRule>
  </conditionalFormatting>
  <conditionalFormatting sqref="P410">
    <cfRule type="containsBlanks" dxfId="5826" priority="1709" stopIfTrue="1">
      <formula>LEN(TRIM(P410))=0</formula>
    </cfRule>
    <cfRule type="cellIs" dxfId="5825" priority="1710" stopIfTrue="1" operator="between">
      <formula>80.1</formula>
      <formula>100</formula>
    </cfRule>
    <cfRule type="cellIs" dxfId="5824" priority="1711" stopIfTrue="1" operator="between">
      <formula>35.1</formula>
      <formula>80</formula>
    </cfRule>
    <cfRule type="cellIs" dxfId="5823" priority="1712" stopIfTrue="1" operator="between">
      <formula>14.1</formula>
      <formula>35</formula>
    </cfRule>
    <cfRule type="cellIs" dxfId="5822" priority="1713" stopIfTrue="1" operator="between">
      <formula>5.1</formula>
      <formula>14</formula>
    </cfRule>
    <cfRule type="cellIs" dxfId="5821" priority="1714" stopIfTrue="1" operator="between">
      <formula>0</formula>
      <formula>5</formula>
    </cfRule>
    <cfRule type="containsBlanks" dxfId="5820" priority="1715" stopIfTrue="1">
      <formula>LEN(TRIM(P410))=0</formula>
    </cfRule>
  </conditionalFormatting>
  <conditionalFormatting sqref="K407:P407">
    <cfRule type="containsBlanks" dxfId="5819" priority="1621" stopIfTrue="1">
      <formula>LEN(TRIM(K407))=0</formula>
    </cfRule>
    <cfRule type="cellIs" dxfId="5818" priority="1622" stopIfTrue="1" operator="between">
      <formula>80.1</formula>
      <formula>100</formula>
    </cfRule>
    <cfRule type="cellIs" dxfId="5817" priority="1623" stopIfTrue="1" operator="between">
      <formula>35.1</formula>
      <formula>80</formula>
    </cfRule>
    <cfRule type="cellIs" dxfId="5816" priority="1624" stopIfTrue="1" operator="between">
      <formula>14.1</formula>
      <formula>35</formula>
    </cfRule>
    <cfRule type="cellIs" dxfId="5815" priority="1625" stopIfTrue="1" operator="between">
      <formula>5.1</formula>
      <formula>14</formula>
    </cfRule>
    <cfRule type="cellIs" dxfId="5814" priority="1626" stopIfTrue="1" operator="between">
      <formula>0</formula>
      <formula>5</formula>
    </cfRule>
    <cfRule type="containsBlanks" dxfId="5813" priority="1627" stopIfTrue="1">
      <formula>LEN(TRIM(K407))=0</formula>
    </cfRule>
  </conditionalFormatting>
  <conditionalFormatting sqref="P409">
    <cfRule type="containsBlanks" dxfId="5812" priority="1731" stopIfTrue="1">
      <formula>LEN(TRIM(P409))=0</formula>
    </cfRule>
    <cfRule type="cellIs" dxfId="5811" priority="1732" stopIfTrue="1" operator="between">
      <formula>80.1</formula>
      <formula>100</formula>
    </cfRule>
    <cfRule type="cellIs" dxfId="5810" priority="1733" stopIfTrue="1" operator="between">
      <formula>35.1</formula>
      <formula>80</formula>
    </cfRule>
    <cfRule type="cellIs" dxfId="5809" priority="1734" stopIfTrue="1" operator="between">
      <formula>14.1</formula>
      <formula>35</formula>
    </cfRule>
    <cfRule type="cellIs" dxfId="5808" priority="1735" stopIfTrue="1" operator="between">
      <formula>5.1</formula>
      <formula>14</formula>
    </cfRule>
    <cfRule type="cellIs" dxfId="5807" priority="1736" stopIfTrue="1" operator="between">
      <formula>0</formula>
      <formula>5</formula>
    </cfRule>
    <cfRule type="containsBlanks" dxfId="5806" priority="1737" stopIfTrue="1">
      <formula>LEN(TRIM(P409))=0</formula>
    </cfRule>
  </conditionalFormatting>
  <conditionalFormatting sqref="K413:P415">
    <cfRule type="containsBlanks" dxfId="5805" priority="1599" stopIfTrue="1">
      <formula>LEN(TRIM(K413))=0</formula>
    </cfRule>
    <cfRule type="cellIs" dxfId="5804" priority="1600" stopIfTrue="1" operator="between">
      <formula>80.1</formula>
      <formula>100</formula>
    </cfRule>
    <cfRule type="cellIs" dxfId="5803" priority="1601" stopIfTrue="1" operator="between">
      <formula>35.1</formula>
      <formula>80</formula>
    </cfRule>
    <cfRule type="cellIs" dxfId="5802" priority="1602" stopIfTrue="1" operator="between">
      <formula>14.1</formula>
      <formula>35</formula>
    </cfRule>
    <cfRule type="cellIs" dxfId="5801" priority="1603" stopIfTrue="1" operator="between">
      <formula>5.1</formula>
      <formula>14</formula>
    </cfRule>
    <cfRule type="cellIs" dxfId="5800" priority="1604" stopIfTrue="1" operator="between">
      <formula>0</formula>
      <formula>5</formula>
    </cfRule>
    <cfRule type="containsBlanks" dxfId="5799" priority="1605" stopIfTrue="1">
      <formula>LEN(TRIM(K413))=0</formula>
    </cfRule>
  </conditionalFormatting>
  <conditionalFormatting sqref="K405:P406 P404">
    <cfRule type="containsBlanks" dxfId="5798" priority="1643" stopIfTrue="1">
      <formula>LEN(TRIM(K404))=0</formula>
    </cfRule>
    <cfRule type="cellIs" dxfId="5797" priority="1644" stopIfTrue="1" operator="between">
      <formula>80.1</formula>
      <formula>100</formula>
    </cfRule>
    <cfRule type="cellIs" dxfId="5796" priority="1645" stopIfTrue="1" operator="between">
      <formula>35.1</formula>
      <formula>80</formula>
    </cfRule>
    <cfRule type="cellIs" dxfId="5795" priority="1646" stopIfTrue="1" operator="between">
      <formula>14.1</formula>
      <formula>35</formula>
    </cfRule>
    <cfRule type="cellIs" dxfId="5794" priority="1647" stopIfTrue="1" operator="between">
      <formula>5.1</formula>
      <formula>14</formula>
    </cfRule>
    <cfRule type="cellIs" dxfId="5793" priority="1648" stopIfTrue="1" operator="between">
      <formula>0</formula>
      <formula>5</formula>
    </cfRule>
    <cfRule type="containsBlanks" dxfId="5792" priority="1649" stopIfTrue="1">
      <formula>LEN(TRIM(K404))=0</formula>
    </cfRule>
  </conditionalFormatting>
  <conditionalFormatting sqref="E53:P58">
    <cfRule type="containsBlanks" dxfId="5791" priority="1550" stopIfTrue="1">
      <formula>LEN(TRIM(E53))=0</formula>
    </cfRule>
    <cfRule type="cellIs" dxfId="5790" priority="1551" stopIfTrue="1" operator="between">
      <formula>79.1</formula>
      <formula>100</formula>
    </cfRule>
    <cfRule type="cellIs" dxfId="5789" priority="1552" stopIfTrue="1" operator="between">
      <formula>34.1</formula>
      <formula>79</formula>
    </cfRule>
    <cfRule type="cellIs" dxfId="5788" priority="1553" stopIfTrue="1" operator="between">
      <formula>13.1</formula>
      <formula>34</formula>
    </cfRule>
    <cfRule type="cellIs" dxfId="5787" priority="1554" stopIfTrue="1" operator="between">
      <formula>5.1</formula>
      <formula>13</formula>
    </cfRule>
    <cfRule type="cellIs" dxfId="5786" priority="1555" stopIfTrue="1" operator="between">
      <formula>0</formula>
      <formula>5</formula>
    </cfRule>
    <cfRule type="containsBlanks" dxfId="5785" priority="1556" stopIfTrue="1">
      <formula>LEN(TRIM(E53))=0</formula>
    </cfRule>
  </conditionalFormatting>
  <conditionalFormatting sqref="G43">
    <cfRule type="containsBlanks" dxfId="5784" priority="1515" stopIfTrue="1">
      <formula>LEN(TRIM(G43))=0</formula>
    </cfRule>
    <cfRule type="cellIs" dxfId="5783" priority="1516" stopIfTrue="1" operator="between">
      <formula>79.1</formula>
      <formula>100</formula>
    </cfRule>
    <cfRule type="cellIs" dxfId="5782" priority="1517" stopIfTrue="1" operator="between">
      <formula>34.1</formula>
      <formula>79</formula>
    </cfRule>
    <cfRule type="cellIs" dxfId="5781" priority="1518" stopIfTrue="1" operator="between">
      <formula>13.1</formula>
      <formula>34</formula>
    </cfRule>
    <cfRule type="cellIs" dxfId="5780" priority="1519" stopIfTrue="1" operator="between">
      <formula>5.1</formula>
      <formula>13</formula>
    </cfRule>
    <cfRule type="cellIs" dxfId="5779" priority="1520" stopIfTrue="1" operator="between">
      <formula>0</formula>
      <formula>5</formula>
    </cfRule>
    <cfRule type="containsBlanks" dxfId="5778" priority="1521" stopIfTrue="1">
      <formula>LEN(TRIM(G43))=0</formula>
    </cfRule>
  </conditionalFormatting>
  <conditionalFormatting sqref="E59:P59">
    <cfRule type="containsBlanks" dxfId="5777" priority="1543" stopIfTrue="1">
      <formula>LEN(TRIM(E59))=0</formula>
    </cfRule>
    <cfRule type="cellIs" dxfId="5776" priority="1544" stopIfTrue="1" operator="between">
      <formula>79.1</formula>
      <formula>100</formula>
    </cfRule>
    <cfRule type="cellIs" dxfId="5775" priority="1545" stopIfTrue="1" operator="between">
      <formula>34.1</formula>
      <formula>79</formula>
    </cfRule>
    <cfRule type="cellIs" dxfId="5774" priority="1546" stopIfTrue="1" operator="between">
      <formula>13.1</formula>
      <formula>34</formula>
    </cfRule>
    <cfRule type="cellIs" dxfId="5773" priority="1547" stopIfTrue="1" operator="between">
      <formula>5.1</formula>
      <formula>13</formula>
    </cfRule>
    <cfRule type="cellIs" dxfId="5772" priority="1548" stopIfTrue="1" operator="between">
      <formula>0</formula>
      <formula>5</formula>
    </cfRule>
    <cfRule type="containsBlanks" dxfId="5771" priority="1549" stopIfTrue="1">
      <formula>LEN(TRIM(E59))=0</formula>
    </cfRule>
  </conditionalFormatting>
  <conditionalFormatting sqref="N331">
    <cfRule type="containsBlanks" dxfId="5770" priority="1424" stopIfTrue="1">
      <formula>LEN(TRIM(N331))=0</formula>
    </cfRule>
    <cfRule type="cellIs" dxfId="5769" priority="1425" stopIfTrue="1" operator="between">
      <formula>79.1</formula>
      <formula>100</formula>
    </cfRule>
    <cfRule type="cellIs" dxfId="5768" priority="1426" stopIfTrue="1" operator="between">
      <formula>34.1</formula>
      <formula>79</formula>
    </cfRule>
    <cfRule type="cellIs" dxfId="5767" priority="1427" stopIfTrue="1" operator="between">
      <formula>13.1</formula>
      <formula>34</formula>
    </cfRule>
    <cfRule type="cellIs" dxfId="5766" priority="1428" stopIfTrue="1" operator="between">
      <formula>5.1</formula>
      <formula>13</formula>
    </cfRule>
    <cfRule type="cellIs" dxfId="5765" priority="1429" stopIfTrue="1" operator="between">
      <formula>0</formula>
      <formula>5</formula>
    </cfRule>
    <cfRule type="containsBlanks" dxfId="5764" priority="1430" stopIfTrue="1">
      <formula>LEN(TRIM(N331))=0</formula>
    </cfRule>
  </conditionalFormatting>
  <conditionalFormatting sqref="E45:P46">
    <cfRule type="containsBlanks" dxfId="5763" priority="1529" stopIfTrue="1">
      <formula>LEN(TRIM(E45))=0</formula>
    </cfRule>
    <cfRule type="cellIs" dxfId="5762" priority="1530" stopIfTrue="1" operator="between">
      <formula>79.1</formula>
      <formula>100</formula>
    </cfRule>
    <cfRule type="cellIs" dxfId="5761" priority="1531" stopIfTrue="1" operator="between">
      <formula>34.1</formula>
      <formula>79</formula>
    </cfRule>
    <cfRule type="cellIs" dxfId="5760" priority="1532" stopIfTrue="1" operator="between">
      <formula>13.1</formula>
      <formula>34</formula>
    </cfRule>
    <cfRule type="cellIs" dxfId="5759" priority="1533" stopIfTrue="1" operator="between">
      <formula>5.1</formula>
      <formula>13</formula>
    </cfRule>
    <cfRule type="cellIs" dxfId="5758" priority="1534" stopIfTrue="1" operator="between">
      <formula>0</formula>
      <formula>5</formula>
    </cfRule>
    <cfRule type="containsBlanks" dxfId="5757" priority="1535" stopIfTrue="1">
      <formula>LEN(TRIM(E45))=0</formula>
    </cfRule>
  </conditionalFormatting>
  <conditionalFormatting sqref="E47:P47">
    <cfRule type="containsBlanks" dxfId="5756" priority="1522" stopIfTrue="1">
      <formula>LEN(TRIM(E47))=0</formula>
    </cfRule>
    <cfRule type="cellIs" dxfId="5755" priority="1523" stopIfTrue="1" operator="between">
      <formula>79.1</formula>
      <formula>100</formula>
    </cfRule>
    <cfRule type="cellIs" dxfId="5754" priority="1524" stopIfTrue="1" operator="between">
      <formula>34.1</formula>
      <formula>79</formula>
    </cfRule>
    <cfRule type="cellIs" dxfId="5753" priority="1525" stopIfTrue="1" operator="between">
      <formula>13.1</formula>
      <formula>34</formula>
    </cfRule>
    <cfRule type="cellIs" dxfId="5752" priority="1526" stopIfTrue="1" operator="between">
      <formula>5.1</formula>
      <formula>13</formula>
    </cfRule>
    <cfRule type="cellIs" dxfId="5751" priority="1527" stopIfTrue="1" operator="between">
      <formula>0</formula>
      <formula>5</formula>
    </cfRule>
    <cfRule type="containsBlanks" dxfId="5750" priority="1528" stopIfTrue="1">
      <formula>LEN(TRIM(E47))=0</formula>
    </cfRule>
  </conditionalFormatting>
  <conditionalFormatting sqref="E344 E317:P317 M318:P318 E318:K318 E326:H326 E329:H329 E335:H336 E337:I337 E338:G339 I338:J339 E330:F331 O331:P331 G331:M331 H330:P330 J326:P326 G344:P344 J335:P336 J329:P329 E345:P345 E319:P325 E327:P328 E332:P334 K337:P339 E340:P343 E346:M346 O346:P346 N346:N347">
    <cfRule type="containsBlanks" dxfId="5749" priority="1466" stopIfTrue="1">
      <formula>LEN(TRIM(E317))=0</formula>
    </cfRule>
    <cfRule type="cellIs" dxfId="5748" priority="1467" stopIfTrue="1" operator="between">
      <formula>79.1</formula>
      <formula>100</formula>
    </cfRule>
    <cfRule type="cellIs" dxfId="5747" priority="1468" stopIfTrue="1" operator="between">
      <formula>34.1</formula>
      <formula>79</formula>
    </cfRule>
    <cfRule type="cellIs" dxfId="5746" priority="1469" stopIfTrue="1" operator="between">
      <formula>13.1</formula>
      <formula>34</formula>
    </cfRule>
    <cfRule type="cellIs" dxfId="5745" priority="1470" stopIfTrue="1" operator="between">
      <formula>5.1</formula>
      <formula>13</formula>
    </cfRule>
    <cfRule type="cellIs" dxfId="5744" priority="1471" stopIfTrue="1" operator="between">
      <formula>0</formula>
      <formula>5</formula>
    </cfRule>
    <cfRule type="containsBlanks" dxfId="5743" priority="1472" stopIfTrue="1">
      <formula>LEN(TRIM(E317))=0</formula>
    </cfRule>
  </conditionalFormatting>
  <conditionalFormatting sqref="J337">
    <cfRule type="containsBlanks" dxfId="5742" priority="1459" stopIfTrue="1">
      <formula>LEN(TRIM(J337))=0</formula>
    </cfRule>
    <cfRule type="cellIs" dxfId="5741" priority="1460" stopIfTrue="1" operator="between">
      <formula>79.1</formula>
      <formula>100</formula>
    </cfRule>
    <cfRule type="cellIs" dxfId="5740" priority="1461" stopIfTrue="1" operator="between">
      <formula>34.1</formula>
      <formula>79</formula>
    </cfRule>
    <cfRule type="cellIs" dxfId="5739" priority="1462" stopIfTrue="1" operator="between">
      <formula>13.1</formula>
      <formula>34</formula>
    </cfRule>
    <cfRule type="cellIs" dxfId="5738" priority="1463" stopIfTrue="1" operator="between">
      <formula>5.1</formula>
      <formula>13</formula>
    </cfRule>
    <cfRule type="cellIs" dxfId="5737" priority="1464" stopIfTrue="1" operator="between">
      <formula>0</formula>
      <formula>5</formula>
    </cfRule>
    <cfRule type="containsBlanks" dxfId="5736" priority="1465" stopIfTrue="1">
      <formula>LEN(TRIM(J337))=0</formula>
    </cfRule>
  </conditionalFormatting>
  <conditionalFormatting sqref="I335">
    <cfRule type="containsBlanks" dxfId="5735" priority="1452" stopIfTrue="1">
      <formula>LEN(TRIM(I335))=0</formula>
    </cfRule>
    <cfRule type="cellIs" dxfId="5734" priority="1453" stopIfTrue="1" operator="between">
      <formula>79.1</formula>
      <formula>100</formula>
    </cfRule>
    <cfRule type="cellIs" dxfId="5733" priority="1454" stopIfTrue="1" operator="between">
      <formula>34.1</formula>
      <formula>79</formula>
    </cfRule>
    <cfRule type="cellIs" dxfId="5732" priority="1455" stopIfTrue="1" operator="between">
      <formula>13.1</formula>
      <formula>34</formula>
    </cfRule>
    <cfRule type="cellIs" dxfId="5731" priority="1456" stopIfTrue="1" operator="between">
      <formula>5.1</formula>
      <formula>13</formula>
    </cfRule>
    <cfRule type="cellIs" dxfId="5730" priority="1457" stopIfTrue="1" operator="between">
      <formula>0</formula>
      <formula>5</formula>
    </cfRule>
    <cfRule type="containsBlanks" dxfId="5729" priority="1458" stopIfTrue="1">
      <formula>LEN(TRIM(I335))=0</formula>
    </cfRule>
  </conditionalFormatting>
  <conditionalFormatting sqref="H338">
    <cfRule type="containsBlanks" dxfId="5728" priority="1445" stopIfTrue="1">
      <formula>LEN(TRIM(H338))=0</formula>
    </cfRule>
    <cfRule type="cellIs" dxfId="5727" priority="1446" stopIfTrue="1" operator="between">
      <formula>79.1</formula>
      <formula>100</formula>
    </cfRule>
    <cfRule type="cellIs" dxfId="5726" priority="1447" stopIfTrue="1" operator="between">
      <formula>34.1</formula>
      <formula>79</formula>
    </cfRule>
    <cfRule type="cellIs" dxfId="5725" priority="1448" stopIfTrue="1" operator="between">
      <formula>13.1</formula>
      <formula>34</formula>
    </cfRule>
    <cfRule type="cellIs" dxfId="5724" priority="1449" stopIfTrue="1" operator="between">
      <formula>5.1</formula>
      <formula>13</formula>
    </cfRule>
    <cfRule type="cellIs" dxfId="5723" priority="1450" stopIfTrue="1" operator="between">
      <formula>0</formula>
      <formula>5</formula>
    </cfRule>
    <cfRule type="containsBlanks" dxfId="5722" priority="1451" stopIfTrue="1">
      <formula>LEN(TRIM(H338))=0</formula>
    </cfRule>
  </conditionalFormatting>
  <conditionalFormatting sqref="I326">
    <cfRule type="containsBlanks" dxfId="5721" priority="1438" stopIfTrue="1">
      <formula>LEN(TRIM(I326))=0</formula>
    </cfRule>
    <cfRule type="cellIs" dxfId="5720" priority="1439" stopIfTrue="1" operator="between">
      <formula>79.1</formula>
      <formula>100</formula>
    </cfRule>
    <cfRule type="cellIs" dxfId="5719" priority="1440" stopIfTrue="1" operator="between">
      <formula>34.1</formula>
      <formula>79</formula>
    </cfRule>
    <cfRule type="cellIs" dxfId="5718" priority="1441" stopIfTrue="1" operator="between">
      <formula>13.1</formula>
      <formula>34</formula>
    </cfRule>
    <cfRule type="cellIs" dxfId="5717" priority="1442" stopIfTrue="1" operator="between">
      <formula>5.1</formula>
      <formula>13</formula>
    </cfRule>
    <cfRule type="cellIs" dxfId="5716" priority="1443" stopIfTrue="1" operator="between">
      <formula>0</formula>
      <formula>5</formula>
    </cfRule>
    <cfRule type="containsBlanks" dxfId="5715" priority="1444" stopIfTrue="1">
      <formula>LEN(TRIM(I326))=0</formula>
    </cfRule>
  </conditionalFormatting>
  <conditionalFormatting sqref="L318">
    <cfRule type="containsBlanks" dxfId="5714" priority="1431" stopIfTrue="1">
      <formula>LEN(TRIM(L318))=0</formula>
    </cfRule>
    <cfRule type="cellIs" dxfId="5713" priority="1432" stopIfTrue="1" operator="between">
      <formula>79.1</formula>
      <formula>100</formula>
    </cfRule>
    <cfRule type="cellIs" dxfId="5712" priority="1433" stopIfTrue="1" operator="between">
      <formula>34.1</formula>
      <formula>79</formula>
    </cfRule>
    <cfRule type="cellIs" dxfId="5711" priority="1434" stopIfTrue="1" operator="between">
      <formula>13.1</formula>
      <formula>34</formula>
    </cfRule>
    <cfRule type="cellIs" dxfId="5710" priority="1435" stopIfTrue="1" operator="between">
      <formula>5.1</formula>
      <formula>13</formula>
    </cfRule>
    <cfRule type="cellIs" dxfId="5709" priority="1436" stopIfTrue="1" operator="between">
      <formula>0</formula>
      <formula>5</formula>
    </cfRule>
    <cfRule type="containsBlanks" dxfId="5708" priority="1437" stopIfTrue="1">
      <formula>LEN(TRIM(L318))=0</formula>
    </cfRule>
  </conditionalFormatting>
  <conditionalFormatting sqref="E406:J407 E405:F405 H405:J405">
    <cfRule type="containsBlanks" dxfId="5707" priority="1403" stopIfTrue="1">
      <formula>LEN(TRIM(E405))=0</formula>
    </cfRule>
    <cfRule type="cellIs" dxfId="5706" priority="1404" stopIfTrue="1" operator="between">
      <formula>80.1</formula>
      <formula>100</formula>
    </cfRule>
    <cfRule type="cellIs" dxfId="5705" priority="1405" stopIfTrue="1" operator="between">
      <formula>35.1</formula>
      <formula>80</formula>
    </cfRule>
    <cfRule type="cellIs" dxfId="5704" priority="1406" stopIfTrue="1" operator="between">
      <formula>14.1</formula>
      <formula>35</formula>
    </cfRule>
    <cfRule type="cellIs" dxfId="5703" priority="1407" stopIfTrue="1" operator="between">
      <formula>5.1</formula>
      <formula>14</formula>
    </cfRule>
    <cfRule type="cellIs" dxfId="5702" priority="1408" stopIfTrue="1" operator="between">
      <formula>0</formula>
      <formula>5</formula>
    </cfRule>
    <cfRule type="containsBlanks" dxfId="5701" priority="1409" stopIfTrue="1">
      <formula>LEN(TRIM(E405))=0</formula>
    </cfRule>
  </conditionalFormatting>
  <conditionalFormatting sqref="K457:P458 O464:P464">
    <cfRule type="containsBlanks" dxfId="5700" priority="1389" stopIfTrue="1">
      <formula>LEN(TRIM(K457))=0</formula>
    </cfRule>
    <cfRule type="cellIs" dxfId="5699" priority="1390" stopIfTrue="1" operator="between">
      <formula>79.1</formula>
      <formula>100</formula>
    </cfRule>
    <cfRule type="cellIs" dxfId="5698" priority="1391" stopIfTrue="1" operator="between">
      <formula>34.1</formula>
      <formula>79</formula>
    </cfRule>
    <cfRule type="cellIs" dxfId="5697" priority="1392" stopIfTrue="1" operator="between">
      <formula>13.1</formula>
      <formula>34</formula>
    </cfRule>
    <cfRule type="cellIs" dxfId="5696" priority="1393" stopIfTrue="1" operator="between">
      <formula>5.1</formula>
      <formula>13</formula>
    </cfRule>
    <cfRule type="cellIs" dxfId="5695" priority="1394" stopIfTrue="1" operator="between">
      <formula>0</formula>
      <formula>5</formula>
    </cfRule>
    <cfRule type="containsBlanks" dxfId="5694" priority="1395" stopIfTrue="1">
      <formula>LEN(TRIM(K457))=0</formula>
    </cfRule>
  </conditionalFormatting>
  <conditionalFormatting sqref="K22:P37">
    <cfRule type="containsBlanks" dxfId="5693" priority="1396" stopIfTrue="1">
      <formula>LEN(TRIM(K22))=0</formula>
    </cfRule>
    <cfRule type="cellIs" dxfId="5692" priority="1397" stopIfTrue="1" operator="between">
      <formula>79.1</formula>
      <formula>100</formula>
    </cfRule>
    <cfRule type="cellIs" dxfId="5691" priority="1398" stopIfTrue="1" operator="between">
      <formula>34.1</formula>
      <formula>79</formula>
    </cfRule>
    <cfRule type="cellIs" dxfId="5690" priority="1399" stopIfTrue="1" operator="between">
      <formula>13.1</formula>
      <formula>34</formula>
    </cfRule>
    <cfRule type="cellIs" dxfId="5689" priority="1400" stopIfTrue="1" operator="between">
      <formula>5.1</formula>
      <formula>13</formula>
    </cfRule>
    <cfRule type="cellIs" dxfId="5688" priority="1401" stopIfTrue="1" operator="between">
      <formula>0</formula>
      <formula>5</formula>
    </cfRule>
    <cfRule type="containsBlanks" dxfId="5687" priority="1402" stopIfTrue="1">
      <formula>LEN(TRIM(K22))=0</formula>
    </cfRule>
  </conditionalFormatting>
  <conditionalFormatting sqref="Q348">
    <cfRule type="containsBlanks" dxfId="5686" priority="1204" stopIfTrue="1">
      <formula>LEN(TRIM(Q348))=0</formula>
    </cfRule>
    <cfRule type="cellIs" dxfId="5685" priority="1205" stopIfTrue="1" operator="between">
      <formula>80.1</formula>
      <formula>100</formula>
    </cfRule>
    <cfRule type="cellIs" dxfId="5684" priority="1206" stopIfTrue="1" operator="between">
      <formula>35.1</formula>
      <formula>80</formula>
    </cfRule>
    <cfRule type="cellIs" dxfId="5683" priority="1207" stopIfTrue="1" operator="between">
      <formula>14.1</formula>
      <formula>35</formula>
    </cfRule>
    <cfRule type="cellIs" dxfId="5682" priority="1208" stopIfTrue="1" operator="between">
      <formula>5.1</formula>
      <formula>14</formula>
    </cfRule>
    <cfRule type="cellIs" dxfId="5681" priority="1209" stopIfTrue="1" operator="between">
      <formula>0</formula>
      <formula>5</formula>
    </cfRule>
    <cfRule type="containsBlanks" dxfId="5680" priority="1210" stopIfTrue="1">
      <formula>LEN(TRIM(Q348))=0</formula>
    </cfRule>
  </conditionalFormatting>
  <conditionalFormatting sqref="F347:M347 F367:Q367 F363:P366 F368:P374 F358:Q359 F357:P357 F349:Q356 F348:P348 O347:Q347 F362:Q362 J360:Q361">
    <cfRule type="containsBlanks" dxfId="5679" priority="1303" stopIfTrue="1">
      <formula>LEN(TRIM(F347))=0</formula>
    </cfRule>
    <cfRule type="cellIs" dxfId="5678" priority="1304" stopIfTrue="1" operator="between">
      <formula>80.1</formula>
      <formula>100</formula>
    </cfRule>
    <cfRule type="cellIs" dxfId="5677" priority="1305" stopIfTrue="1" operator="between">
      <formula>35.1</formula>
      <formula>80</formula>
    </cfRule>
    <cfRule type="cellIs" dxfId="5676" priority="1306" stopIfTrue="1" operator="between">
      <formula>14.1</formula>
      <formula>35</formula>
    </cfRule>
    <cfRule type="cellIs" dxfId="5675" priority="1307" stopIfTrue="1" operator="between">
      <formula>5.1</formula>
      <formula>14</formula>
    </cfRule>
    <cfRule type="cellIs" dxfId="5674" priority="1308" stopIfTrue="1" operator="between">
      <formula>0</formula>
      <formula>5</formula>
    </cfRule>
    <cfRule type="containsBlanks" dxfId="5673" priority="1309" stopIfTrue="1">
      <formula>LEN(TRIM(F347))=0</formula>
    </cfRule>
  </conditionalFormatting>
  <conditionalFormatting sqref="Q363">
    <cfRule type="containsBlanks" dxfId="5672" priority="1296" stopIfTrue="1">
      <formula>LEN(TRIM(Q363))=0</formula>
    </cfRule>
    <cfRule type="cellIs" dxfId="5671" priority="1297" stopIfTrue="1" operator="between">
      <formula>80.1</formula>
      <formula>100</formula>
    </cfRule>
    <cfRule type="cellIs" dxfId="5670" priority="1298" stopIfTrue="1" operator="between">
      <formula>35.1</formula>
      <formula>80</formula>
    </cfRule>
    <cfRule type="cellIs" dxfId="5669" priority="1299" stopIfTrue="1" operator="between">
      <formula>14.1</formula>
      <formula>35</formula>
    </cfRule>
    <cfRule type="cellIs" dxfId="5668" priority="1300" stopIfTrue="1" operator="between">
      <formula>5.1</formula>
      <formula>14</formula>
    </cfRule>
    <cfRule type="cellIs" dxfId="5667" priority="1301" stopIfTrue="1" operator="between">
      <formula>0</formula>
      <formula>5</formula>
    </cfRule>
    <cfRule type="containsBlanks" dxfId="5666" priority="1302" stopIfTrue="1">
      <formula>LEN(TRIM(Q363))=0</formula>
    </cfRule>
  </conditionalFormatting>
  <conditionalFormatting sqref="Q364">
    <cfRule type="containsBlanks" dxfId="5665" priority="1289" stopIfTrue="1">
      <formula>LEN(TRIM(Q364))=0</formula>
    </cfRule>
    <cfRule type="cellIs" dxfId="5664" priority="1290" stopIfTrue="1" operator="between">
      <formula>80.1</formula>
      <formula>100</formula>
    </cfRule>
    <cfRule type="cellIs" dxfId="5663" priority="1291" stopIfTrue="1" operator="between">
      <formula>35.1</formula>
      <formula>80</formula>
    </cfRule>
    <cfRule type="cellIs" dxfId="5662" priority="1292" stopIfTrue="1" operator="between">
      <formula>14.1</formula>
      <formula>35</formula>
    </cfRule>
    <cfRule type="cellIs" dxfId="5661" priority="1293" stopIfTrue="1" operator="between">
      <formula>5.1</formula>
      <formula>14</formula>
    </cfRule>
    <cfRule type="cellIs" dxfId="5660" priority="1294" stopIfTrue="1" operator="between">
      <formula>0</formula>
      <formula>5</formula>
    </cfRule>
    <cfRule type="containsBlanks" dxfId="5659" priority="1295" stopIfTrue="1">
      <formula>LEN(TRIM(Q364))=0</formula>
    </cfRule>
  </conditionalFormatting>
  <conditionalFormatting sqref="Q365">
    <cfRule type="containsBlanks" dxfId="5658" priority="1282" stopIfTrue="1">
      <formula>LEN(TRIM(Q365))=0</formula>
    </cfRule>
    <cfRule type="cellIs" dxfId="5657" priority="1283" stopIfTrue="1" operator="between">
      <formula>80.1</formula>
      <formula>100</formula>
    </cfRule>
    <cfRule type="cellIs" dxfId="5656" priority="1284" stopIfTrue="1" operator="between">
      <formula>35.1</formula>
      <formula>80</formula>
    </cfRule>
    <cfRule type="cellIs" dxfId="5655" priority="1285" stopIfTrue="1" operator="between">
      <formula>14.1</formula>
      <formula>35</formula>
    </cfRule>
    <cfRule type="cellIs" dxfId="5654" priority="1286" stopIfTrue="1" operator="between">
      <formula>5.1</formula>
      <formula>14</formula>
    </cfRule>
    <cfRule type="cellIs" dxfId="5653" priority="1287" stopIfTrue="1" operator="between">
      <formula>0</formula>
      <formula>5</formula>
    </cfRule>
    <cfRule type="containsBlanks" dxfId="5652" priority="1288" stopIfTrue="1">
      <formula>LEN(TRIM(Q365))=0</formula>
    </cfRule>
  </conditionalFormatting>
  <conditionalFormatting sqref="Q366">
    <cfRule type="containsBlanks" dxfId="5651" priority="1275" stopIfTrue="1">
      <formula>LEN(TRIM(Q366))=0</formula>
    </cfRule>
    <cfRule type="cellIs" dxfId="5650" priority="1276" stopIfTrue="1" operator="between">
      <formula>80.1</formula>
      <formula>100</formula>
    </cfRule>
    <cfRule type="cellIs" dxfId="5649" priority="1277" stopIfTrue="1" operator="between">
      <formula>35.1</formula>
      <formula>80</formula>
    </cfRule>
    <cfRule type="cellIs" dxfId="5648" priority="1278" stopIfTrue="1" operator="between">
      <formula>14.1</formula>
      <formula>35</formula>
    </cfRule>
    <cfRule type="cellIs" dxfId="5647" priority="1279" stopIfTrue="1" operator="between">
      <formula>5.1</formula>
      <formula>14</formula>
    </cfRule>
    <cfRule type="cellIs" dxfId="5646" priority="1280" stopIfTrue="1" operator="between">
      <formula>0</formula>
      <formula>5</formula>
    </cfRule>
    <cfRule type="containsBlanks" dxfId="5645" priority="1281" stopIfTrue="1">
      <formula>LEN(TRIM(Q366))=0</formula>
    </cfRule>
  </conditionalFormatting>
  <conditionalFormatting sqref="Q368">
    <cfRule type="containsBlanks" dxfId="5644" priority="1268" stopIfTrue="1">
      <formula>LEN(TRIM(Q368))=0</formula>
    </cfRule>
    <cfRule type="cellIs" dxfId="5643" priority="1269" stopIfTrue="1" operator="between">
      <formula>80.1</formula>
      <formula>100</formula>
    </cfRule>
    <cfRule type="cellIs" dxfId="5642" priority="1270" stopIfTrue="1" operator="between">
      <formula>35.1</formula>
      <formula>80</formula>
    </cfRule>
    <cfRule type="cellIs" dxfId="5641" priority="1271" stopIfTrue="1" operator="between">
      <formula>14.1</formula>
      <formula>35</formula>
    </cfRule>
    <cfRule type="cellIs" dxfId="5640" priority="1272" stopIfTrue="1" operator="between">
      <formula>5.1</formula>
      <formula>14</formula>
    </cfRule>
    <cfRule type="cellIs" dxfId="5639" priority="1273" stopIfTrue="1" operator="between">
      <formula>0</formula>
      <formula>5</formula>
    </cfRule>
    <cfRule type="containsBlanks" dxfId="5638" priority="1274" stopIfTrue="1">
      <formula>LEN(TRIM(Q368))=0</formula>
    </cfRule>
  </conditionalFormatting>
  <conditionalFormatting sqref="Q369">
    <cfRule type="containsBlanks" dxfId="5637" priority="1261" stopIfTrue="1">
      <formula>LEN(TRIM(Q369))=0</formula>
    </cfRule>
    <cfRule type="cellIs" dxfId="5636" priority="1262" stopIfTrue="1" operator="between">
      <formula>80.1</formula>
      <formula>100</formula>
    </cfRule>
    <cfRule type="cellIs" dxfId="5635" priority="1263" stopIfTrue="1" operator="between">
      <formula>35.1</formula>
      <formula>80</formula>
    </cfRule>
    <cfRule type="cellIs" dxfId="5634" priority="1264" stopIfTrue="1" operator="between">
      <formula>14.1</formula>
      <formula>35</formula>
    </cfRule>
    <cfRule type="cellIs" dxfId="5633" priority="1265" stopIfTrue="1" operator="between">
      <formula>5.1</formula>
      <formula>14</formula>
    </cfRule>
    <cfRule type="cellIs" dxfId="5632" priority="1266" stopIfTrue="1" operator="between">
      <formula>0</formula>
      <formula>5</formula>
    </cfRule>
    <cfRule type="containsBlanks" dxfId="5631" priority="1267" stopIfTrue="1">
      <formula>LEN(TRIM(Q369))=0</formula>
    </cfRule>
  </conditionalFormatting>
  <conditionalFormatting sqref="Q370">
    <cfRule type="containsBlanks" dxfId="5630" priority="1254" stopIfTrue="1">
      <formula>LEN(TRIM(Q370))=0</formula>
    </cfRule>
    <cfRule type="cellIs" dxfId="5629" priority="1255" stopIfTrue="1" operator="between">
      <formula>80.1</formula>
      <formula>100</formula>
    </cfRule>
    <cfRule type="cellIs" dxfId="5628" priority="1256" stopIfTrue="1" operator="between">
      <formula>35.1</formula>
      <formula>80</formula>
    </cfRule>
    <cfRule type="cellIs" dxfId="5627" priority="1257" stopIfTrue="1" operator="between">
      <formula>14.1</formula>
      <formula>35</formula>
    </cfRule>
    <cfRule type="cellIs" dxfId="5626" priority="1258" stopIfTrue="1" operator="between">
      <formula>5.1</formula>
      <formula>14</formula>
    </cfRule>
    <cfRule type="cellIs" dxfId="5625" priority="1259" stopIfTrue="1" operator="between">
      <formula>0</formula>
      <formula>5</formula>
    </cfRule>
    <cfRule type="containsBlanks" dxfId="5624" priority="1260" stopIfTrue="1">
      <formula>LEN(TRIM(Q370))=0</formula>
    </cfRule>
  </conditionalFormatting>
  <conditionalFormatting sqref="Q371">
    <cfRule type="containsBlanks" dxfId="5623" priority="1247" stopIfTrue="1">
      <formula>LEN(TRIM(Q371))=0</formula>
    </cfRule>
    <cfRule type="cellIs" dxfId="5622" priority="1248" stopIfTrue="1" operator="between">
      <formula>80.1</formula>
      <formula>100</formula>
    </cfRule>
    <cfRule type="cellIs" dxfId="5621" priority="1249" stopIfTrue="1" operator="between">
      <formula>35.1</formula>
      <formula>80</formula>
    </cfRule>
    <cfRule type="cellIs" dxfId="5620" priority="1250" stopIfTrue="1" operator="between">
      <formula>14.1</formula>
      <formula>35</formula>
    </cfRule>
    <cfRule type="cellIs" dxfId="5619" priority="1251" stopIfTrue="1" operator="between">
      <formula>5.1</formula>
      <formula>14</formula>
    </cfRule>
    <cfRule type="cellIs" dxfId="5618" priority="1252" stopIfTrue="1" operator="between">
      <formula>0</formula>
      <formula>5</formula>
    </cfRule>
    <cfRule type="containsBlanks" dxfId="5617" priority="1253" stopIfTrue="1">
      <formula>LEN(TRIM(Q371))=0</formula>
    </cfRule>
  </conditionalFormatting>
  <conditionalFormatting sqref="Q372">
    <cfRule type="containsBlanks" dxfId="5616" priority="1240" stopIfTrue="1">
      <formula>LEN(TRIM(Q372))=0</formula>
    </cfRule>
    <cfRule type="cellIs" dxfId="5615" priority="1241" stopIfTrue="1" operator="between">
      <formula>80.1</formula>
      <formula>100</formula>
    </cfRule>
    <cfRule type="cellIs" dxfId="5614" priority="1242" stopIfTrue="1" operator="between">
      <formula>35.1</formula>
      <formula>80</formula>
    </cfRule>
    <cfRule type="cellIs" dxfId="5613" priority="1243" stopIfTrue="1" operator="between">
      <formula>14.1</formula>
      <formula>35</formula>
    </cfRule>
    <cfRule type="cellIs" dxfId="5612" priority="1244" stopIfTrue="1" operator="between">
      <formula>5.1</formula>
      <formula>14</formula>
    </cfRule>
    <cfRule type="cellIs" dxfId="5611" priority="1245" stopIfTrue="1" operator="between">
      <formula>0</formula>
      <formula>5</formula>
    </cfRule>
    <cfRule type="containsBlanks" dxfId="5610" priority="1246" stopIfTrue="1">
      <formula>LEN(TRIM(Q372))=0</formula>
    </cfRule>
  </conditionalFormatting>
  <conditionalFormatting sqref="Q357">
    <cfRule type="containsBlanks" dxfId="5609" priority="1219" stopIfTrue="1">
      <formula>LEN(TRIM(Q357))=0</formula>
    </cfRule>
    <cfRule type="cellIs" dxfId="5608" priority="1220" stopIfTrue="1" operator="between">
      <formula>80.1</formula>
      <formula>100</formula>
    </cfRule>
    <cfRule type="cellIs" dxfId="5607" priority="1221" stopIfTrue="1" operator="between">
      <formula>35.1</formula>
      <formula>80</formula>
    </cfRule>
    <cfRule type="cellIs" dxfId="5606" priority="1222" stopIfTrue="1" operator="between">
      <formula>14.1</formula>
      <formula>35</formula>
    </cfRule>
    <cfRule type="cellIs" dxfId="5605" priority="1223" stopIfTrue="1" operator="between">
      <formula>5.1</formula>
      <formula>14</formula>
    </cfRule>
    <cfRule type="cellIs" dxfId="5604" priority="1224" stopIfTrue="1" operator="between">
      <formula>0</formula>
      <formula>5</formula>
    </cfRule>
    <cfRule type="containsBlanks" dxfId="5603" priority="1225" stopIfTrue="1">
      <formula>LEN(TRIM(Q357))=0</formula>
    </cfRule>
  </conditionalFormatting>
  <conditionalFormatting sqref="Q374">
    <cfRule type="containsBlanks" dxfId="5602" priority="1211" stopIfTrue="1">
      <formula>LEN(TRIM(Q374))=0</formula>
    </cfRule>
    <cfRule type="cellIs" dxfId="5601" priority="1212" stopIfTrue="1" operator="between">
      <formula>80.1</formula>
      <formula>100</formula>
    </cfRule>
    <cfRule type="cellIs" dxfId="5600" priority="1213" stopIfTrue="1" operator="between">
      <formula>35.1</formula>
      <formula>80</formula>
    </cfRule>
    <cfRule type="cellIs" dxfId="5599" priority="1214" stopIfTrue="1" operator="between">
      <formula>14.1</formula>
      <formula>35</formula>
    </cfRule>
    <cfRule type="cellIs" dxfId="5598" priority="1215" stopIfTrue="1" operator="between">
      <formula>5.1</formula>
      <formula>14</formula>
    </cfRule>
    <cfRule type="cellIs" dxfId="5597" priority="1216" stopIfTrue="1" operator="between">
      <formula>0</formula>
      <formula>5</formula>
    </cfRule>
    <cfRule type="containsBlanks" dxfId="5596" priority="1217" stopIfTrue="1">
      <formula>LEN(TRIM(Q374))=0</formula>
    </cfRule>
  </conditionalFormatting>
  <conditionalFormatting sqref="Q373">
    <cfRule type="containsBlanks" dxfId="5595" priority="1197" stopIfTrue="1">
      <formula>LEN(TRIM(Q373))=0</formula>
    </cfRule>
    <cfRule type="cellIs" dxfId="5594" priority="1198" stopIfTrue="1" operator="between">
      <formula>80.1</formula>
      <formula>100</formula>
    </cfRule>
    <cfRule type="cellIs" dxfId="5593" priority="1199" stopIfTrue="1" operator="between">
      <formula>35.1</formula>
      <formula>80</formula>
    </cfRule>
    <cfRule type="cellIs" dxfId="5592" priority="1200" stopIfTrue="1" operator="between">
      <formula>14.1</formula>
      <formula>35</formula>
    </cfRule>
    <cfRule type="cellIs" dxfId="5591" priority="1201" stopIfTrue="1" operator="between">
      <formula>5.1</formula>
      <formula>14</formula>
    </cfRule>
    <cfRule type="cellIs" dxfId="5590" priority="1202" stopIfTrue="1" operator="between">
      <formula>0</formula>
      <formula>5</formula>
    </cfRule>
    <cfRule type="containsBlanks" dxfId="5589" priority="1203" stopIfTrue="1">
      <formula>LEN(TRIM(Q373))=0</formula>
    </cfRule>
  </conditionalFormatting>
  <conditionalFormatting sqref="E417:P417">
    <cfRule type="containsBlanks" dxfId="5588" priority="1190" stopIfTrue="1">
      <formula>LEN(TRIM(E417))=0</formula>
    </cfRule>
    <cfRule type="cellIs" dxfId="5587" priority="1191" stopIfTrue="1" operator="between">
      <formula>79.1</formula>
      <formula>100</formula>
    </cfRule>
    <cfRule type="cellIs" dxfId="5586" priority="1192" stopIfTrue="1" operator="between">
      <formula>34.1</formula>
      <formula>79</formula>
    </cfRule>
    <cfRule type="cellIs" dxfId="5585" priority="1193" stopIfTrue="1" operator="between">
      <formula>13.1</formula>
      <formula>34</formula>
    </cfRule>
    <cfRule type="cellIs" dxfId="5584" priority="1194" stopIfTrue="1" operator="between">
      <formula>5.1</formula>
      <formula>13</formula>
    </cfRule>
    <cfRule type="cellIs" dxfId="5583" priority="1195" stopIfTrue="1" operator="between">
      <formula>0</formula>
      <formula>5</formula>
    </cfRule>
    <cfRule type="containsBlanks" dxfId="5582" priority="1196" stopIfTrue="1">
      <formula>LEN(TRIM(E417))=0</formula>
    </cfRule>
  </conditionalFormatting>
  <conditionalFormatting sqref="E437:P437">
    <cfRule type="containsBlanks" dxfId="5581" priority="1183" stopIfTrue="1">
      <formula>LEN(TRIM(E437))=0</formula>
    </cfRule>
    <cfRule type="cellIs" dxfId="5580" priority="1184" stopIfTrue="1" operator="between">
      <formula>79.1</formula>
      <formula>100</formula>
    </cfRule>
    <cfRule type="cellIs" dxfId="5579" priority="1185" stopIfTrue="1" operator="between">
      <formula>34.1</formula>
      <formula>79</formula>
    </cfRule>
    <cfRule type="cellIs" dxfId="5578" priority="1186" stopIfTrue="1" operator="between">
      <formula>13.1</formula>
      <formula>34</formula>
    </cfRule>
    <cfRule type="cellIs" dxfId="5577" priority="1187" stopIfTrue="1" operator="between">
      <formula>5.1</formula>
      <formula>13</formula>
    </cfRule>
    <cfRule type="cellIs" dxfId="5576" priority="1188" stopIfTrue="1" operator="between">
      <formula>0</formula>
      <formula>5</formula>
    </cfRule>
    <cfRule type="containsBlanks" dxfId="5575" priority="1189" stopIfTrue="1">
      <formula>LEN(TRIM(E437))=0</formula>
    </cfRule>
  </conditionalFormatting>
  <conditionalFormatting sqref="E432:P432">
    <cfRule type="containsBlanks" dxfId="5574" priority="1176" stopIfTrue="1">
      <formula>LEN(TRIM(E432))=0</formula>
    </cfRule>
    <cfRule type="cellIs" dxfId="5573" priority="1177" stopIfTrue="1" operator="between">
      <formula>79.1</formula>
      <formula>100</formula>
    </cfRule>
    <cfRule type="cellIs" dxfId="5572" priority="1178" stopIfTrue="1" operator="between">
      <formula>34.1</formula>
      <formula>79</formula>
    </cfRule>
    <cfRule type="cellIs" dxfId="5571" priority="1179" stopIfTrue="1" operator="between">
      <formula>13.1</formula>
      <formula>34</formula>
    </cfRule>
    <cfRule type="cellIs" dxfId="5570" priority="1180" stopIfTrue="1" operator="between">
      <formula>5.1</formula>
      <formula>13</formula>
    </cfRule>
    <cfRule type="cellIs" dxfId="5569" priority="1181" stopIfTrue="1" operator="between">
      <formula>0</formula>
      <formula>5</formula>
    </cfRule>
    <cfRule type="containsBlanks" dxfId="5568" priority="1182" stopIfTrue="1">
      <formula>LEN(TRIM(E432))=0</formula>
    </cfRule>
  </conditionalFormatting>
  <conditionalFormatting sqref="E418:P418">
    <cfRule type="containsBlanks" dxfId="5567" priority="1169" stopIfTrue="1">
      <formula>LEN(TRIM(E418))=0</formula>
    </cfRule>
    <cfRule type="cellIs" dxfId="5566" priority="1170" stopIfTrue="1" operator="between">
      <formula>79.1</formula>
      <formula>100</formula>
    </cfRule>
    <cfRule type="cellIs" dxfId="5565" priority="1171" stopIfTrue="1" operator="between">
      <formula>34.1</formula>
      <formula>79</formula>
    </cfRule>
    <cfRule type="cellIs" dxfId="5564" priority="1172" stopIfTrue="1" operator="between">
      <formula>13.1</formula>
      <formula>34</formula>
    </cfRule>
    <cfRule type="cellIs" dxfId="5563" priority="1173" stopIfTrue="1" operator="between">
      <formula>5.1</formula>
      <formula>13</formula>
    </cfRule>
    <cfRule type="cellIs" dxfId="5562" priority="1174" stopIfTrue="1" operator="between">
      <formula>0</formula>
      <formula>5</formula>
    </cfRule>
    <cfRule type="containsBlanks" dxfId="5561" priority="1175" stopIfTrue="1">
      <formula>LEN(TRIM(E418))=0</formula>
    </cfRule>
  </conditionalFormatting>
  <conditionalFormatting sqref="E412:P412">
    <cfRule type="containsBlanks" dxfId="5560" priority="1162" stopIfTrue="1">
      <formula>LEN(TRIM(E412))=0</formula>
    </cfRule>
    <cfRule type="cellIs" dxfId="5559" priority="1163" stopIfTrue="1" operator="between">
      <formula>79.1</formula>
      <formula>100</formula>
    </cfRule>
    <cfRule type="cellIs" dxfId="5558" priority="1164" stopIfTrue="1" operator="between">
      <formula>34.1</formula>
      <formula>79</formula>
    </cfRule>
    <cfRule type="cellIs" dxfId="5557" priority="1165" stopIfTrue="1" operator="between">
      <formula>13.1</formula>
      <formula>34</formula>
    </cfRule>
    <cfRule type="cellIs" dxfId="5556" priority="1166" stopIfTrue="1" operator="between">
      <formula>5.1</formula>
      <formula>13</formula>
    </cfRule>
    <cfRule type="cellIs" dxfId="5555" priority="1167" stopIfTrue="1" operator="between">
      <formula>0</formula>
      <formula>5</formula>
    </cfRule>
    <cfRule type="containsBlanks" dxfId="5554" priority="1168" stopIfTrue="1">
      <formula>LEN(TRIM(E412))=0</formula>
    </cfRule>
  </conditionalFormatting>
  <conditionalFormatting sqref="E429:P429">
    <cfRule type="containsBlanks" dxfId="5553" priority="1155" stopIfTrue="1">
      <formula>LEN(TRIM(E429))=0</formula>
    </cfRule>
    <cfRule type="cellIs" dxfId="5552" priority="1156" stopIfTrue="1" operator="between">
      <formula>79.1</formula>
      <formula>100</formula>
    </cfRule>
    <cfRule type="cellIs" dxfId="5551" priority="1157" stopIfTrue="1" operator="between">
      <formula>34.1</formula>
      <formula>79</formula>
    </cfRule>
    <cfRule type="cellIs" dxfId="5550" priority="1158" stopIfTrue="1" operator="between">
      <formula>13.1</formula>
      <formula>34</formula>
    </cfRule>
    <cfRule type="cellIs" dxfId="5549" priority="1159" stopIfTrue="1" operator="between">
      <formula>5.1</formula>
      <formula>13</formula>
    </cfRule>
    <cfRule type="cellIs" dxfId="5548" priority="1160" stopIfTrue="1" operator="between">
      <formula>0</formula>
      <formula>5</formula>
    </cfRule>
    <cfRule type="containsBlanks" dxfId="5547" priority="1161" stopIfTrue="1">
      <formula>LEN(TRIM(E429))=0</formula>
    </cfRule>
  </conditionalFormatting>
  <conditionalFormatting sqref="E438:P438">
    <cfRule type="containsBlanks" dxfId="5546" priority="1148" stopIfTrue="1">
      <formula>LEN(TRIM(E438))=0</formula>
    </cfRule>
    <cfRule type="cellIs" dxfId="5545" priority="1149" stopIfTrue="1" operator="between">
      <formula>79.1</formula>
      <formula>100</formula>
    </cfRule>
    <cfRule type="cellIs" dxfId="5544" priority="1150" stopIfTrue="1" operator="between">
      <formula>34.1</formula>
      <formula>79</formula>
    </cfRule>
    <cfRule type="cellIs" dxfId="5543" priority="1151" stopIfTrue="1" operator="between">
      <formula>13.1</formula>
      <formula>34</formula>
    </cfRule>
    <cfRule type="cellIs" dxfId="5542" priority="1152" stopIfTrue="1" operator="between">
      <formula>5.1</formula>
      <formula>13</formula>
    </cfRule>
    <cfRule type="cellIs" dxfId="5541" priority="1153" stopIfTrue="1" operator="between">
      <formula>0</formula>
      <formula>5</formula>
    </cfRule>
    <cfRule type="containsBlanks" dxfId="5540" priority="1154" stopIfTrue="1">
      <formula>LEN(TRIM(E438))=0</formula>
    </cfRule>
  </conditionalFormatting>
  <conditionalFormatting sqref="E420:P420">
    <cfRule type="containsBlanks" dxfId="5539" priority="1141" stopIfTrue="1">
      <formula>LEN(TRIM(E420))=0</formula>
    </cfRule>
    <cfRule type="cellIs" dxfId="5538" priority="1142" stopIfTrue="1" operator="between">
      <formula>79.1</formula>
      <formula>100</formula>
    </cfRule>
    <cfRule type="cellIs" dxfId="5537" priority="1143" stopIfTrue="1" operator="between">
      <formula>34.1</formula>
      <formula>79</formula>
    </cfRule>
    <cfRule type="cellIs" dxfId="5536" priority="1144" stopIfTrue="1" operator="between">
      <formula>13.1</formula>
      <formula>34</formula>
    </cfRule>
    <cfRule type="cellIs" dxfId="5535" priority="1145" stopIfTrue="1" operator="between">
      <formula>5.1</formula>
      <formula>13</formula>
    </cfRule>
    <cfRule type="cellIs" dxfId="5534" priority="1146" stopIfTrue="1" operator="between">
      <formula>0</formula>
      <formula>5</formula>
    </cfRule>
    <cfRule type="containsBlanks" dxfId="5533" priority="1147" stopIfTrue="1">
      <formula>LEN(TRIM(E420))=0</formula>
    </cfRule>
  </conditionalFormatting>
  <conditionalFormatting sqref="E423:P423">
    <cfRule type="containsBlanks" dxfId="5532" priority="1134" stopIfTrue="1">
      <formula>LEN(TRIM(E423))=0</formula>
    </cfRule>
    <cfRule type="cellIs" dxfId="5531" priority="1135" stopIfTrue="1" operator="between">
      <formula>79.1</formula>
      <formula>100</formula>
    </cfRule>
    <cfRule type="cellIs" dxfId="5530" priority="1136" stopIfTrue="1" operator="between">
      <formula>34.1</formula>
      <formula>79</formula>
    </cfRule>
    <cfRule type="cellIs" dxfId="5529" priority="1137" stopIfTrue="1" operator="between">
      <formula>13.1</formula>
      <formula>34</formula>
    </cfRule>
    <cfRule type="cellIs" dxfId="5528" priority="1138" stopIfTrue="1" operator="between">
      <formula>5.1</formula>
      <formula>13</formula>
    </cfRule>
    <cfRule type="cellIs" dxfId="5527" priority="1139" stopIfTrue="1" operator="between">
      <formula>0</formula>
      <formula>5</formula>
    </cfRule>
    <cfRule type="containsBlanks" dxfId="5526" priority="1140" stopIfTrue="1">
      <formula>LEN(TRIM(E423))=0</formula>
    </cfRule>
  </conditionalFormatting>
  <conditionalFormatting sqref="E408:P408">
    <cfRule type="containsBlanks" dxfId="5525" priority="1127" stopIfTrue="1">
      <formula>LEN(TRIM(E408))=0</formula>
    </cfRule>
    <cfRule type="cellIs" dxfId="5524" priority="1128" stopIfTrue="1" operator="between">
      <formula>79.1</formula>
      <formula>100</formula>
    </cfRule>
    <cfRule type="cellIs" dxfId="5523" priority="1129" stopIfTrue="1" operator="between">
      <formula>34.1</formula>
      <formula>79</formula>
    </cfRule>
    <cfRule type="cellIs" dxfId="5522" priority="1130" stopIfTrue="1" operator="between">
      <formula>13.1</formula>
      <formula>34</formula>
    </cfRule>
    <cfRule type="cellIs" dxfId="5521" priority="1131" stopIfTrue="1" operator="between">
      <formula>5.1</formula>
      <formula>13</formula>
    </cfRule>
    <cfRule type="cellIs" dxfId="5520" priority="1132" stopIfTrue="1" operator="between">
      <formula>0</formula>
      <formula>5</formula>
    </cfRule>
    <cfRule type="containsBlanks" dxfId="5519" priority="1133" stopIfTrue="1">
      <formula>LEN(TRIM(E408))=0</formula>
    </cfRule>
  </conditionalFormatting>
  <conditionalFormatting sqref="E411:H411 J411:N411">
    <cfRule type="containsBlanks" dxfId="5518" priority="1120" stopIfTrue="1">
      <formula>LEN(TRIM(E411))=0</formula>
    </cfRule>
    <cfRule type="cellIs" dxfId="5517" priority="1121" stopIfTrue="1" operator="between">
      <formula>79.1</formula>
      <formula>100</formula>
    </cfRule>
    <cfRule type="cellIs" dxfId="5516" priority="1122" stopIfTrue="1" operator="between">
      <formula>34.1</formula>
      <formula>79</formula>
    </cfRule>
    <cfRule type="cellIs" dxfId="5515" priority="1123" stopIfTrue="1" operator="between">
      <formula>13.1</formula>
      <formula>34</formula>
    </cfRule>
    <cfRule type="cellIs" dxfId="5514" priority="1124" stopIfTrue="1" operator="between">
      <formula>5.1</formula>
      <formula>13</formula>
    </cfRule>
    <cfRule type="cellIs" dxfId="5513" priority="1125" stopIfTrue="1" operator="between">
      <formula>0</formula>
      <formula>5</formula>
    </cfRule>
    <cfRule type="containsBlanks" dxfId="5512" priority="1126" stopIfTrue="1">
      <formula>LEN(TRIM(E411))=0</formula>
    </cfRule>
  </conditionalFormatting>
  <conditionalFormatting sqref="E410:O410 I411">
    <cfRule type="containsBlanks" dxfId="5511" priority="1113" stopIfTrue="1">
      <formula>LEN(TRIM(E410))=0</formula>
    </cfRule>
    <cfRule type="cellIs" dxfId="5510" priority="1114" stopIfTrue="1" operator="between">
      <formula>79.1</formula>
      <formula>100</formula>
    </cfRule>
    <cfRule type="cellIs" dxfId="5509" priority="1115" stopIfTrue="1" operator="between">
      <formula>34.1</formula>
      <formula>79</formula>
    </cfRule>
    <cfRule type="cellIs" dxfId="5508" priority="1116" stopIfTrue="1" operator="between">
      <formula>13.1</formula>
      <formula>34</formula>
    </cfRule>
    <cfRule type="cellIs" dxfId="5507" priority="1117" stopIfTrue="1" operator="between">
      <formula>5.1</formula>
      <formula>13</formula>
    </cfRule>
    <cfRule type="cellIs" dxfId="5506" priority="1118" stopIfTrue="1" operator="between">
      <formula>0</formula>
      <formula>5</formula>
    </cfRule>
    <cfRule type="containsBlanks" dxfId="5505" priority="1119" stopIfTrue="1">
      <formula>LEN(TRIM(E410))=0</formula>
    </cfRule>
  </conditionalFormatting>
  <conditionalFormatting sqref="E403:P403">
    <cfRule type="containsBlanks" dxfId="5504" priority="1106" stopIfTrue="1">
      <formula>LEN(TRIM(E403))=0</formula>
    </cfRule>
    <cfRule type="cellIs" dxfId="5503" priority="1107" stopIfTrue="1" operator="between">
      <formula>79.1</formula>
      <formula>100</formula>
    </cfRule>
    <cfRule type="cellIs" dxfId="5502" priority="1108" stopIfTrue="1" operator="between">
      <formula>34.1</formula>
      <formula>79</formula>
    </cfRule>
    <cfRule type="cellIs" dxfId="5501" priority="1109" stopIfTrue="1" operator="between">
      <formula>13.1</formula>
      <formula>34</formula>
    </cfRule>
    <cfRule type="cellIs" dxfId="5500" priority="1110" stopIfTrue="1" operator="between">
      <formula>5.1</formula>
      <formula>13</formula>
    </cfRule>
    <cfRule type="cellIs" dxfId="5499" priority="1111" stopIfTrue="1" operator="between">
      <formula>0</formula>
      <formula>5</formula>
    </cfRule>
    <cfRule type="containsBlanks" dxfId="5498" priority="1112" stopIfTrue="1">
      <formula>LEN(TRIM(E403))=0</formula>
    </cfRule>
  </conditionalFormatting>
  <conditionalFormatting sqref="E424:N424">
    <cfRule type="containsBlanks" dxfId="5497" priority="1099" stopIfTrue="1">
      <formula>LEN(TRIM(E424))=0</formula>
    </cfRule>
    <cfRule type="cellIs" dxfId="5496" priority="1100" stopIfTrue="1" operator="between">
      <formula>79.1</formula>
      <formula>100</formula>
    </cfRule>
    <cfRule type="cellIs" dxfId="5495" priority="1101" stopIfTrue="1" operator="between">
      <formula>34.1</formula>
      <formula>79</formula>
    </cfRule>
    <cfRule type="cellIs" dxfId="5494" priority="1102" stopIfTrue="1" operator="between">
      <formula>13.1</formula>
      <formula>34</formula>
    </cfRule>
    <cfRule type="cellIs" dxfId="5493" priority="1103" stopIfTrue="1" operator="between">
      <formula>5.1</formula>
      <formula>13</formula>
    </cfRule>
    <cfRule type="cellIs" dxfId="5492" priority="1104" stopIfTrue="1" operator="between">
      <formula>0</formula>
      <formula>5</formula>
    </cfRule>
    <cfRule type="containsBlanks" dxfId="5491" priority="1105" stopIfTrue="1">
      <formula>LEN(TRIM(E424))=0</formula>
    </cfRule>
  </conditionalFormatting>
  <conditionalFormatting sqref="E439:O439">
    <cfRule type="containsBlanks" dxfId="5490" priority="1092" stopIfTrue="1">
      <formula>LEN(TRIM(E439))=0</formula>
    </cfRule>
    <cfRule type="cellIs" dxfId="5489" priority="1093" stopIfTrue="1" operator="between">
      <formula>79.1</formula>
      <formula>100</formula>
    </cfRule>
    <cfRule type="cellIs" dxfId="5488" priority="1094" stopIfTrue="1" operator="between">
      <formula>34.1</formula>
      <formula>79</formula>
    </cfRule>
    <cfRule type="cellIs" dxfId="5487" priority="1095" stopIfTrue="1" operator="between">
      <formula>13.1</formula>
      <formula>34</formula>
    </cfRule>
    <cfRule type="cellIs" dxfId="5486" priority="1096" stopIfTrue="1" operator="between">
      <formula>5.1</formula>
      <formula>13</formula>
    </cfRule>
    <cfRule type="cellIs" dxfId="5485" priority="1097" stopIfTrue="1" operator="between">
      <formula>0</formula>
      <formula>5</formula>
    </cfRule>
    <cfRule type="containsBlanks" dxfId="5484" priority="1098" stopIfTrue="1">
      <formula>LEN(TRIM(E439))=0</formula>
    </cfRule>
  </conditionalFormatting>
  <conditionalFormatting sqref="E419:M419">
    <cfRule type="containsBlanks" dxfId="5483" priority="1085" stopIfTrue="1">
      <formula>LEN(TRIM(E419))=0</formula>
    </cfRule>
    <cfRule type="cellIs" dxfId="5482" priority="1086" stopIfTrue="1" operator="between">
      <formula>79.1</formula>
      <formula>100</formula>
    </cfRule>
    <cfRule type="cellIs" dxfId="5481" priority="1087" stopIfTrue="1" operator="between">
      <formula>34.1</formula>
      <formula>79</formula>
    </cfRule>
    <cfRule type="cellIs" dxfId="5480" priority="1088" stopIfTrue="1" operator="between">
      <formula>13.1</formula>
      <formula>34</formula>
    </cfRule>
    <cfRule type="cellIs" dxfId="5479" priority="1089" stopIfTrue="1" operator="between">
      <formula>5.1</formula>
      <formula>13</formula>
    </cfRule>
    <cfRule type="cellIs" dxfId="5478" priority="1090" stopIfTrue="1" operator="between">
      <formula>0</formula>
      <formula>5</formula>
    </cfRule>
    <cfRule type="containsBlanks" dxfId="5477" priority="1091" stopIfTrue="1">
      <formula>LEN(TRIM(E419))=0</formula>
    </cfRule>
  </conditionalFormatting>
  <conditionalFormatting sqref="E433:L433">
    <cfRule type="containsBlanks" dxfId="5476" priority="1078" stopIfTrue="1">
      <formula>LEN(TRIM(E433))=0</formula>
    </cfRule>
    <cfRule type="cellIs" dxfId="5475" priority="1079" stopIfTrue="1" operator="between">
      <formula>79.1</formula>
      <formula>100</formula>
    </cfRule>
    <cfRule type="cellIs" dxfId="5474" priority="1080" stopIfTrue="1" operator="between">
      <formula>34.1</formula>
      <formula>79</formula>
    </cfRule>
    <cfRule type="cellIs" dxfId="5473" priority="1081" stopIfTrue="1" operator="between">
      <formula>13.1</formula>
      <formula>34</formula>
    </cfRule>
    <cfRule type="cellIs" dxfId="5472" priority="1082" stopIfTrue="1" operator="between">
      <formula>5.1</formula>
      <formula>13</formula>
    </cfRule>
    <cfRule type="cellIs" dxfId="5471" priority="1083" stopIfTrue="1" operator="between">
      <formula>0</formula>
      <formula>5</formula>
    </cfRule>
    <cfRule type="containsBlanks" dxfId="5470" priority="1084" stopIfTrue="1">
      <formula>LEN(TRIM(E433))=0</formula>
    </cfRule>
  </conditionalFormatting>
  <conditionalFormatting sqref="E422:N422">
    <cfRule type="containsBlanks" dxfId="5469" priority="1071" stopIfTrue="1">
      <formula>LEN(TRIM(E422))=0</formula>
    </cfRule>
    <cfRule type="cellIs" dxfId="5468" priority="1072" stopIfTrue="1" operator="between">
      <formula>79.1</formula>
      <formula>100</formula>
    </cfRule>
    <cfRule type="cellIs" dxfId="5467" priority="1073" stopIfTrue="1" operator="between">
      <formula>34.1</formula>
      <formula>79</formula>
    </cfRule>
    <cfRule type="cellIs" dxfId="5466" priority="1074" stopIfTrue="1" operator="between">
      <formula>13.1</formula>
      <formula>34</formula>
    </cfRule>
    <cfRule type="cellIs" dxfId="5465" priority="1075" stopIfTrue="1" operator="between">
      <formula>5.1</formula>
      <formula>13</formula>
    </cfRule>
    <cfRule type="cellIs" dxfId="5464" priority="1076" stopIfTrue="1" operator="between">
      <formula>0</formula>
      <formula>5</formula>
    </cfRule>
    <cfRule type="containsBlanks" dxfId="5463" priority="1077" stopIfTrue="1">
      <formula>LEN(TRIM(E422))=0</formula>
    </cfRule>
  </conditionalFormatting>
  <conditionalFormatting sqref="E434:N434">
    <cfRule type="containsBlanks" dxfId="5462" priority="1064" stopIfTrue="1">
      <formula>LEN(TRIM(E434))=0</formula>
    </cfRule>
    <cfRule type="cellIs" dxfId="5461" priority="1065" stopIfTrue="1" operator="between">
      <formula>79.1</formula>
      <formula>100</formula>
    </cfRule>
    <cfRule type="cellIs" dxfId="5460" priority="1066" stopIfTrue="1" operator="between">
      <formula>34.1</formula>
      <formula>79</formula>
    </cfRule>
    <cfRule type="cellIs" dxfId="5459" priority="1067" stopIfTrue="1" operator="between">
      <formula>13.1</formula>
      <formula>34</formula>
    </cfRule>
    <cfRule type="cellIs" dxfId="5458" priority="1068" stopIfTrue="1" operator="between">
      <formula>5.1</formula>
      <formula>13</formula>
    </cfRule>
    <cfRule type="cellIs" dxfId="5457" priority="1069" stopIfTrue="1" operator="between">
      <formula>0</formula>
      <formula>5</formula>
    </cfRule>
    <cfRule type="containsBlanks" dxfId="5456" priority="1070" stopIfTrue="1">
      <formula>LEN(TRIM(E434))=0</formula>
    </cfRule>
  </conditionalFormatting>
  <conditionalFormatting sqref="E416:O416">
    <cfRule type="containsBlanks" dxfId="5455" priority="1057" stopIfTrue="1">
      <formula>LEN(TRIM(E416))=0</formula>
    </cfRule>
    <cfRule type="cellIs" dxfId="5454" priority="1058" stopIfTrue="1" operator="between">
      <formula>79.1</formula>
      <formula>100</formula>
    </cfRule>
    <cfRule type="cellIs" dxfId="5453" priority="1059" stopIfTrue="1" operator="between">
      <formula>34.1</formula>
      <formula>79</formula>
    </cfRule>
    <cfRule type="cellIs" dxfId="5452" priority="1060" stopIfTrue="1" operator="between">
      <formula>13.1</formula>
      <formula>34</formula>
    </cfRule>
    <cfRule type="cellIs" dxfId="5451" priority="1061" stopIfTrue="1" operator="between">
      <formula>5.1</formula>
      <formula>13</formula>
    </cfRule>
    <cfRule type="cellIs" dxfId="5450" priority="1062" stopIfTrue="1" operator="between">
      <formula>0</formula>
      <formula>5</formula>
    </cfRule>
    <cfRule type="containsBlanks" dxfId="5449" priority="1063" stopIfTrue="1">
      <formula>LEN(TRIM(E416))=0</formula>
    </cfRule>
  </conditionalFormatting>
  <conditionalFormatting sqref="E436:O436">
    <cfRule type="containsBlanks" dxfId="5448" priority="1050" stopIfTrue="1">
      <formula>LEN(TRIM(E436))=0</formula>
    </cfRule>
    <cfRule type="cellIs" dxfId="5447" priority="1051" stopIfTrue="1" operator="between">
      <formula>79.1</formula>
      <formula>100</formula>
    </cfRule>
    <cfRule type="cellIs" dxfId="5446" priority="1052" stopIfTrue="1" operator="between">
      <formula>34.1</formula>
      <formula>79</formula>
    </cfRule>
    <cfRule type="cellIs" dxfId="5445" priority="1053" stopIfTrue="1" operator="between">
      <formula>13.1</formula>
      <formula>34</formula>
    </cfRule>
    <cfRule type="cellIs" dxfId="5444" priority="1054" stopIfTrue="1" operator="between">
      <formula>5.1</formula>
      <formula>13</formula>
    </cfRule>
    <cfRule type="cellIs" dxfId="5443" priority="1055" stopIfTrue="1" operator="between">
      <formula>0</formula>
      <formula>5</formula>
    </cfRule>
    <cfRule type="containsBlanks" dxfId="5442" priority="1056" stopIfTrue="1">
      <formula>LEN(TRIM(E436))=0</formula>
    </cfRule>
  </conditionalFormatting>
  <conditionalFormatting sqref="E431:N431">
    <cfRule type="containsBlanks" dxfId="5441" priority="1043" stopIfTrue="1">
      <formula>LEN(TRIM(E431))=0</formula>
    </cfRule>
    <cfRule type="cellIs" dxfId="5440" priority="1044" stopIfTrue="1" operator="between">
      <formula>79.1</formula>
      <formula>100</formula>
    </cfRule>
    <cfRule type="cellIs" dxfId="5439" priority="1045" stopIfTrue="1" operator="between">
      <formula>34.1</formula>
      <formula>79</formula>
    </cfRule>
    <cfRule type="cellIs" dxfId="5438" priority="1046" stopIfTrue="1" operator="between">
      <formula>13.1</formula>
      <formula>34</formula>
    </cfRule>
    <cfRule type="cellIs" dxfId="5437" priority="1047" stopIfTrue="1" operator="between">
      <formula>5.1</formula>
      <formula>13</formula>
    </cfRule>
    <cfRule type="cellIs" dxfId="5436" priority="1048" stopIfTrue="1" operator="between">
      <formula>0</formula>
      <formula>5</formula>
    </cfRule>
    <cfRule type="containsBlanks" dxfId="5435" priority="1049" stopIfTrue="1">
      <formula>LEN(TRIM(E431))=0</formula>
    </cfRule>
  </conditionalFormatting>
  <conditionalFormatting sqref="E428:O428">
    <cfRule type="containsBlanks" dxfId="5434" priority="1036" stopIfTrue="1">
      <formula>LEN(TRIM(E428))=0</formula>
    </cfRule>
    <cfRule type="cellIs" dxfId="5433" priority="1037" stopIfTrue="1" operator="between">
      <formula>79.1</formula>
      <formula>100</formula>
    </cfRule>
    <cfRule type="cellIs" dxfId="5432" priority="1038" stopIfTrue="1" operator="between">
      <formula>34.1</formula>
      <formula>79</formula>
    </cfRule>
    <cfRule type="cellIs" dxfId="5431" priority="1039" stopIfTrue="1" operator="between">
      <formula>13.1</formula>
      <formula>34</formula>
    </cfRule>
    <cfRule type="cellIs" dxfId="5430" priority="1040" stopIfTrue="1" operator="between">
      <formula>5.1</formula>
      <formula>13</formula>
    </cfRule>
    <cfRule type="cellIs" dxfId="5429" priority="1041" stopIfTrue="1" operator="between">
      <formula>0</formula>
      <formula>5</formula>
    </cfRule>
    <cfRule type="containsBlanks" dxfId="5428" priority="1042" stopIfTrue="1">
      <formula>LEN(TRIM(E428))=0</formula>
    </cfRule>
  </conditionalFormatting>
  <conditionalFormatting sqref="E409:O409">
    <cfRule type="containsBlanks" dxfId="5427" priority="1029" stopIfTrue="1">
      <formula>LEN(TRIM(E409))=0</formula>
    </cfRule>
    <cfRule type="cellIs" dxfId="5426" priority="1030" stopIfTrue="1" operator="between">
      <formula>79.1</formula>
      <formula>100</formula>
    </cfRule>
    <cfRule type="cellIs" dxfId="5425" priority="1031" stopIfTrue="1" operator="between">
      <formula>34.1</formula>
      <formula>79</formula>
    </cfRule>
    <cfRule type="cellIs" dxfId="5424" priority="1032" stopIfTrue="1" operator="between">
      <formula>13.1</formula>
      <formula>34</formula>
    </cfRule>
    <cfRule type="cellIs" dxfId="5423" priority="1033" stopIfTrue="1" operator="between">
      <formula>5.1</formula>
      <formula>13</formula>
    </cfRule>
    <cfRule type="cellIs" dxfId="5422" priority="1034" stopIfTrue="1" operator="between">
      <formula>0</formula>
      <formula>5</formula>
    </cfRule>
    <cfRule type="containsBlanks" dxfId="5421" priority="1035" stopIfTrue="1">
      <formula>LEN(TRIM(E409))=0</formula>
    </cfRule>
  </conditionalFormatting>
  <conditionalFormatting sqref="E404:O404 G405">
    <cfRule type="containsBlanks" dxfId="5420" priority="1022" stopIfTrue="1">
      <formula>LEN(TRIM(E404))=0</formula>
    </cfRule>
    <cfRule type="cellIs" dxfId="5419" priority="1023" stopIfTrue="1" operator="between">
      <formula>79.1</formula>
      <formula>100</formula>
    </cfRule>
    <cfRule type="cellIs" dxfId="5418" priority="1024" stopIfTrue="1" operator="between">
      <formula>34.1</formula>
      <formula>79</formula>
    </cfRule>
    <cfRule type="cellIs" dxfId="5417" priority="1025" stopIfTrue="1" operator="between">
      <formula>13.1</formula>
      <formula>34</formula>
    </cfRule>
    <cfRule type="cellIs" dxfId="5416" priority="1026" stopIfTrue="1" operator="between">
      <formula>5.1</formula>
      <formula>13</formula>
    </cfRule>
    <cfRule type="cellIs" dxfId="5415" priority="1027" stopIfTrue="1" operator="between">
      <formula>0</formula>
      <formula>5</formula>
    </cfRule>
    <cfRule type="containsBlanks" dxfId="5414" priority="1028" stopIfTrue="1">
      <formula>LEN(TRIM(E404))=0</formula>
    </cfRule>
  </conditionalFormatting>
  <conditionalFormatting sqref="E457:H458">
    <cfRule type="containsBlanks" dxfId="5413" priority="987" stopIfTrue="1">
      <formula>LEN(TRIM(E457))=0</formula>
    </cfRule>
    <cfRule type="cellIs" dxfId="5412" priority="988" stopIfTrue="1" operator="between">
      <formula>79.1</formula>
      <formula>100</formula>
    </cfRule>
    <cfRule type="cellIs" dxfId="5411" priority="989" stopIfTrue="1" operator="between">
      <formula>34.1</formula>
      <formula>79</formula>
    </cfRule>
    <cfRule type="cellIs" dxfId="5410" priority="990" stopIfTrue="1" operator="between">
      <formula>13.1</formula>
      <formula>34</formula>
    </cfRule>
    <cfRule type="cellIs" dxfId="5409" priority="991" stopIfTrue="1" operator="between">
      <formula>5.1</formula>
      <formula>13</formula>
    </cfRule>
    <cfRule type="cellIs" dxfId="5408" priority="992" stopIfTrue="1" operator="between">
      <formula>0</formula>
      <formula>5</formula>
    </cfRule>
    <cfRule type="containsBlanks" dxfId="5407" priority="993" stopIfTrue="1">
      <formula>LEN(TRIM(E457))=0</formula>
    </cfRule>
  </conditionalFormatting>
  <conditionalFormatting sqref="E440:P440">
    <cfRule type="containsBlanks" dxfId="5406" priority="1015" stopIfTrue="1">
      <formula>LEN(TRIM(E440))=0</formula>
    </cfRule>
    <cfRule type="cellIs" dxfId="5405" priority="1016" stopIfTrue="1" operator="between">
      <formula>79.1</formula>
      <formula>100</formula>
    </cfRule>
    <cfRule type="cellIs" dxfId="5404" priority="1017" stopIfTrue="1" operator="between">
      <formula>34.1</formula>
      <formula>79</formula>
    </cfRule>
    <cfRule type="cellIs" dxfId="5403" priority="1018" stopIfTrue="1" operator="between">
      <formula>13.1</formula>
      <formula>34</formula>
    </cfRule>
    <cfRule type="cellIs" dxfId="5402" priority="1019" stopIfTrue="1" operator="between">
      <formula>5.1</formula>
      <formula>13</formula>
    </cfRule>
    <cfRule type="cellIs" dxfId="5401" priority="1020" stopIfTrue="1" operator="between">
      <formula>0</formula>
      <formula>5</formula>
    </cfRule>
    <cfRule type="containsBlanks" dxfId="5400" priority="1021" stopIfTrue="1">
      <formula>LEN(TRIM(E440))=0</formula>
    </cfRule>
  </conditionalFormatting>
  <conditionalFormatting sqref="E441:P447">
    <cfRule type="containsBlanks" dxfId="5399" priority="1008" stopIfTrue="1">
      <formula>LEN(TRIM(E441))=0</formula>
    </cfRule>
    <cfRule type="cellIs" dxfId="5398" priority="1009" stopIfTrue="1" operator="between">
      <formula>79.1</formula>
      <formula>100</formula>
    </cfRule>
    <cfRule type="cellIs" dxfId="5397" priority="1010" stopIfTrue="1" operator="between">
      <formula>34.1</formula>
      <formula>79</formula>
    </cfRule>
    <cfRule type="cellIs" dxfId="5396" priority="1011" stopIfTrue="1" operator="between">
      <formula>13.1</formula>
      <formula>34</formula>
    </cfRule>
    <cfRule type="cellIs" dxfId="5395" priority="1012" stopIfTrue="1" operator="between">
      <formula>5.1</formula>
      <formula>13</formula>
    </cfRule>
    <cfRule type="cellIs" dxfId="5394" priority="1013" stopIfTrue="1" operator="between">
      <formula>0</formula>
      <formula>5</formula>
    </cfRule>
    <cfRule type="containsBlanks" dxfId="5393" priority="1014" stopIfTrue="1">
      <formula>LEN(TRIM(E441))=0</formula>
    </cfRule>
  </conditionalFormatting>
  <conditionalFormatting sqref="E464:N464">
    <cfRule type="containsBlanks" dxfId="5392" priority="980" stopIfTrue="1">
      <formula>LEN(TRIM(E464))=0</formula>
    </cfRule>
    <cfRule type="cellIs" dxfId="5391" priority="981" stopIfTrue="1" operator="between">
      <formula>79.1</formula>
      <formula>100</formula>
    </cfRule>
    <cfRule type="cellIs" dxfId="5390" priority="982" stopIfTrue="1" operator="between">
      <formula>34.1</formula>
      <formula>79</formula>
    </cfRule>
    <cfRule type="cellIs" dxfId="5389" priority="983" stopIfTrue="1" operator="between">
      <formula>13.1</formula>
      <formula>34</formula>
    </cfRule>
    <cfRule type="cellIs" dxfId="5388" priority="984" stopIfTrue="1" operator="between">
      <formula>5.1</formula>
      <formula>13</formula>
    </cfRule>
    <cfRule type="cellIs" dxfId="5387" priority="985" stopIfTrue="1" operator="between">
      <formula>0</formula>
      <formula>5</formula>
    </cfRule>
    <cfRule type="containsBlanks" dxfId="5386" priority="986" stopIfTrue="1">
      <formula>LEN(TRIM(E464))=0</formula>
    </cfRule>
  </conditionalFormatting>
  <conditionalFormatting sqref="F472:H472">
    <cfRule type="containsBlanks" dxfId="5385" priority="782" stopIfTrue="1">
      <formula>LEN(TRIM(F472))=0</formula>
    </cfRule>
    <cfRule type="cellIs" dxfId="5384" priority="783" stopIfTrue="1" operator="between">
      <formula>80.1</formula>
      <formula>100</formula>
    </cfRule>
    <cfRule type="cellIs" dxfId="5383" priority="784" stopIfTrue="1" operator="between">
      <formula>35.1</formula>
      <formula>80</formula>
    </cfRule>
    <cfRule type="cellIs" dxfId="5382" priority="785" stopIfTrue="1" operator="between">
      <formula>14.1</formula>
      <formula>35</formula>
    </cfRule>
    <cfRule type="cellIs" dxfId="5381" priority="786" stopIfTrue="1" operator="between">
      <formula>5.1</formula>
      <formula>14</formula>
    </cfRule>
    <cfRule type="cellIs" dxfId="5380" priority="787" stopIfTrue="1" operator="between">
      <formula>0</formula>
      <formula>5</formula>
    </cfRule>
    <cfRule type="containsBlanks" dxfId="5379" priority="788" stopIfTrue="1">
      <formula>LEN(TRIM(F472))=0</formula>
    </cfRule>
  </conditionalFormatting>
  <conditionalFormatting sqref="Q464">
    <cfRule type="containsBlanks" dxfId="5378" priority="971" stopIfTrue="1">
      <formula>LEN(TRIM(Q464))=0</formula>
    </cfRule>
    <cfRule type="cellIs" dxfId="5377" priority="972" stopIfTrue="1" operator="between">
      <formula>80.1</formula>
      <formula>100</formula>
    </cfRule>
    <cfRule type="cellIs" dxfId="5376" priority="973" stopIfTrue="1" operator="between">
      <formula>35.1</formula>
      <formula>80</formula>
    </cfRule>
    <cfRule type="cellIs" dxfId="5375" priority="974" stopIfTrue="1" operator="between">
      <formula>14.1</formula>
      <formula>35</formula>
    </cfRule>
    <cfRule type="cellIs" dxfId="5374" priority="975" stopIfTrue="1" operator="between">
      <formula>5.1</formula>
      <formula>14</formula>
    </cfRule>
    <cfRule type="cellIs" dxfId="5373" priority="976" stopIfTrue="1" operator="between">
      <formula>0</formula>
      <formula>5</formula>
    </cfRule>
    <cfRule type="containsBlanks" dxfId="5372" priority="977" stopIfTrue="1">
      <formula>LEN(TRIM(Q464))=0</formula>
    </cfRule>
  </conditionalFormatting>
  <conditionalFormatting sqref="Q482">
    <cfRule type="containsBlanks" dxfId="5371" priority="956" stopIfTrue="1">
      <formula>LEN(TRIM(Q482))=0</formula>
    </cfRule>
    <cfRule type="cellIs" dxfId="5370" priority="957" stopIfTrue="1" operator="between">
      <formula>80.1</formula>
      <formula>100</formula>
    </cfRule>
    <cfRule type="cellIs" dxfId="5369" priority="958" stopIfTrue="1" operator="between">
      <formula>35.1</formula>
      <formula>80</formula>
    </cfRule>
    <cfRule type="cellIs" dxfId="5368" priority="959" stopIfTrue="1" operator="between">
      <formula>14.1</formula>
      <formula>35</formula>
    </cfRule>
    <cfRule type="cellIs" dxfId="5367" priority="960" stopIfTrue="1" operator="between">
      <formula>5.1</formula>
      <formula>14</formula>
    </cfRule>
    <cfRule type="cellIs" dxfId="5366" priority="961" stopIfTrue="1" operator="between">
      <formula>0</formula>
      <formula>5</formula>
    </cfRule>
    <cfRule type="containsBlanks" dxfId="5365" priority="962" stopIfTrue="1">
      <formula>LEN(TRIM(Q482))=0</formula>
    </cfRule>
  </conditionalFormatting>
  <conditionalFormatting sqref="E482:L483">
    <cfRule type="containsBlanks" dxfId="5364" priority="943" stopIfTrue="1">
      <formula>LEN(TRIM(E482))=0</formula>
    </cfRule>
    <cfRule type="cellIs" dxfId="5363" priority="944" stopIfTrue="1" operator="between">
      <formula>80.1</formula>
      <formula>100</formula>
    </cfRule>
    <cfRule type="cellIs" dxfId="5362" priority="945" stopIfTrue="1" operator="between">
      <formula>35.1</formula>
      <formula>80</formula>
    </cfRule>
    <cfRule type="cellIs" dxfId="5361" priority="946" stopIfTrue="1" operator="between">
      <formula>14.1</formula>
      <formula>35</formula>
    </cfRule>
    <cfRule type="cellIs" dxfId="5360" priority="947" stopIfTrue="1" operator="between">
      <formula>5.1</formula>
      <formula>14</formula>
    </cfRule>
    <cfRule type="cellIs" dxfId="5359" priority="948" stopIfTrue="1" operator="between">
      <formula>0</formula>
      <formula>5</formula>
    </cfRule>
    <cfRule type="containsBlanks" dxfId="5358" priority="949" stopIfTrue="1">
      <formula>LEN(TRIM(E482))=0</formula>
    </cfRule>
  </conditionalFormatting>
  <conditionalFormatting sqref="F482:J483">
    <cfRule type="containsBlanks" dxfId="5357" priority="936" stopIfTrue="1">
      <formula>LEN(TRIM(F482))=0</formula>
    </cfRule>
    <cfRule type="cellIs" dxfId="5356" priority="937" stopIfTrue="1" operator="between">
      <formula>80.1</formula>
      <formula>100</formula>
    </cfRule>
    <cfRule type="cellIs" dxfId="5355" priority="938" stopIfTrue="1" operator="between">
      <formula>35.1</formula>
      <formula>80</formula>
    </cfRule>
    <cfRule type="cellIs" dxfId="5354" priority="939" stopIfTrue="1" operator="between">
      <formula>14.1</formula>
      <formula>35</formula>
    </cfRule>
    <cfRule type="cellIs" dxfId="5353" priority="940" stopIfTrue="1" operator="between">
      <formula>5.1</formula>
      <formula>14</formula>
    </cfRule>
    <cfRule type="cellIs" dxfId="5352" priority="941" stopIfTrue="1" operator="between">
      <formula>0</formula>
      <formula>5</formula>
    </cfRule>
    <cfRule type="containsBlanks" dxfId="5351" priority="942" stopIfTrue="1">
      <formula>LEN(TRIM(F482))=0</formula>
    </cfRule>
  </conditionalFormatting>
  <conditionalFormatting sqref="E465:I465">
    <cfRule type="containsBlanks" dxfId="5350" priority="929" stopIfTrue="1">
      <formula>LEN(TRIM(E465))=0</formula>
    </cfRule>
    <cfRule type="cellIs" dxfId="5349" priority="930" stopIfTrue="1" operator="between">
      <formula>80.1</formula>
      <formula>100</formula>
    </cfRule>
    <cfRule type="cellIs" dxfId="5348" priority="931" stopIfTrue="1" operator="between">
      <formula>35.1</formula>
      <formula>80</formula>
    </cfRule>
    <cfRule type="cellIs" dxfId="5347" priority="932" stopIfTrue="1" operator="between">
      <formula>14.1</formula>
      <formula>35</formula>
    </cfRule>
    <cfRule type="cellIs" dxfId="5346" priority="933" stopIfTrue="1" operator="between">
      <formula>5.1</formula>
      <formula>14</formula>
    </cfRule>
    <cfRule type="cellIs" dxfId="5345" priority="934" stopIfTrue="1" operator="between">
      <formula>0</formula>
      <formula>5</formula>
    </cfRule>
    <cfRule type="containsBlanks" dxfId="5344" priority="935" stopIfTrue="1">
      <formula>LEN(TRIM(E465))=0</formula>
    </cfRule>
  </conditionalFormatting>
  <conditionalFormatting sqref="F465:I465">
    <cfRule type="containsBlanks" dxfId="5343" priority="922" stopIfTrue="1">
      <formula>LEN(TRIM(F465))=0</formula>
    </cfRule>
    <cfRule type="cellIs" dxfId="5342" priority="923" stopIfTrue="1" operator="between">
      <formula>80.1</formula>
      <formula>100</formula>
    </cfRule>
    <cfRule type="cellIs" dxfId="5341" priority="924" stopIfTrue="1" operator="between">
      <formula>35.1</formula>
      <formula>80</formula>
    </cfRule>
    <cfRule type="cellIs" dxfId="5340" priority="925" stopIfTrue="1" operator="between">
      <formula>14.1</formula>
      <formula>35</formula>
    </cfRule>
    <cfRule type="cellIs" dxfId="5339" priority="926" stopIfTrue="1" operator="between">
      <formula>5.1</formula>
      <formula>14</formula>
    </cfRule>
    <cfRule type="cellIs" dxfId="5338" priority="927" stopIfTrue="1" operator="between">
      <formula>0</formula>
      <formula>5</formula>
    </cfRule>
    <cfRule type="containsBlanks" dxfId="5337" priority="928" stopIfTrue="1">
      <formula>LEN(TRIM(F465))=0</formula>
    </cfRule>
  </conditionalFormatting>
  <conditionalFormatting sqref="E476:M476">
    <cfRule type="containsBlanks" dxfId="5336" priority="915" stopIfTrue="1">
      <formula>LEN(TRIM(E476))=0</formula>
    </cfRule>
    <cfRule type="cellIs" dxfId="5335" priority="916" stopIfTrue="1" operator="between">
      <formula>80.1</formula>
      <formula>100</formula>
    </cfRule>
    <cfRule type="cellIs" dxfId="5334" priority="917" stopIfTrue="1" operator="between">
      <formula>35.1</formula>
      <formula>80</formula>
    </cfRule>
    <cfRule type="cellIs" dxfId="5333" priority="918" stopIfTrue="1" operator="between">
      <formula>14.1</formula>
      <formula>35</formula>
    </cfRule>
    <cfRule type="cellIs" dxfId="5332" priority="919" stopIfTrue="1" operator="between">
      <formula>5.1</formula>
      <formula>14</formula>
    </cfRule>
    <cfRule type="cellIs" dxfId="5331" priority="920" stopIfTrue="1" operator="between">
      <formula>0</formula>
      <formula>5</formula>
    </cfRule>
    <cfRule type="containsBlanks" dxfId="5330" priority="921" stopIfTrue="1">
      <formula>LEN(TRIM(E476))=0</formula>
    </cfRule>
  </conditionalFormatting>
  <conditionalFormatting sqref="F476:J476">
    <cfRule type="containsBlanks" dxfId="5329" priority="908" stopIfTrue="1">
      <formula>LEN(TRIM(F476))=0</formula>
    </cfRule>
    <cfRule type="cellIs" dxfId="5328" priority="909" stopIfTrue="1" operator="between">
      <formula>80.1</formula>
      <formula>100</formula>
    </cfRule>
    <cfRule type="cellIs" dxfId="5327" priority="910" stopIfTrue="1" operator="between">
      <formula>35.1</formula>
      <formula>80</formula>
    </cfRule>
    <cfRule type="cellIs" dxfId="5326" priority="911" stopIfTrue="1" operator="between">
      <formula>14.1</formula>
      <formula>35</formula>
    </cfRule>
    <cfRule type="cellIs" dxfId="5325" priority="912" stopIfTrue="1" operator="between">
      <formula>5.1</formula>
      <formula>14</formula>
    </cfRule>
    <cfRule type="cellIs" dxfId="5324" priority="913" stopIfTrue="1" operator="between">
      <formula>0</formula>
      <formula>5</formula>
    </cfRule>
    <cfRule type="containsBlanks" dxfId="5323" priority="914" stopIfTrue="1">
      <formula>LEN(TRIM(F476))=0</formula>
    </cfRule>
  </conditionalFormatting>
  <conditionalFormatting sqref="M476">
    <cfRule type="containsBlanks" dxfId="5322" priority="901" stopIfTrue="1">
      <formula>LEN(TRIM(M476))=0</formula>
    </cfRule>
    <cfRule type="cellIs" dxfId="5321" priority="902" stopIfTrue="1" operator="between">
      <formula>80.1</formula>
      <formula>100</formula>
    </cfRule>
    <cfRule type="cellIs" dxfId="5320" priority="903" stopIfTrue="1" operator="between">
      <formula>35.1</formula>
      <formula>80</formula>
    </cfRule>
    <cfRule type="cellIs" dxfId="5319" priority="904" stopIfTrue="1" operator="between">
      <formula>14.1</formula>
      <formula>35</formula>
    </cfRule>
    <cfRule type="cellIs" dxfId="5318" priority="905" stopIfTrue="1" operator="between">
      <formula>5.1</formula>
      <formula>14</formula>
    </cfRule>
    <cfRule type="cellIs" dxfId="5317" priority="906" stopIfTrue="1" operator="between">
      <formula>0</formula>
      <formula>5</formula>
    </cfRule>
    <cfRule type="containsBlanks" dxfId="5316" priority="907" stopIfTrue="1">
      <formula>LEN(TRIM(M476))=0</formula>
    </cfRule>
  </conditionalFormatting>
  <conditionalFormatting sqref="E475:J475">
    <cfRule type="containsBlanks" dxfId="5315" priority="894" stopIfTrue="1">
      <formula>LEN(TRIM(E475))=0</formula>
    </cfRule>
    <cfRule type="cellIs" dxfId="5314" priority="895" stopIfTrue="1" operator="between">
      <formula>80.1</formula>
      <formula>100</formula>
    </cfRule>
    <cfRule type="cellIs" dxfId="5313" priority="896" stopIfTrue="1" operator="between">
      <formula>35.1</formula>
      <formula>80</formula>
    </cfRule>
    <cfRule type="cellIs" dxfId="5312" priority="897" stopIfTrue="1" operator="between">
      <formula>14.1</formula>
      <formula>35</formula>
    </cfRule>
    <cfRule type="cellIs" dxfId="5311" priority="898" stopIfTrue="1" operator="between">
      <formula>5.1</formula>
      <formula>14</formula>
    </cfRule>
    <cfRule type="cellIs" dxfId="5310" priority="899" stopIfTrue="1" operator="between">
      <formula>0</formula>
      <formula>5</formula>
    </cfRule>
    <cfRule type="containsBlanks" dxfId="5309" priority="900" stopIfTrue="1">
      <formula>LEN(TRIM(E475))=0</formula>
    </cfRule>
  </conditionalFormatting>
  <conditionalFormatting sqref="F475:J475">
    <cfRule type="containsBlanks" dxfId="5308" priority="887" stopIfTrue="1">
      <formula>LEN(TRIM(F475))=0</formula>
    </cfRule>
    <cfRule type="cellIs" dxfId="5307" priority="888" stopIfTrue="1" operator="between">
      <formula>80.1</formula>
      <formula>100</formula>
    </cfRule>
    <cfRule type="cellIs" dxfId="5306" priority="889" stopIfTrue="1" operator="between">
      <formula>35.1</formula>
      <formula>80</formula>
    </cfRule>
    <cfRule type="cellIs" dxfId="5305" priority="890" stopIfTrue="1" operator="between">
      <formula>14.1</formula>
      <formula>35</formula>
    </cfRule>
    <cfRule type="cellIs" dxfId="5304" priority="891" stopIfTrue="1" operator="between">
      <formula>5.1</formula>
      <formula>14</formula>
    </cfRule>
    <cfRule type="cellIs" dxfId="5303" priority="892" stopIfTrue="1" operator="between">
      <formula>0</formula>
      <formula>5</formula>
    </cfRule>
    <cfRule type="containsBlanks" dxfId="5302" priority="893" stopIfTrue="1">
      <formula>LEN(TRIM(F475))=0</formula>
    </cfRule>
  </conditionalFormatting>
  <conditionalFormatting sqref="E469:O469">
    <cfRule type="containsBlanks" dxfId="5301" priority="880" stopIfTrue="1">
      <formula>LEN(TRIM(E469))=0</formula>
    </cfRule>
    <cfRule type="cellIs" dxfId="5300" priority="881" stopIfTrue="1" operator="between">
      <formula>80.1</formula>
      <formula>100</formula>
    </cfRule>
    <cfRule type="cellIs" dxfId="5299" priority="882" stopIfTrue="1" operator="between">
      <formula>35.1</formula>
      <formula>80</formula>
    </cfRule>
    <cfRule type="cellIs" dxfId="5298" priority="883" stopIfTrue="1" operator="between">
      <formula>14.1</formula>
      <formula>35</formula>
    </cfRule>
    <cfRule type="cellIs" dxfId="5297" priority="884" stopIfTrue="1" operator="between">
      <formula>5.1</formula>
      <formula>14</formula>
    </cfRule>
    <cfRule type="cellIs" dxfId="5296" priority="885" stopIfTrue="1" operator="between">
      <formula>0</formula>
      <formula>5</formula>
    </cfRule>
    <cfRule type="containsBlanks" dxfId="5295" priority="886" stopIfTrue="1">
      <formula>LEN(TRIM(E469))=0</formula>
    </cfRule>
  </conditionalFormatting>
  <conditionalFormatting sqref="F469:J469">
    <cfRule type="containsBlanks" dxfId="5294" priority="873" stopIfTrue="1">
      <formula>LEN(TRIM(F469))=0</formula>
    </cfRule>
    <cfRule type="cellIs" dxfId="5293" priority="874" stopIfTrue="1" operator="between">
      <formula>80.1</formula>
      <formula>100</formula>
    </cfRule>
    <cfRule type="cellIs" dxfId="5292" priority="875" stopIfTrue="1" operator="between">
      <formula>35.1</formula>
      <formula>80</formula>
    </cfRule>
    <cfRule type="cellIs" dxfId="5291" priority="876" stopIfTrue="1" operator="between">
      <formula>14.1</formula>
      <formula>35</formula>
    </cfRule>
    <cfRule type="cellIs" dxfId="5290" priority="877" stopIfTrue="1" operator="between">
      <formula>5.1</formula>
      <formula>14</formula>
    </cfRule>
    <cfRule type="cellIs" dxfId="5289" priority="878" stopIfTrue="1" operator="between">
      <formula>0</formula>
      <formula>5</formula>
    </cfRule>
    <cfRule type="containsBlanks" dxfId="5288" priority="879" stopIfTrue="1">
      <formula>LEN(TRIM(F469))=0</formula>
    </cfRule>
  </conditionalFormatting>
  <conditionalFormatting sqref="N469">
    <cfRule type="containsBlanks" dxfId="5287" priority="866" stopIfTrue="1">
      <formula>LEN(TRIM(N469))=0</formula>
    </cfRule>
    <cfRule type="cellIs" dxfId="5286" priority="867" stopIfTrue="1" operator="between">
      <formula>80.1</formula>
      <formula>100</formula>
    </cfRule>
    <cfRule type="cellIs" dxfId="5285" priority="868" stopIfTrue="1" operator="between">
      <formula>35.1</formula>
      <formula>80</formula>
    </cfRule>
    <cfRule type="cellIs" dxfId="5284" priority="869" stopIfTrue="1" operator="between">
      <formula>14.1</formula>
      <formula>35</formula>
    </cfRule>
    <cfRule type="cellIs" dxfId="5283" priority="870" stopIfTrue="1" operator="between">
      <formula>5.1</formula>
      <formula>14</formula>
    </cfRule>
    <cfRule type="cellIs" dxfId="5282" priority="871" stopIfTrue="1" operator="between">
      <formula>0</formula>
      <formula>5</formula>
    </cfRule>
    <cfRule type="containsBlanks" dxfId="5281" priority="872" stopIfTrue="1">
      <formula>LEN(TRIM(N469))=0</formula>
    </cfRule>
  </conditionalFormatting>
  <conditionalFormatting sqref="E467:I467">
    <cfRule type="containsBlanks" dxfId="5280" priority="859" stopIfTrue="1">
      <formula>LEN(TRIM(E467))=0</formula>
    </cfRule>
    <cfRule type="cellIs" dxfId="5279" priority="860" stopIfTrue="1" operator="between">
      <formula>80.1</formula>
      <formula>100</formula>
    </cfRule>
    <cfRule type="cellIs" dxfId="5278" priority="861" stopIfTrue="1" operator="between">
      <formula>35.1</formula>
      <formula>80</formula>
    </cfRule>
    <cfRule type="cellIs" dxfId="5277" priority="862" stopIfTrue="1" operator="between">
      <formula>14.1</formula>
      <formula>35</formula>
    </cfRule>
    <cfRule type="cellIs" dxfId="5276" priority="863" stopIfTrue="1" operator="between">
      <formula>5.1</formula>
      <formula>14</formula>
    </cfRule>
    <cfRule type="cellIs" dxfId="5275" priority="864" stopIfTrue="1" operator="between">
      <formula>0</formula>
      <formula>5</formula>
    </cfRule>
    <cfRule type="containsBlanks" dxfId="5274" priority="865" stopIfTrue="1">
      <formula>LEN(TRIM(E467))=0</formula>
    </cfRule>
  </conditionalFormatting>
  <conditionalFormatting sqref="F467:I467">
    <cfRule type="containsBlanks" dxfId="5273" priority="852" stopIfTrue="1">
      <formula>LEN(TRIM(F467))=0</formula>
    </cfRule>
    <cfRule type="cellIs" dxfId="5272" priority="853" stopIfTrue="1" operator="between">
      <formula>80.1</formula>
      <formula>100</formula>
    </cfRule>
    <cfRule type="cellIs" dxfId="5271" priority="854" stopIfTrue="1" operator="between">
      <formula>35.1</formula>
      <formula>80</formula>
    </cfRule>
    <cfRule type="cellIs" dxfId="5270" priority="855" stopIfTrue="1" operator="between">
      <formula>14.1</formula>
      <formula>35</formula>
    </cfRule>
    <cfRule type="cellIs" dxfId="5269" priority="856" stopIfTrue="1" operator="between">
      <formula>5.1</formula>
      <formula>14</formula>
    </cfRule>
    <cfRule type="cellIs" dxfId="5268" priority="857" stopIfTrue="1" operator="between">
      <formula>0</formula>
      <formula>5</formula>
    </cfRule>
    <cfRule type="containsBlanks" dxfId="5267" priority="858" stopIfTrue="1">
      <formula>LEN(TRIM(F467))=0</formula>
    </cfRule>
  </conditionalFormatting>
  <conditionalFormatting sqref="E466:L466">
    <cfRule type="containsBlanks" dxfId="5266" priority="845" stopIfTrue="1">
      <formula>LEN(TRIM(E466))=0</formula>
    </cfRule>
    <cfRule type="cellIs" dxfId="5265" priority="846" stopIfTrue="1" operator="between">
      <formula>80.1</formula>
      <formula>100</formula>
    </cfRule>
    <cfRule type="cellIs" dxfId="5264" priority="847" stopIfTrue="1" operator="between">
      <formula>35.1</formula>
      <formula>80</formula>
    </cfRule>
    <cfRule type="cellIs" dxfId="5263" priority="848" stopIfTrue="1" operator="between">
      <formula>14.1</formula>
      <formula>35</formula>
    </cfRule>
    <cfRule type="cellIs" dxfId="5262" priority="849" stopIfTrue="1" operator="between">
      <formula>5.1</formula>
      <formula>14</formula>
    </cfRule>
    <cfRule type="cellIs" dxfId="5261" priority="850" stopIfTrue="1" operator="between">
      <formula>0</formula>
      <formula>5</formula>
    </cfRule>
    <cfRule type="containsBlanks" dxfId="5260" priority="851" stopIfTrue="1">
      <formula>LEN(TRIM(E466))=0</formula>
    </cfRule>
  </conditionalFormatting>
  <conditionalFormatting sqref="F466:J466">
    <cfRule type="containsBlanks" dxfId="5259" priority="838" stopIfTrue="1">
      <formula>LEN(TRIM(F466))=0</formula>
    </cfRule>
    <cfRule type="cellIs" dxfId="5258" priority="839" stopIfTrue="1" operator="between">
      <formula>80.1</formula>
      <formula>100</formula>
    </cfRule>
    <cfRule type="cellIs" dxfId="5257" priority="840" stopIfTrue="1" operator="between">
      <formula>35.1</formula>
      <formula>80</formula>
    </cfRule>
    <cfRule type="cellIs" dxfId="5256" priority="841" stopIfTrue="1" operator="between">
      <formula>14.1</formula>
      <formula>35</formula>
    </cfRule>
    <cfRule type="cellIs" dxfId="5255" priority="842" stopIfTrue="1" operator="between">
      <formula>5.1</formula>
      <formula>14</formula>
    </cfRule>
    <cfRule type="cellIs" dxfId="5254" priority="843" stopIfTrue="1" operator="between">
      <formula>0</formula>
      <formula>5</formula>
    </cfRule>
    <cfRule type="containsBlanks" dxfId="5253" priority="844" stopIfTrue="1">
      <formula>LEN(TRIM(F466))=0</formula>
    </cfRule>
  </conditionalFormatting>
  <conditionalFormatting sqref="K466">
    <cfRule type="containsBlanks" dxfId="5252" priority="831" stopIfTrue="1">
      <formula>LEN(TRIM(K466))=0</formula>
    </cfRule>
    <cfRule type="cellIs" dxfId="5251" priority="832" stopIfTrue="1" operator="between">
      <formula>80.1</formula>
      <formula>100</formula>
    </cfRule>
    <cfRule type="cellIs" dxfId="5250" priority="833" stopIfTrue="1" operator="between">
      <formula>35.1</formula>
      <formula>80</formula>
    </cfRule>
    <cfRule type="cellIs" dxfId="5249" priority="834" stopIfTrue="1" operator="between">
      <formula>14.1</formula>
      <formula>35</formula>
    </cfRule>
    <cfRule type="cellIs" dxfId="5248" priority="835" stopIfTrue="1" operator="between">
      <formula>5.1</formula>
      <formula>14</formula>
    </cfRule>
    <cfRule type="cellIs" dxfId="5247" priority="836" stopIfTrue="1" operator="between">
      <formula>0</formula>
      <formula>5</formula>
    </cfRule>
    <cfRule type="containsBlanks" dxfId="5246" priority="837" stopIfTrue="1">
      <formula>LEN(TRIM(K466))=0</formula>
    </cfRule>
  </conditionalFormatting>
  <conditionalFormatting sqref="E480:M480">
    <cfRule type="containsBlanks" dxfId="5245" priority="824" stopIfTrue="1">
      <formula>LEN(TRIM(E480))=0</formula>
    </cfRule>
    <cfRule type="cellIs" dxfId="5244" priority="825" stopIfTrue="1" operator="between">
      <formula>80.1</formula>
      <formula>100</formula>
    </cfRule>
    <cfRule type="cellIs" dxfId="5243" priority="826" stopIfTrue="1" operator="between">
      <formula>35.1</formula>
      <formula>80</formula>
    </cfRule>
    <cfRule type="cellIs" dxfId="5242" priority="827" stopIfTrue="1" operator="between">
      <formula>14.1</formula>
      <formula>35</formula>
    </cfRule>
    <cfRule type="cellIs" dxfId="5241" priority="828" stopIfTrue="1" operator="between">
      <formula>5.1</formula>
      <formula>14</formula>
    </cfRule>
    <cfRule type="cellIs" dxfId="5240" priority="829" stopIfTrue="1" operator="between">
      <formula>0</formula>
      <formula>5</formula>
    </cfRule>
    <cfRule type="containsBlanks" dxfId="5239" priority="830" stopIfTrue="1">
      <formula>LEN(TRIM(E480))=0</formula>
    </cfRule>
  </conditionalFormatting>
  <conditionalFormatting sqref="F480:J480">
    <cfRule type="containsBlanks" dxfId="5238" priority="817" stopIfTrue="1">
      <formula>LEN(TRIM(F480))=0</formula>
    </cfRule>
    <cfRule type="cellIs" dxfId="5237" priority="818" stopIfTrue="1" operator="between">
      <formula>80.1</formula>
      <formula>100</formula>
    </cfRule>
    <cfRule type="cellIs" dxfId="5236" priority="819" stopIfTrue="1" operator="between">
      <formula>35.1</formula>
      <formula>80</formula>
    </cfRule>
    <cfRule type="cellIs" dxfId="5235" priority="820" stopIfTrue="1" operator="between">
      <formula>14.1</formula>
      <formula>35</formula>
    </cfRule>
    <cfRule type="cellIs" dxfId="5234" priority="821" stopIfTrue="1" operator="between">
      <formula>5.1</formula>
      <formula>14</formula>
    </cfRule>
    <cfRule type="cellIs" dxfId="5233" priority="822" stopIfTrue="1" operator="between">
      <formula>0</formula>
      <formula>5</formula>
    </cfRule>
    <cfRule type="containsBlanks" dxfId="5232" priority="823" stopIfTrue="1">
      <formula>LEN(TRIM(F480))=0</formula>
    </cfRule>
  </conditionalFormatting>
  <conditionalFormatting sqref="L480">
    <cfRule type="containsBlanks" dxfId="5231" priority="810" stopIfTrue="1">
      <formula>LEN(TRIM(L480))=0</formula>
    </cfRule>
    <cfRule type="cellIs" dxfId="5230" priority="811" stopIfTrue="1" operator="between">
      <formula>80.1</formula>
      <formula>100</formula>
    </cfRule>
    <cfRule type="cellIs" dxfId="5229" priority="812" stopIfTrue="1" operator="between">
      <formula>35.1</formula>
      <formula>80</formula>
    </cfRule>
    <cfRule type="cellIs" dxfId="5228" priority="813" stopIfTrue="1" operator="between">
      <formula>14.1</formula>
      <formula>35</formula>
    </cfRule>
    <cfRule type="cellIs" dxfId="5227" priority="814" stopIfTrue="1" operator="between">
      <formula>5.1</formula>
      <formula>14</formula>
    </cfRule>
    <cfRule type="cellIs" dxfId="5226" priority="815" stopIfTrue="1" operator="between">
      <formula>0</formula>
      <formula>5</formula>
    </cfRule>
    <cfRule type="containsBlanks" dxfId="5225" priority="816" stopIfTrue="1">
      <formula>LEN(TRIM(L480))=0</formula>
    </cfRule>
  </conditionalFormatting>
  <conditionalFormatting sqref="E470:I470">
    <cfRule type="containsBlanks" dxfId="5224" priority="803" stopIfTrue="1">
      <formula>LEN(TRIM(E470))=0</formula>
    </cfRule>
    <cfRule type="cellIs" dxfId="5223" priority="804" stopIfTrue="1" operator="between">
      <formula>80.1</formula>
      <formula>100</formula>
    </cfRule>
    <cfRule type="cellIs" dxfId="5222" priority="805" stopIfTrue="1" operator="between">
      <formula>35.1</formula>
      <formula>80</formula>
    </cfRule>
    <cfRule type="cellIs" dxfId="5221" priority="806" stopIfTrue="1" operator="between">
      <formula>14.1</formula>
      <formula>35</formula>
    </cfRule>
    <cfRule type="cellIs" dxfId="5220" priority="807" stopIfTrue="1" operator="between">
      <formula>5.1</formula>
      <formula>14</formula>
    </cfRule>
    <cfRule type="cellIs" dxfId="5219" priority="808" stopIfTrue="1" operator="between">
      <formula>0</formula>
      <formula>5</formula>
    </cfRule>
    <cfRule type="containsBlanks" dxfId="5218" priority="809" stopIfTrue="1">
      <formula>LEN(TRIM(E470))=0</formula>
    </cfRule>
  </conditionalFormatting>
  <conditionalFormatting sqref="F470:I470">
    <cfRule type="containsBlanks" dxfId="5217" priority="796" stopIfTrue="1">
      <formula>LEN(TRIM(F470))=0</formula>
    </cfRule>
    <cfRule type="cellIs" dxfId="5216" priority="797" stopIfTrue="1" operator="between">
      <formula>80.1</formula>
      <formula>100</formula>
    </cfRule>
    <cfRule type="cellIs" dxfId="5215" priority="798" stopIfTrue="1" operator="between">
      <formula>35.1</formula>
      <formula>80</formula>
    </cfRule>
    <cfRule type="cellIs" dxfId="5214" priority="799" stopIfTrue="1" operator="between">
      <formula>14.1</formula>
      <formula>35</formula>
    </cfRule>
    <cfRule type="cellIs" dxfId="5213" priority="800" stopIfTrue="1" operator="between">
      <formula>5.1</formula>
      <formula>14</formula>
    </cfRule>
    <cfRule type="cellIs" dxfId="5212" priority="801" stopIfTrue="1" operator="between">
      <formula>0</formula>
      <formula>5</formula>
    </cfRule>
    <cfRule type="containsBlanks" dxfId="5211" priority="802" stopIfTrue="1">
      <formula>LEN(TRIM(F470))=0</formula>
    </cfRule>
  </conditionalFormatting>
  <conditionalFormatting sqref="E472:H472">
    <cfRule type="containsBlanks" dxfId="5210" priority="789" stopIfTrue="1">
      <formula>LEN(TRIM(E472))=0</formula>
    </cfRule>
    <cfRule type="cellIs" dxfId="5209" priority="790" stopIfTrue="1" operator="between">
      <formula>80.1</formula>
      <formula>100</formula>
    </cfRule>
    <cfRule type="cellIs" dxfId="5208" priority="791" stopIfTrue="1" operator="between">
      <formula>35.1</formula>
      <formula>80</formula>
    </cfRule>
    <cfRule type="cellIs" dxfId="5207" priority="792" stopIfTrue="1" operator="between">
      <formula>14.1</formula>
      <formula>35</formula>
    </cfRule>
    <cfRule type="cellIs" dxfId="5206" priority="793" stopIfTrue="1" operator="between">
      <formula>5.1</formula>
      <formula>14</formula>
    </cfRule>
    <cfRule type="cellIs" dxfId="5205" priority="794" stopIfTrue="1" operator="between">
      <formula>0</formula>
      <formula>5</formula>
    </cfRule>
    <cfRule type="containsBlanks" dxfId="5204" priority="795" stopIfTrue="1">
      <formula>LEN(TRIM(E472))=0</formula>
    </cfRule>
  </conditionalFormatting>
  <conditionalFormatting sqref="E468:J468">
    <cfRule type="containsBlanks" dxfId="5203" priority="775" stopIfTrue="1">
      <formula>LEN(TRIM(E468))=0</formula>
    </cfRule>
    <cfRule type="cellIs" dxfId="5202" priority="776" stopIfTrue="1" operator="between">
      <formula>80.1</formula>
      <formula>100</formula>
    </cfRule>
    <cfRule type="cellIs" dxfId="5201" priority="777" stopIfTrue="1" operator="between">
      <formula>35.1</formula>
      <formula>80</formula>
    </cfRule>
    <cfRule type="cellIs" dxfId="5200" priority="778" stopIfTrue="1" operator="between">
      <formula>14.1</formula>
      <formula>35</formula>
    </cfRule>
    <cfRule type="cellIs" dxfId="5199" priority="779" stopIfTrue="1" operator="between">
      <formula>5.1</formula>
      <formula>14</formula>
    </cfRule>
    <cfRule type="cellIs" dxfId="5198" priority="780" stopIfTrue="1" operator="between">
      <formula>0</formula>
      <formula>5</formula>
    </cfRule>
    <cfRule type="containsBlanks" dxfId="5197" priority="781" stopIfTrue="1">
      <formula>LEN(TRIM(E468))=0</formula>
    </cfRule>
  </conditionalFormatting>
  <conditionalFormatting sqref="F468:J468">
    <cfRule type="containsBlanks" dxfId="5196" priority="768" stopIfTrue="1">
      <formula>LEN(TRIM(F468))=0</formula>
    </cfRule>
    <cfRule type="cellIs" dxfId="5195" priority="769" stopIfTrue="1" operator="between">
      <formula>80.1</formula>
      <formula>100</formula>
    </cfRule>
    <cfRule type="cellIs" dxfId="5194" priority="770" stopIfTrue="1" operator="between">
      <formula>35.1</formula>
      <formula>80</formula>
    </cfRule>
    <cfRule type="cellIs" dxfId="5193" priority="771" stopIfTrue="1" operator="between">
      <formula>14.1</formula>
      <formula>35</formula>
    </cfRule>
    <cfRule type="cellIs" dxfId="5192" priority="772" stopIfTrue="1" operator="between">
      <formula>5.1</formula>
      <formula>14</formula>
    </cfRule>
    <cfRule type="cellIs" dxfId="5191" priority="773" stopIfTrue="1" operator="between">
      <formula>0</formula>
      <formula>5</formula>
    </cfRule>
    <cfRule type="containsBlanks" dxfId="5190" priority="774" stopIfTrue="1">
      <formula>LEN(TRIM(F468))=0</formula>
    </cfRule>
  </conditionalFormatting>
  <conditionalFormatting sqref="E473:O473">
    <cfRule type="containsBlanks" dxfId="5189" priority="761" stopIfTrue="1">
      <formula>LEN(TRIM(E473))=0</formula>
    </cfRule>
    <cfRule type="cellIs" dxfId="5188" priority="762" stopIfTrue="1" operator="between">
      <formula>80.1</formula>
      <formula>100</formula>
    </cfRule>
    <cfRule type="cellIs" dxfId="5187" priority="763" stopIfTrue="1" operator="between">
      <formula>35.1</formula>
      <formula>80</formula>
    </cfRule>
    <cfRule type="cellIs" dxfId="5186" priority="764" stopIfTrue="1" operator="between">
      <formula>14.1</formula>
      <formula>35</formula>
    </cfRule>
    <cfRule type="cellIs" dxfId="5185" priority="765" stopIfTrue="1" operator="between">
      <formula>5.1</formula>
      <formula>14</formula>
    </cfRule>
    <cfRule type="cellIs" dxfId="5184" priority="766" stopIfTrue="1" operator="between">
      <formula>0</formula>
      <formula>5</formula>
    </cfRule>
    <cfRule type="containsBlanks" dxfId="5183" priority="767" stopIfTrue="1">
      <formula>LEN(TRIM(E473))=0</formula>
    </cfRule>
  </conditionalFormatting>
  <conditionalFormatting sqref="F473:J473">
    <cfRule type="containsBlanks" dxfId="5182" priority="754" stopIfTrue="1">
      <formula>LEN(TRIM(F473))=0</formula>
    </cfRule>
    <cfRule type="cellIs" dxfId="5181" priority="755" stopIfTrue="1" operator="between">
      <formula>80.1</formula>
      <formula>100</formula>
    </cfRule>
    <cfRule type="cellIs" dxfId="5180" priority="756" stopIfTrue="1" operator="between">
      <formula>35.1</formula>
      <formula>80</formula>
    </cfRule>
    <cfRule type="cellIs" dxfId="5179" priority="757" stopIfTrue="1" operator="between">
      <formula>14.1</formula>
      <formula>35</formula>
    </cfRule>
    <cfRule type="cellIs" dxfId="5178" priority="758" stopIfTrue="1" operator="between">
      <formula>5.1</formula>
      <formula>14</formula>
    </cfRule>
    <cfRule type="cellIs" dxfId="5177" priority="759" stopIfTrue="1" operator="between">
      <formula>0</formula>
      <formula>5</formula>
    </cfRule>
    <cfRule type="containsBlanks" dxfId="5176" priority="760" stopIfTrue="1">
      <formula>LEN(TRIM(F473))=0</formula>
    </cfRule>
  </conditionalFormatting>
  <conditionalFormatting sqref="N473">
    <cfRule type="containsBlanks" dxfId="5175" priority="747" stopIfTrue="1">
      <formula>LEN(TRIM(N473))=0</formula>
    </cfRule>
    <cfRule type="cellIs" dxfId="5174" priority="748" stopIfTrue="1" operator="between">
      <formula>80.1</formula>
      <formula>100</formula>
    </cfRule>
    <cfRule type="cellIs" dxfId="5173" priority="749" stopIfTrue="1" operator="between">
      <formula>35.1</formula>
      <formula>80</formula>
    </cfRule>
    <cfRule type="cellIs" dxfId="5172" priority="750" stopIfTrue="1" operator="between">
      <formula>14.1</formula>
      <formula>35</formula>
    </cfRule>
    <cfRule type="cellIs" dxfId="5171" priority="751" stopIfTrue="1" operator="between">
      <formula>5.1</formula>
      <formula>14</formula>
    </cfRule>
    <cfRule type="cellIs" dxfId="5170" priority="752" stopIfTrue="1" operator="between">
      <formula>0</formula>
      <formula>5</formula>
    </cfRule>
    <cfRule type="containsBlanks" dxfId="5169" priority="753" stopIfTrue="1">
      <formula>LEN(TRIM(N473))=0</formula>
    </cfRule>
  </conditionalFormatting>
  <conditionalFormatting sqref="E471:J471">
    <cfRule type="containsBlanks" dxfId="5168" priority="740" stopIfTrue="1">
      <formula>LEN(TRIM(E471))=0</formula>
    </cfRule>
    <cfRule type="cellIs" dxfId="5167" priority="741" stopIfTrue="1" operator="between">
      <formula>80.1</formula>
      <formula>100</formula>
    </cfRule>
    <cfRule type="cellIs" dxfId="5166" priority="742" stopIfTrue="1" operator="between">
      <formula>35.1</formula>
      <formula>80</formula>
    </cfRule>
    <cfRule type="cellIs" dxfId="5165" priority="743" stopIfTrue="1" operator="between">
      <formula>14.1</formula>
      <formula>35</formula>
    </cfRule>
    <cfRule type="cellIs" dxfId="5164" priority="744" stopIfTrue="1" operator="between">
      <formula>5.1</formula>
      <formula>14</formula>
    </cfRule>
    <cfRule type="cellIs" dxfId="5163" priority="745" stopIfTrue="1" operator="between">
      <formula>0</formula>
      <formula>5</formula>
    </cfRule>
    <cfRule type="containsBlanks" dxfId="5162" priority="746" stopIfTrue="1">
      <formula>LEN(TRIM(E471))=0</formula>
    </cfRule>
  </conditionalFormatting>
  <conditionalFormatting sqref="F471:J471">
    <cfRule type="containsBlanks" dxfId="5161" priority="733" stopIfTrue="1">
      <formula>LEN(TRIM(F471))=0</formula>
    </cfRule>
    <cfRule type="cellIs" dxfId="5160" priority="734" stopIfTrue="1" operator="between">
      <formula>80.1</formula>
      <formula>100</formula>
    </cfRule>
    <cfRule type="cellIs" dxfId="5159" priority="735" stopIfTrue="1" operator="between">
      <formula>35.1</formula>
      <formula>80</formula>
    </cfRule>
    <cfRule type="cellIs" dxfId="5158" priority="736" stopIfTrue="1" operator="between">
      <formula>14.1</formula>
      <formula>35</formula>
    </cfRule>
    <cfRule type="cellIs" dxfId="5157" priority="737" stopIfTrue="1" operator="between">
      <formula>5.1</formula>
      <formula>14</formula>
    </cfRule>
    <cfRule type="cellIs" dxfId="5156" priority="738" stopIfTrue="1" operator="between">
      <formula>0</formula>
      <formula>5</formula>
    </cfRule>
    <cfRule type="containsBlanks" dxfId="5155" priority="739" stopIfTrue="1">
      <formula>LEN(TRIM(F471))=0</formula>
    </cfRule>
  </conditionalFormatting>
  <conditionalFormatting sqref="E477:L477">
    <cfRule type="containsBlanks" dxfId="5154" priority="726" stopIfTrue="1">
      <formula>LEN(TRIM(E477))=0</formula>
    </cfRule>
    <cfRule type="cellIs" dxfId="5153" priority="727" stopIfTrue="1" operator="between">
      <formula>80.1</formula>
      <formula>100</formula>
    </cfRule>
    <cfRule type="cellIs" dxfId="5152" priority="728" stopIfTrue="1" operator="between">
      <formula>35.1</formula>
      <formula>80</formula>
    </cfRule>
    <cfRule type="cellIs" dxfId="5151" priority="729" stopIfTrue="1" operator="between">
      <formula>14.1</formula>
      <formula>35</formula>
    </cfRule>
    <cfRule type="cellIs" dxfId="5150" priority="730" stopIfTrue="1" operator="between">
      <formula>5.1</formula>
      <formula>14</formula>
    </cfRule>
    <cfRule type="cellIs" dxfId="5149" priority="731" stopIfTrue="1" operator="between">
      <formula>0</formula>
      <formula>5</formula>
    </cfRule>
    <cfRule type="containsBlanks" dxfId="5148" priority="732" stopIfTrue="1">
      <formula>LEN(TRIM(E477))=0</formula>
    </cfRule>
  </conditionalFormatting>
  <conditionalFormatting sqref="F477:J477">
    <cfRule type="containsBlanks" dxfId="5147" priority="719" stopIfTrue="1">
      <formula>LEN(TRIM(F477))=0</formula>
    </cfRule>
    <cfRule type="cellIs" dxfId="5146" priority="720" stopIfTrue="1" operator="between">
      <formula>80.1</formula>
      <formula>100</formula>
    </cfRule>
    <cfRule type="cellIs" dxfId="5145" priority="721" stopIfTrue="1" operator="between">
      <formula>35.1</formula>
      <formula>80</formula>
    </cfRule>
    <cfRule type="cellIs" dxfId="5144" priority="722" stopIfTrue="1" operator="between">
      <formula>14.1</formula>
      <formula>35</formula>
    </cfRule>
    <cfRule type="cellIs" dxfId="5143" priority="723" stopIfTrue="1" operator="between">
      <formula>5.1</formula>
      <formula>14</formula>
    </cfRule>
    <cfRule type="cellIs" dxfId="5142" priority="724" stopIfTrue="1" operator="between">
      <formula>0</formula>
      <formula>5</formula>
    </cfRule>
    <cfRule type="containsBlanks" dxfId="5141" priority="725" stopIfTrue="1">
      <formula>LEN(TRIM(F477))=0</formula>
    </cfRule>
  </conditionalFormatting>
  <conditionalFormatting sqref="L477">
    <cfRule type="containsBlanks" dxfId="5140" priority="712" stopIfTrue="1">
      <formula>LEN(TRIM(L477))=0</formula>
    </cfRule>
    <cfRule type="cellIs" dxfId="5139" priority="713" stopIfTrue="1" operator="between">
      <formula>80.1</formula>
      <formula>100</formula>
    </cfRule>
    <cfRule type="cellIs" dxfId="5138" priority="714" stopIfTrue="1" operator="between">
      <formula>35.1</formula>
      <formula>80</formula>
    </cfRule>
    <cfRule type="cellIs" dxfId="5137" priority="715" stopIfTrue="1" operator="between">
      <formula>14.1</formula>
      <formula>35</formula>
    </cfRule>
    <cfRule type="cellIs" dxfId="5136" priority="716" stopIfTrue="1" operator="between">
      <formula>5.1</formula>
      <formula>14</formula>
    </cfRule>
    <cfRule type="cellIs" dxfId="5135" priority="717" stopIfTrue="1" operator="between">
      <formula>0</formula>
      <formula>5</formula>
    </cfRule>
    <cfRule type="containsBlanks" dxfId="5134" priority="718" stopIfTrue="1">
      <formula>LEN(TRIM(L477))=0</formula>
    </cfRule>
  </conditionalFormatting>
  <conditionalFormatting sqref="E484:I484">
    <cfRule type="containsBlanks" dxfId="5133" priority="705" stopIfTrue="1">
      <formula>LEN(TRIM(E484))=0</formula>
    </cfRule>
    <cfRule type="cellIs" dxfId="5132" priority="706" stopIfTrue="1" operator="between">
      <formula>80.1</formula>
      <formula>100</formula>
    </cfRule>
    <cfRule type="cellIs" dxfId="5131" priority="707" stopIfTrue="1" operator="between">
      <formula>35.1</formula>
      <formula>80</formula>
    </cfRule>
    <cfRule type="cellIs" dxfId="5130" priority="708" stopIfTrue="1" operator="between">
      <formula>14.1</formula>
      <formula>35</formula>
    </cfRule>
    <cfRule type="cellIs" dxfId="5129" priority="709" stopIfTrue="1" operator="between">
      <formula>5.1</formula>
      <formula>14</formula>
    </cfRule>
    <cfRule type="cellIs" dxfId="5128" priority="710" stopIfTrue="1" operator="between">
      <formula>0</formula>
      <formula>5</formula>
    </cfRule>
    <cfRule type="containsBlanks" dxfId="5127" priority="711" stopIfTrue="1">
      <formula>LEN(TRIM(E484))=0</formula>
    </cfRule>
  </conditionalFormatting>
  <conditionalFormatting sqref="F484:I484">
    <cfRule type="containsBlanks" dxfId="5126" priority="698" stopIfTrue="1">
      <formula>LEN(TRIM(F484))=0</formula>
    </cfRule>
    <cfRule type="cellIs" dxfId="5125" priority="699" stopIfTrue="1" operator="between">
      <formula>80.1</formula>
      <formula>100</formula>
    </cfRule>
    <cfRule type="cellIs" dxfId="5124" priority="700" stopIfTrue="1" operator="between">
      <formula>35.1</formula>
      <formula>80</formula>
    </cfRule>
    <cfRule type="cellIs" dxfId="5123" priority="701" stopIfTrue="1" operator="between">
      <formula>14.1</formula>
      <formula>35</formula>
    </cfRule>
    <cfRule type="cellIs" dxfId="5122" priority="702" stopIfTrue="1" operator="between">
      <formula>5.1</formula>
      <formula>14</formula>
    </cfRule>
    <cfRule type="cellIs" dxfId="5121" priority="703" stopIfTrue="1" operator="between">
      <formula>0</formula>
      <formula>5</formula>
    </cfRule>
    <cfRule type="containsBlanks" dxfId="5120" priority="704" stopIfTrue="1">
      <formula>LEN(TRIM(F484))=0</formula>
    </cfRule>
  </conditionalFormatting>
  <conditionalFormatting sqref="Q483">
    <cfRule type="containsBlanks" dxfId="5119" priority="689" stopIfTrue="1">
      <formula>LEN(TRIM(Q483))=0</formula>
    </cfRule>
    <cfRule type="cellIs" dxfId="5118" priority="690" stopIfTrue="1" operator="between">
      <formula>80.1</formula>
      <formula>100</formula>
    </cfRule>
    <cfRule type="cellIs" dxfId="5117" priority="691" stopIfTrue="1" operator="between">
      <formula>35.1</formula>
      <formula>80</formula>
    </cfRule>
    <cfRule type="cellIs" dxfId="5116" priority="692" stopIfTrue="1" operator="between">
      <formula>14.1</formula>
      <formula>35</formula>
    </cfRule>
    <cfRule type="cellIs" dxfId="5115" priority="693" stopIfTrue="1" operator="between">
      <formula>5.1</formula>
      <formula>14</formula>
    </cfRule>
    <cfRule type="cellIs" dxfId="5114" priority="694" stopIfTrue="1" operator="between">
      <formula>0</formula>
      <formula>5</formula>
    </cfRule>
    <cfRule type="containsBlanks" dxfId="5113" priority="695" stopIfTrue="1">
      <formula>LEN(TRIM(Q483))=0</formula>
    </cfRule>
  </conditionalFormatting>
  <conditionalFormatting sqref="E258 I258:N258">
    <cfRule type="containsBlanks" dxfId="5112" priority="676" stopIfTrue="1">
      <formula>LEN(TRIM(E258))=0</formula>
    </cfRule>
    <cfRule type="cellIs" dxfId="5111" priority="677" stopIfTrue="1" operator="between">
      <formula>80.1</formula>
      <formula>100</formula>
    </cfRule>
    <cfRule type="cellIs" dxfId="5110" priority="678" stopIfTrue="1" operator="between">
      <formula>35.1</formula>
      <formula>80</formula>
    </cfRule>
    <cfRule type="cellIs" dxfId="5109" priority="679" stopIfTrue="1" operator="between">
      <formula>14.1</formula>
      <formula>35</formula>
    </cfRule>
    <cfRule type="cellIs" dxfId="5108" priority="680" stopIfTrue="1" operator="between">
      <formula>5.1</formula>
      <formula>14</formula>
    </cfRule>
    <cfRule type="cellIs" dxfId="5107" priority="681" stopIfTrue="1" operator="between">
      <formula>0</formula>
      <formula>5</formula>
    </cfRule>
    <cfRule type="containsBlanks" dxfId="5106" priority="682" stopIfTrue="1">
      <formula>LEN(TRIM(E258))=0</formula>
    </cfRule>
  </conditionalFormatting>
  <conditionalFormatting sqref="F258:H258">
    <cfRule type="containsBlanks" dxfId="5105" priority="669" stopIfTrue="1">
      <formula>LEN(TRIM(F258))=0</formula>
    </cfRule>
    <cfRule type="cellIs" dxfId="5104" priority="670" stopIfTrue="1" operator="between">
      <formula>80.1</formula>
      <formula>100</formula>
    </cfRule>
    <cfRule type="cellIs" dxfId="5103" priority="671" stopIfTrue="1" operator="between">
      <formula>35.1</formula>
      <formula>80</formula>
    </cfRule>
    <cfRule type="cellIs" dxfId="5102" priority="672" stopIfTrue="1" operator="between">
      <formula>14.1</formula>
      <formula>35</formula>
    </cfRule>
    <cfRule type="cellIs" dxfId="5101" priority="673" stopIfTrue="1" operator="between">
      <formula>5.1</formula>
      <formula>14</formula>
    </cfRule>
    <cfRule type="cellIs" dxfId="5100" priority="674" stopIfTrue="1" operator="between">
      <formula>0</formula>
      <formula>5</formula>
    </cfRule>
    <cfRule type="containsBlanks" dxfId="5099" priority="675" stopIfTrue="1">
      <formula>LEN(TRIM(F258))=0</formula>
    </cfRule>
  </conditionalFormatting>
  <conditionalFormatting sqref="E259 I259:P259">
    <cfRule type="containsBlanks" dxfId="5098" priority="662" stopIfTrue="1">
      <formula>LEN(TRIM(E259))=0</formula>
    </cfRule>
    <cfRule type="cellIs" dxfId="5097" priority="663" stopIfTrue="1" operator="between">
      <formula>80.1</formula>
      <formula>100</formula>
    </cfRule>
    <cfRule type="cellIs" dxfId="5096" priority="664" stopIfTrue="1" operator="between">
      <formula>35.1</formula>
      <formula>80</formula>
    </cfRule>
    <cfRule type="cellIs" dxfId="5095" priority="665" stopIfTrue="1" operator="between">
      <formula>14.1</formula>
      <formula>35</formula>
    </cfRule>
    <cfRule type="cellIs" dxfId="5094" priority="666" stopIfTrue="1" operator="between">
      <formula>5.1</formula>
      <formula>14</formula>
    </cfRule>
    <cfRule type="cellIs" dxfId="5093" priority="667" stopIfTrue="1" operator="between">
      <formula>0</formula>
      <formula>5</formula>
    </cfRule>
    <cfRule type="containsBlanks" dxfId="5092" priority="668" stopIfTrue="1">
      <formula>LEN(TRIM(E259))=0</formula>
    </cfRule>
  </conditionalFormatting>
  <conditionalFormatting sqref="F259:H259">
    <cfRule type="containsBlanks" dxfId="5091" priority="655" stopIfTrue="1">
      <formula>LEN(TRIM(F259))=0</formula>
    </cfRule>
    <cfRule type="cellIs" dxfId="5090" priority="656" stopIfTrue="1" operator="between">
      <formula>80.1</formula>
      <formula>100</formula>
    </cfRule>
    <cfRule type="cellIs" dxfId="5089" priority="657" stopIfTrue="1" operator="between">
      <formula>35.1</formula>
      <formula>80</formula>
    </cfRule>
    <cfRule type="cellIs" dxfId="5088" priority="658" stopIfTrue="1" operator="between">
      <formula>14.1</formula>
      <formula>35</formula>
    </cfRule>
    <cfRule type="cellIs" dxfId="5087" priority="659" stopIfTrue="1" operator="between">
      <formula>5.1</formula>
      <formula>14</formula>
    </cfRule>
    <cfRule type="cellIs" dxfId="5086" priority="660" stopIfTrue="1" operator="between">
      <formula>0</formula>
      <formula>5</formula>
    </cfRule>
    <cfRule type="containsBlanks" dxfId="5085" priority="661" stopIfTrue="1">
      <formula>LEN(TRIM(F259))=0</formula>
    </cfRule>
  </conditionalFormatting>
  <conditionalFormatting sqref="E260:L260">
    <cfRule type="containsBlanks" dxfId="5084" priority="648" stopIfTrue="1">
      <formula>LEN(TRIM(E260))=0</formula>
    </cfRule>
    <cfRule type="cellIs" dxfId="5083" priority="649" stopIfTrue="1" operator="between">
      <formula>80.1</formula>
      <formula>100</formula>
    </cfRule>
    <cfRule type="cellIs" dxfId="5082" priority="650" stopIfTrue="1" operator="between">
      <formula>35.1</formula>
      <formula>80</formula>
    </cfRule>
    <cfRule type="cellIs" dxfId="5081" priority="651" stopIfTrue="1" operator="between">
      <formula>14.1</formula>
      <formula>35</formula>
    </cfRule>
    <cfRule type="cellIs" dxfId="5080" priority="652" stopIfTrue="1" operator="between">
      <formula>5.1</formula>
      <formula>14</formula>
    </cfRule>
    <cfRule type="cellIs" dxfId="5079" priority="653" stopIfTrue="1" operator="between">
      <formula>0</formula>
      <formula>5</formula>
    </cfRule>
    <cfRule type="containsBlanks" dxfId="5078" priority="654" stopIfTrue="1">
      <formula>LEN(TRIM(E260))=0</formula>
    </cfRule>
  </conditionalFormatting>
  <conditionalFormatting sqref="E269:P269">
    <cfRule type="containsBlanks" dxfId="5077" priority="620" stopIfTrue="1">
      <formula>LEN(TRIM(E269))=0</formula>
    </cfRule>
    <cfRule type="cellIs" dxfId="5076" priority="621" stopIfTrue="1" operator="between">
      <formula>80.1</formula>
      <formula>100</formula>
    </cfRule>
    <cfRule type="cellIs" dxfId="5075" priority="622" stopIfTrue="1" operator="between">
      <formula>35.1</formula>
      <formula>80</formula>
    </cfRule>
    <cfRule type="cellIs" dxfId="5074" priority="623" stopIfTrue="1" operator="between">
      <formula>14.1</formula>
      <formula>35</formula>
    </cfRule>
    <cfRule type="cellIs" dxfId="5073" priority="624" stopIfTrue="1" operator="between">
      <formula>5.1</formula>
      <formula>14</formula>
    </cfRule>
    <cfRule type="cellIs" dxfId="5072" priority="625" stopIfTrue="1" operator="between">
      <formula>0</formula>
      <formula>5</formula>
    </cfRule>
    <cfRule type="containsBlanks" dxfId="5071" priority="626" stopIfTrue="1">
      <formula>LEN(TRIM(E269))=0</formula>
    </cfRule>
  </conditionalFormatting>
  <conditionalFormatting sqref="E265:N265">
    <cfRule type="containsBlanks" dxfId="5070" priority="641" stopIfTrue="1">
      <formula>LEN(TRIM(E265))=0</formula>
    </cfRule>
    <cfRule type="cellIs" dxfId="5069" priority="642" stopIfTrue="1" operator="between">
      <formula>80.1</formula>
      <formula>100</formula>
    </cfRule>
    <cfRule type="cellIs" dxfId="5068" priority="643" stopIfTrue="1" operator="between">
      <formula>35.1</formula>
      <formula>80</formula>
    </cfRule>
    <cfRule type="cellIs" dxfId="5067" priority="644" stopIfTrue="1" operator="between">
      <formula>14.1</formula>
      <formula>35</formula>
    </cfRule>
    <cfRule type="cellIs" dxfId="5066" priority="645" stopIfTrue="1" operator="between">
      <formula>5.1</formula>
      <formula>14</formula>
    </cfRule>
    <cfRule type="cellIs" dxfId="5065" priority="646" stopIfTrue="1" operator="between">
      <formula>0</formula>
      <formula>5</formula>
    </cfRule>
    <cfRule type="containsBlanks" dxfId="5064" priority="647" stopIfTrue="1">
      <formula>LEN(TRIM(E265))=0</formula>
    </cfRule>
  </conditionalFormatting>
  <conditionalFormatting sqref="E266:M266">
    <cfRule type="containsBlanks" dxfId="5063" priority="634" stopIfTrue="1">
      <formula>LEN(TRIM(E266))=0</formula>
    </cfRule>
    <cfRule type="cellIs" dxfId="5062" priority="635" stopIfTrue="1" operator="between">
      <formula>80.1</formula>
      <formula>100</formula>
    </cfRule>
    <cfRule type="cellIs" dxfId="5061" priority="636" stopIfTrue="1" operator="between">
      <formula>35.1</formula>
      <formula>80</formula>
    </cfRule>
    <cfRule type="cellIs" dxfId="5060" priority="637" stopIfTrue="1" operator="between">
      <formula>14.1</formula>
      <formula>35</formula>
    </cfRule>
    <cfRule type="cellIs" dxfId="5059" priority="638" stopIfTrue="1" operator="between">
      <formula>5.1</formula>
      <formula>14</formula>
    </cfRule>
    <cfRule type="cellIs" dxfId="5058" priority="639" stopIfTrue="1" operator="between">
      <formula>0</formula>
      <formula>5</formula>
    </cfRule>
    <cfRule type="containsBlanks" dxfId="5057" priority="640" stopIfTrue="1">
      <formula>LEN(TRIM(E266))=0</formula>
    </cfRule>
  </conditionalFormatting>
  <conditionalFormatting sqref="E268:M268">
    <cfRule type="containsBlanks" dxfId="5056" priority="627" stopIfTrue="1">
      <formula>LEN(TRIM(E268))=0</formula>
    </cfRule>
    <cfRule type="cellIs" dxfId="5055" priority="628" stopIfTrue="1" operator="between">
      <formula>80.1</formula>
      <formula>100</formula>
    </cfRule>
    <cfRule type="cellIs" dxfId="5054" priority="629" stopIfTrue="1" operator="between">
      <formula>35.1</formula>
      <formula>80</formula>
    </cfRule>
    <cfRule type="cellIs" dxfId="5053" priority="630" stopIfTrue="1" operator="between">
      <formula>14.1</formula>
      <formula>35</formula>
    </cfRule>
    <cfRule type="cellIs" dxfId="5052" priority="631" stopIfTrue="1" operator="between">
      <formula>5.1</formula>
      <formula>14</formula>
    </cfRule>
    <cfRule type="cellIs" dxfId="5051" priority="632" stopIfTrue="1" operator="between">
      <formula>0</formula>
      <formula>5</formula>
    </cfRule>
    <cfRule type="containsBlanks" dxfId="5050" priority="633" stopIfTrue="1">
      <formula>LEN(TRIM(E268))=0</formula>
    </cfRule>
  </conditionalFormatting>
  <conditionalFormatting sqref="R12:R92 R107:R138 R140:R175 R177 R180:R282 R285:R304 R307:R314 R316:R484 R95:R96">
    <cfRule type="cellIs" dxfId="5049" priority="604" stopIfTrue="1" operator="equal">
      <formula>"NO"</formula>
    </cfRule>
  </conditionalFormatting>
  <conditionalFormatting sqref="R11">
    <cfRule type="cellIs" dxfId="5048" priority="596" stopIfTrue="1" operator="equal">
      <formula>"NO"</formula>
    </cfRule>
  </conditionalFormatting>
  <conditionalFormatting sqref="S11:S92 S107:S138 S140:S175 S177 S180:S282 S285:S304 S307:S314 S316:S532 S95:S96">
    <cfRule type="cellIs" dxfId="5047" priority="595" stopIfTrue="1" operator="equal">
      <formula>"INVIABLE SANITARIAMENTE"</formula>
    </cfRule>
  </conditionalFormatting>
  <conditionalFormatting sqref="Q11:Q92 Q107:Q138 Q140:Q175 Q177 Q180:Q282 Q285:Q304 Q307:Q314 Q316:Q533 Q95:Q96">
    <cfRule type="containsBlanks" dxfId="5046" priority="588" stopIfTrue="1">
      <formula>LEN(TRIM(Q11))=0</formula>
    </cfRule>
    <cfRule type="cellIs" dxfId="5045" priority="589" stopIfTrue="1" operator="between">
      <formula>80.1</formula>
      <formula>100</formula>
    </cfRule>
    <cfRule type="cellIs" dxfId="5044" priority="590" stopIfTrue="1" operator="between">
      <formula>35.1</formula>
      <formula>80</formula>
    </cfRule>
    <cfRule type="cellIs" dxfId="5043" priority="591" stopIfTrue="1" operator="between">
      <formula>14.1</formula>
      <formula>35</formula>
    </cfRule>
    <cfRule type="cellIs" dxfId="5042" priority="592" stopIfTrue="1" operator="between">
      <formula>5.1</formula>
      <formula>14</formula>
    </cfRule>
    <cfRule type="cellIs" dxfId="5041" priority="593" stopIfTrue="1" operator="between">
      <formula>0</formula>
      <formula>5</formula>
    </cfRule>
    <cfRule type="containsBlanks" dxfId="5040" priority="594" stopIfTrue="1">
      <formula>LEN(TRIM(Q11))=0</formula>
    </cfRule>
  </conditionalFormatting>
  <conditionalFormatting sqref="S11:S92 S107:S138 S140:S175 S177 S180:S282 S285:S304 S307:S314 S316:S532 S95:S96">
    <cfRule type="containsText" dxfId="5039" priority="583" stopIfTrue="1" operator="containsText" text="INVIABLE SANITARIAMENTE">
      <formula>NOT(ISERROR(SEARCH("INVIABLE SANITARIAMENTE",S11)))</formula>
    </cfRule>
    <cfRule type="containsText" dxfId="5038" priority="584" stopIfTrue="1" operator="containsText" text="ALTO">
      <formula>NOT(ISERROR(SEARCH("ALTO",S11)))</formula>
    </cfRule>
    <cfRule type="containsText" dxfId="5037" priority="585" stopIfTrue="1" operator="containsText" text="MEDIO">
      <formula>NOT(ISERROR(SEARCH("MEDIO",S11)))</formula>
    </cfRule>
    <cfRule type="containsText" dxfId="5036" priority="586" stopIfTrue="1" operator="containsText" text="BAJO">
      <formula>NOT(ISERROR(SEARCH("BAJO",S11)))</formula>
    </cfRule>
    <cfRule type="containsText" dxfId="5035" priority="587" stopIfTrue="1" operator="containsText" text="SIN RIESGO">
      <formula>NOT(ISERROR(SEARCH("SIN RIESGO",S11)))</formula>
    </cfRule>
  </conditionalFormatting>
  <conditionalFormatting sqref="S11:S92 S107:S138 S140:S175 S177 S180:S282 S285:S304 S307:S314 S316:S532 S95:S96">
    <cfRule type="containsText" dxfId="5034" priority="582" stopIfTrue="1" operator="containsText" text="SIN RIESGO">
      <formula>NOT(ISERROR(SEARCH("SIN RIESGO",S11)))</formula>
    </cfRule>
  </conditionalFormatting>
  <conditionalFormatting sqref="E11:P21">
    <cfRule type="containsBlanks" dxfId="5033" priority="575" stopIfTrue="1">
      <formula>LEN(TRIM(E11))=0</formula>
    </cfRule>
    <cfRule type="cellIs" dxfId="5032" priority="576" stopIfTrue="1" operator="between">
      <formula>79.1</formula>
      <formula>100</formula>
    </cfRule>
    <cfRule type="cellIs" dxfId="5031" priority="577" stopIfTrue="1" operator="between">
      <formula>34.1</formula>
      <formula>79</formula>
    </cfRule>
    <cfRule type="cellIs" dxfId="5030" priority="578" stopIfTrue="1" operator="between">
      <formula>13.1</formula>
      <formula>34</formula>
    </cfRule>
    <cfRule type="cellIs" dxfId="5029" priority="579" stopIfTrue="1" operator="between">
      <formula>5.1</formula>
      <formula>13</formula>
    </cfRule>
    <cfRule type="cellIs" dxfId="5028" priority="580" stopIfTrue="1" operator="between">
      <formula>0</formula>
      <formula>5</formula>
    </cfRule>
    <cfRule type="containsBlanks" dxfId="5027" priority="581" stopIfTrue="1">
      <formula>LEN(TRIM(E11))=0</formula>
    </cfRule>
  </conditionalFormatting>
  <conditionalFormatting sqref="E106:P106">
    <cfRule type="containsBlanks" dxfId="5026" priority="568" stopIfTrue="1">
      <formula>LEN(TRIM(E106))=0</formula>
    </cfRule>
    <cfRule type="cellIs" dxfId="5025" priority="569" stopIfTrue="1" operator="between">
      <formula>79.1</formula>
      <formula>100</formula>
    </cfRule>
    <cfRule type="cellIs" dxfId="5024" priority="570" stopIfTrue="1" operator="between">
      <formula>34.1</formula>
      <formula>79</formula>
    </cfRule>
    <cfRule type="cellIs" dxfId="5023" priority="571" stopIfTrue="1" operator="between">
      <formula>13.1</formula>
      <formula>34</formula>
    </cfRule>
    <cfRule type="cellIs" dxfId="5022" priority="572" stopIfTrue="1" operator="between">
      <formula>5.1</formula>
      <formula>13</formula>
    </cfRule>
    <cfRule type="cellIs" dxfId="5021" priority="573" stopIfTrue="1" operator="between">
      <formula>0</formula>
      <formula>5</formula>
    </cfRule>
    <cfRule type="containsBlanks" dxfId="5020" priority="574" stopIfTrue="1">
      <formula>LEN(TRIM(E106))=0</formula>
    </cfRule>
  </conditionalFormatting>
  <conditionalFormatting sqref="Q106">
    <cfRule type="containsBlanks" dxfId="5019" priority="561" stopIfTrue="1">
      <formula>LEN(TRIM(Q106))=0</formula>
    </cfRule>
    <cfRule type="cellIs" dxfId="5018" priority="562" stopIfTrue="1" operator="between">
      <formula>80.1</formula>
      <formula>100</formula>
    </cfRule>
    <cfRule type="cellIs" dxfId="5017" priority="563" stopIfTrue="1" operator="between">
      <formula>35.1</formula>
      <formula>80</formula>
    </cfRule>
    <cfRule type="cellIs" dxfId="5016" priority="564" stopIfTrue="1" operator="between">
      <formula>14.1</formula>
      <formula>35</formula>
    </cfRule>
    <cfRule type="cellIs" dxfId="5015" priority="565" stopIfTrue="1" operator="between">
      <formula>5.1</formula>
      <formula>14</formula>
    </cfRule>
    <cfRule type="cellIs" dxfId="5014" priority="566" stopIfTrue="1" operator="between">
      <formula>0</formula>
      <formula>5</formula>
    </cfRule>
    <cfRule type="containsBlanks" dxfId="5013" priority="567" stopIfTrue="1">
      <formula>LEN(TRIM(Q106))=0</formula>
    </cfRule>
  </conditionalFormatting>
  <conditionalFormatting sqref="R106">
    <cfRule type="cellIs" dxfId="5012" priority="560" stopIfTrue="1" operator="equal">
      <formula>"NO"</formula>
    </cfRule>
  </conditionalFormatting>
  <conditionalFormatting sqref="S106">
    <cfRule type="cellIs" dxfId="5011" priority="559" stopIfTrue="1" operator="equal">
      <formula>"INVIABLE SANITARIAMENTE"</formula>
    </cfRule>
  </conditionalFormatting>
  <conditionalFormatting sqref="Q106">
    <cfRule type="containsBlanks" dxfId="5010" priority="552" stopIfTrue="1">
      <formula>LEN(TRIM(Q106))=0</formula>
    </cfRule>
    <cfRule type="cellIs" dxfId="5009" priority="553" stopIfTrue="1" operator="between">
      <formula>80.1</formula>
      <formula>100</formula>
    </cfRule>
    <cfRule type="cellIs" dxfId="5008" priority="554" stopIfTrue="1" operator="between">
      <formula>35.1</formula>
      <formula>80</formula>
    </cfRule>
    <cfRule type="cellIs" dxfId="5007" priority="555" stopIfTrue="1" operator="between">
      <formula>14.1</formula>
      <formula>35</formula>
    </cfRule>
    <cfRule type="cellIs" dxfId="5006" priority="556" stopIfTrue="1" operator="between">
      <formula>5.1</formula>
      <formula>14</formula>
    </cfRule>
    <cfRule type="cellIs" dxfId="5005" priority="557" stopIfTrue="1" operator="between">
      <formula>0</formula>
      <formula>5</formula>
    </cfRule>
    <cfRule type="containsBlanks" dxfId="5004" priority="558" stopIfTrue="1">
      <formula>LEN(TRIM(Q106))=0</formula>
    </cfRule>
  </conditionalFormatting>
  <conditionalFormatting sqref="S106">
    <cfRule type="containsText" dxfId="5003" priority="547" stopIfTrue="1" operator="containsText" text="INVIABLE SANITARIAMENTE">
      <formula>NOT(ISERROR(SEARCH("INVIABLE SANITARIAMENTE",S106)))</formula>
    </cfRule>
    <cfRule type="containsText" dxfId="5002" priority="548" stopIfTrue="1" operator="containsText" text="ALTO">
      <formula>NOT(ISERROR(SEARCH("ALTO",S106)))</formula>
    </cfRule>
    <cfRule type="containsText" dxfId="5001" priority="549" stopIfTrue="1" operator="containsText" text="MEDIO">
      <formula>NOT(ISERROR(SEARCH("MEDIO",S106)))</formula>
    </cfRule>
    <cfRule type="containsText" dxfId="5000" priority="550" stopIfTrue="1" operator="containsText" text="BAJO">
      <formula>NOT(ISERROR(SEARCH("BAJO",S106)))</formula>
    </cfRule>
    <cfRule type="containsText" dxfId="4999" priority="551" stopIfTrue="1" operator="containsText" text="SIN RIESGO">
      <formula>NOT(ISERROR(SEARCH("SIN RIESGO",S106)))</formula>
    </cfRule>
  </conditionalFormatting>
  <conditionalFormatting sqref="S106">
    <cfRule type="containsText" dxfId="4998" priority="546" stopIfTrue="1" operator="containsText" text="SIN RIESGO">
      <formula>NOT(ISERROR(SEARCH("SIN RIESGO",S106)))</formula>
    </cfRule>
  </conditionalFormatting>
  <conditionalFormatting sqref="E97:P97">
    <cfRule type="containsBlanks" dxfId="4997" priority="539" stopIfTrue="1">
      <formula>LEN(TRIM(E97))=0</formula>
    </cfRule>
    <cfRule type="cellIs" dxfId="4996" priority="540" stopIfTrue="1" operator="between">
      <formula>79.1</formula>
      <formula>100</formula>
    </cfRule>
    <cfRule type="cellIs" dxfId="4995" priority="541" stopIfTrue="1" operator="between">
      <formula>34.1</formula>
      <formula>79</formula>
    </cfRule>
    <cfRule type="cellIs" dxfId="4994" priority="542" stopIfTrue="1" operator="between">
      <formula>13.1</formula>
      <formula>34</formula>
    </cfRule>
    <cfRule type="cellIs" dxfId="4993" priority="543" stopIfTrue="1" operator="between">
      <formula>5.1</formula>
      <formula>13</formula>
    </cfRule>
    <cfRule type="cellIs" dxfId="4992" priority="544" stopIfTrue="1" operator="between">
      <formula>0</formula>
      <formula>5</formula>
    </cfRule>
    <cfRule type="containsBlanks" dxfId="4991" priority="545" stopIfTrue="1">
      <formula>LEN(TRIM(E97))=0</formula>
    </cfRule>
  </conditionalFormatting>
  <conditionalFormatting sqref="Q97">
    <cfRule type="containsBlanks" dxfId="4990" priority="532" stopIfTrue="1">
      <formula>LEN(TRIM(Q97))=0</formula>
    </cfRule>
    <cfRule type="cellIs" dxfId="4989" priority="533" stopIfTrue="1" operator="between">
      <formula>80.1</formula>
      <formula>100</formula>
    </cfRule>
    <cfRule type="cellIs" dxfId="4988" priority="534" stopIfTrue="1" operator="between">
      <formula>35.1</formula>
      <formula>80</formula>
    </cfRule>
    <cfRule type="cellIs" dxfId="4987" priority="535" stopIfTrue="1" operator="between">
      <formula>14.1</formula>
      <formula>35</formula>
    </cfRule>
    <cfRule type="cellIs" dxfId="4986" priority="536" stopIfTrue="1" operator="between">
      <formula>5.1</formula>
      <formula>14</formula>
    </cfRule>
    <cfRule type="cellIs" dxfId="4985" priority="537" stopIfTrue="1" operator="between">
      <formula>0</formula>
      <formula>5</formula>
    </cfRule>
    <cfRule type="containsBlanks" dxfId="4984" priority="538" stopIfTrue="1">
      <formula>LEN(TRIM(Q97))=0</formula>
    </cfRule>
  </conditionalFormatting>
  <conditionalFormatting sqref="R97">
    <cfRule type="cellIs" dxfId="4983" priority="531" stopIfTrue="1" operator="equal">
      <formula>"NO"</formula>
    </cfRule>
  </conditionalFormatting>
  <conditionalFormatting sqref="S97">
    <cfRule type="cellIs" dxfId="4982" priority="530" stopIfTrue="1" operator="equal">
      <formula>"INVIABLE SANITARIAMENTE"</formula>
    </cfRule>
  </conditionalFormatting>
  <conditionalFormatting sqref="Q97">
    <cfRule type="containsBlanks" dxfId="4981" priority="523" stopIfTrue="1">
      <formula>LEN(TRIM(Q97))=0</formula>
    </cfRule>
    <cfRule type="cellIs" dxfId="4980" priority="524" stopIfTrue="1" operator="between">
      <formula>80.1</formula>
      <formula>100</formula>
    </cfRule>
    <cfRule type="cellIs" dxfId="4979" priority="525" stopIfTrue="1" operator="between">
      <formula>35.1</formula>
      <formula>80</formula>
    </cfRule>
    <cfRule type="cellIs" dxfId="4978" priority="526" stopIfTrue="1" operator="between">
      <formula>14.1</formula>
      <formula>35</formula>
    </cfRule>
    <cfRule type="cellIs" dxfId="4977" priority="527" stopIfTrue="1" operator="between">
      <formula>5.1</formula>
      <formula>14</formula>
    </cfRule>
    <cfRule type="cellIs" dxfId="4976" priority="528" stopIfTrue="1" operator="between">
      <formula>0</formula>
      <formula>5</formula>
    </cfRule>
    <cfRule type="containsBlanks" dxfId="4975" priority="529" stopIfTrue="1">
      <formula>LEN(TRIM(Q97))=0</formula>
    </cfRule>
  </conditionalFormatting>
  <conditionalFormatting sqref="S97">
    <cfRule type="containsText" dxfId="4974" priority="518" stopIfTrue="1" operator="containsText" text="INVIABLE SANITARIAMENTE">
      <formula>NOT(ISERROR(SEARCH("INVIABLE SANITARIAMENTE",S97)))</formula>
    </cfRule>
    <cfRule type="containsText" dxfId="4973" priority="519" stopIfTrue="1" operator="containsText" text="ALTO">
      <formula>NOT(ISERROR(SEARCH("ALTO",S97)))</formula>
    </cfRule>
    <cfRule type="containsText" dxfId="4972" priority="520" stopIfTrue="1" operator="containsText" text="MEDIO">
      <formula>NOT(ISERROR(SEARCH("MEDIO",S97)))</formula>
    </cfRule>
    <cfRule type="containsText" dxfId="4971" priority="521" stopIfTrue="1" operator="containsText" text="BAJO">
      <formula>NOT(ISERROR(SEARCH("BAJO",S97)))</formula>
    </cfRule>
    <cfRule type="containsText" dxfId="4970" priority="522" stopIfTrue="1" operator="containsText" text="SIN RIESGO">
      <formula>NOT(ISERROR(SEARCH("SIN RIESGO",S97)))</formula>
    </cfRule>
  </conditionalFormatting>
  <conditionalFormatting sqref="S97">
    <cfRule type="containsText" dxfId="4969" priority="517" stopIfTrue="1" operator="containsText" text="SIN RIESGO">
      <formula>NOT(ISERROR(SEARCH("SIN RIESGO",S97)))</formula>
    </cfRule>
  </conditionalFormatting>
  <conditionalFormatting sqref="E98:P98">
    <cfRule type="containsBlanks" dxfId="4968" priority="510" stopIfTrue="1">
      <formula>LEN(TRIM(E98))=0</formula>
    </cfRule>
    <cfRule type="cellIs" dxfId="4967" priority="511" stopIfTrue="1" operator="between">
      <formula>79.1</formula>
      <formula>100</formula>
    </cfRule>
    <cfRule type="cellIs" dxfId="4966" priority="512" stopIfTrue="1" operator="between">
      <formula>34.1</formula>
      <formula>79</formula>
    </cfRule>
    <cfRule type="cellIs" dxfId="4965" priority="513" stopIfTrue="1" operator="between">
      <formula>13.1</formula>
      <formula>34</formula>
    </cfRule>
    <cfRule type="cellIs" dxfId="4964" priority="514" stopIfTrue="1" operator="between">
      <formula>5.1</formula>
      <formula>13</formula>
    </cfRule>
    <cfRule type="cellIs" dxfId="4963" priority="515" stopIfTrue="1" operator="between">
      <formula>0</formula>
      <formula>5</formula>
    </cfRule>
    <cfRule type="containsBlanks" dxfId="4962" priority="516" stopIfTrue="1">
      <formula>LEN(TRIM(E98))=0</formula>
    </cfRule>
  </conditionalFormatting>
  <conditionalFormatting sqref="Q98">
    <cfRule type="containsBlanks" dxfId="4961" priority="503" stopIfTrue="1">
      <formula>LEN(TRIM(Q98))=0</formula>
    </cfRule>
    <cfRule type="cellIs" dxfId="4960" priority="504" stopIfTrue="1" operator="between">
      <formula>80.1</formula>
      <formula>100</formula>
    </cfRule>
    <cfRule type="cellIs" dxfId="4959" priority="505" stopIfTrue="1" operator="between">
      <formula>35.1</formula>
      <formula>80</formula>
    </cfRule>
    <cfRule type="cellIs" dxfId="4958" priority="506" stopIfTrue="1" operator="between">
      <formula>14.1</formula>
      <formula>35</formula>
    </cfRule>
    <cfRule type="cellIs" dxfId="4957" priority="507" stopIfTrue="1" operator="between">
      <formula>5.1</formula>
      <formula>14</formula>
    </cfRule>
    <cfRule type="cellIs" dxfId="4956" priority="508" stopIfTrue="1" operator="between">
      <formula>0</formula>
      <formula>5</formula>
    </cfRule>
    <cfRule type="containsBlanks" dxfId="4955" priority="509" stopIfTrue="1">
      <formula>LEN(TRIM(Q98))=0</formula>
    </cfRule>
  </conditionalFormatting>
  <conditionalFormatting sqref="R98">
    <cfRule type="cellIs" dxfId="4954" priority="502" stopIfTrue="1" operator="equal">
      <formula>"NO"</formula>
    </cfRule>
  </conditionalFormatting>
  <conditionalFormatting sqref="S98">
    <cfRule type="cellIs" dxfId="4953" priority="501" stopIfTrue="1" operator="equal">
      <formula>"INVIABLE SANITARIAMENTE"</formula>
    </cfRule>
  </conditionalFormatting>
  <conditionalFormatting sqref="Q98">
    <cfRule type="containsBlanks" dxfId="4952" priority="494" stopIfTrue="1">
      <formula>LEN(TRIM(Q98))=0</formula>
    </cfRule>
    <cfRule type="cellIs" dxfId="4951" priority="495" stopIfTrue="1" operator="between">
      <formula>80.1</formula>
      <formula>100</formula>
    </cfRule>
    <cfRule type="cellIs" dxfId="4950" priority="496" stopIfTrue="1" operator="between">
      <formula>35.1</formula>
      <formula>80</formula>
    </cfRule>
    <cfRule type="cellIs" dxfId="4949" priority="497" stopIfTrue="1" operator="between">
      <formula>14.1</formula>
      <formula>35</formula>
    </cfRule>
    <cfRule type="cellIs" dxfId="4948" priority="498" stopIfTrue="1" operator="between">
      <formula>5.1</formula>
      <formula>14</formula>
    </cfRule>
    <cfRule type="cellIs" dxfId="4947" priority="499" stopIfTrue="1" operator="between">
      <formula>0</formula>
      <formula>5</formula>
    </cfRule>
    <cfRule type="containsBlanks" dxfId="4946" priority="500" stopIfTrue="1">
      <formula>LEN(TRIM(Q98))=0</formula>
    </cfRule>
  </conditionalFormatting>
  <conditionalFormatting sqref="S98">
    <cfRule type="containsText" dxfId="4945" priority="489" stopIfTrue="1" operator="containsText" text="INVIABLE SANITARIAMENTE">
      <formula>NOT(ISERROR(SEARCH("INVIABLE SANITARIAMENTE",S98)))</formula>
    </cfRule>
    <cfRule type="containsText" dxfId="4944" priority="490" stopIfTrue="1" operator="containsText" text="ALTO">
      <formula>NOT(ISERROR(SEARCH("ALTO",S98)))</formula>
    </cfRule>
    <cfRule type="containsText" dxfId="4943" priority="491" stopIfTrue="1" operator="containsText" text="MEDIO">
      <formula>NOT(ISERROR(SEARCH("MEDIO",S98)))</formula>
    </cfRule>
    <cfRule type="containsText" dxfId="4942" priority="492" stopIfTrue="1" operator="containsText" text="BAJO">
      <formula>NOT(ISERROR(SEARCH("BAJO",S98)))</formula>
    </cfRule>
    <cfRule type="containsText" dxfId="4941" priority="493" stopIfTrue="1" operator="containsText" text="SIN RIESGO">
      <formula>NOT(ISERROR(SEARCH("SIN RIESGO",S98)))</formula>
    </cfRule>
  </conditionalFormatting>
  <conditionalFormatting sqref="S98">
    <cfRule type="containsText" dxfId="4940" priority="488" stopIfTrue="1" operator="containsText" text="SIN RIESGO">
      <formula>NOT(ISERROR(SEARCH("SIN RIESGO",S98)))</formula>
    </cfRule>
  </conditionalFormatting>
  <conditionalFormatting sqref="E99:P99">
    <cfRule type="containsBlanks" dxfId="4939" priority="481" stopIfTrue="1">
      <formula>LEN(TRIM(E99))=0</formula>
    </cfRule>
    <cfRule type="cellIs" dxfId="4938" priority="482" stopIfTrue="1" operator="between">
      <formula>79.1</formula>
      <formula>100</formula>
    </cfRule>
    <cfRule type="cellIs" dxfId="4937" priority="483" stopIfTrue="1" operator="between">
      <formula>34.1</formula>
      <formula>79</formula>
    </cfRule>
    <cfRule type="cellIs" dxfId="4936" priority="484" stopIfTrue="1" operator="between">
      <formula>13.1</formula>
      <formula>34</formula>
    </cfRule>
    <cfRule type="cellIs" dxfId="4935" priority="485" stopIfTrue="1" operator="between">
      <formula>5.1</formula>
      <formula>13</formula>
    </cfRule>
    <cfRule type="cellIs" dxfId="4934" priority="486" stopIfTrue="1" operator="between">
      <formula>0</formula>
      <formula>5</formula>
    </cfRule>
    <cfRule type="containsBlanks" dxfId="4933" priority="487" stopIfTrue="1">
      <formula>LEN(TRIM(E99))=0</formula>
    </cfRule>
  </conditionalFormatting>
  <conditionalFormatting sqref="Q99">
    <cfRule type="containsBlanks" dxfId="4932" priority="474" stopIfTrue="1">
      <formula>LEN(TRIM(Q99))=0</formula>
    </cfRule>
    <cfRule type="cellIs" dxfId="4931" priority="475" stopIfTrue="1" operator="between">
      <formula>80.1</formula>
      <formula>100</formula>
    </cfRule>
    <cfRule type="cellIs" dxfId="4930" priority="476" stopIfTrue="1" operator="between">
      <formula>35.1</formula>
      <formula>80</formula>
    </cfRule>
    <cfRule type="cellIs" dxfId="4929" priority="477" stopIfTrue="1" operator="between">
      <formula>14.1</formula>
      <formula>35</formula>
    </cfRule>
    <cfRule type="cellIs" dxfId="4928" priority="478" stopIfTrue="1" operator="between">
      <formula>5.1</formula>
      <formula>14</formula>
    </cfRule>
    <cfRule type="cellIs" dxfId="4927" priority="479" stopIfTrue="1" operator="between">
      <formula>0</formula>
      <formula>5</formula>
    </cfRule>
    <cfRule type="containsBlanks" dxfId="4926" priority="480" stopIfTrue="1">
      <formula>LEN(TRIM(Q99))=0</formula>
    </cfRule>
  </conditionalFormatting>
  <conditionalFormatting sqref="R99">
    <cfRule type="cellIs" dxfId="4925" priority="473" stopIfTrue="1" operator="equal">
      <formula>"NO"</formula>
    </cfRule>
  </conditionalFormatting>
  <conditionalFormatting sqref="S99">
    <cfRule type="cellIs" dxfId="4924" priority="472" stopIfTrue="1" operator="equal">
      <formula>"INVIABLE SANITARIAMENTE"</formula>
    </cfRule>
  </conditionalFormatting>
  <conditionalFormatting sqref="Q99">
    <cfRule type="containsBlanks" dxfId="4923" priority="465" stopIfTrue="1">
      <formula>LEN(TRIM(Q99))=0</formula>
    </cfRule>
    <cfRule type="cellIs" dxfId="4922" priority="466" stopIfTrue="1" operator="between">
      <formula>80.1</formula>
      <formula>100</formula>
    </cfRule>
    <cfRule type="cellIs" dxfId="4921" priority="467" stopIfTrue="1" operator="between">
      <formula>35.1</formula>
      <formula>80</formula>
    </cfRule>
    <cfRule type="cellIs" dxfId="4920" priority="468" stopIfTrue="1" operator="between">
      <formula>14.1</formula>
      <formula>35</formula>
    </cfRule>
    <cfRule type="cellIs" dxfId="4919" priority="469" stopIfTrue="1" operator="between">
      <formula>5.1</formula>
      <formula>14</formula>
    </cfRule>
    <cfRule type="cellIs" dxfId="4918" priority="470" stopIfTrue="1" operator="between">
      <formula>0</formula>
      <formula>5</formula>
    </cfRule>
    <cfRule type="containsBlanks" dxfId="4917" priority="471" stopIfTrue="1">
      <formula>LEN(TRIM(Q99))=0</formula>
    </cfRule>
  </conditionalFormatting>
  <conditionalFormatting sqref="S99">
    <cfRule type="containsText" dxfId="4916" priority="460" stopIfTrue="1" operator="containsText" text="INVIABLE SANITARIAMENTE">
      <formula>NOT(ISERROR(SEARCH("INVIABLE SANITARIAMENTE",S99)))</formula>
    </cfRule>
    <cfRule type="containsText" dxfId="4915" priority="461" stopIfTrue="1" operator="containsText" text="ALTO">
      <formula>NOT(ISERROR(SEARCH("ALTO",S99)))</formula>
    </cfRule>
    <cfRule type="containsText" dxfId="4914" priority="462" stopIfTrue="1" operator="containsText" text="MEDIO">
      <formula>NOT(ISERROR(SEARCH("MEDIO",S99)))</formula>
    </cfRule>
    <cfRule type="containsText" dxfId="4913" priority="463" stopIfTrue="1" operator="containsText" text="BAJO">
      <formula>NOT(ISERROR(SEARCH("BAJO",S99)))</formula>
    </cfRule>
    <cfRule type="containsText" dxfId="4912" priority="464" stopIfTrue="1" operator="containsText" text="SIN RIESGO">
      <formula>NOT(ISERROR(SEARCH("SIN RIESGO",S99)))</formula>
    </cfRule>
  </conditionalFormatting>
  <conditionalFormatting sqref="S99">
    <cfRule type="containsText" dxfId="4911" priority="459" stopIfTrue="1" operator="containsText" text="SIN RIESGO">
      <formula>NOT(ISERROR(SEARCH("SIN RIESGO",S99)))</formula>
    </cfRule>
  </conditionalFormatting>
  <conditionalFormatting sqref="E100:P100">
    <cfRule type="containsBlanks" dxfId="4910" priority="452" stopIfTrue="1">
      <formula>LEN(TRIM(E100))=0</formula>
    </cfRule>
    <cfRule type="cellIs" dxfId="4909" priority="453" stopIfTrue="1" operator="between">
      <formula>79.1</formula>
      <formula>100</formula>
    </cfRule>
    <cfRule type="cellIs" dxfId="4908" priority="454" stopIfTrue="1" operator="between">
      <formula>34.1</formula>
      <formula>79</formula>
    </cfRule>
    <cfRule type="cellIs" dxfId="4907" priority="455" stopIfTrue="1" operator="between">
      <formula>13.1</formula>
      <formula>34</formula>
    </cfRule>
    <cfRule type="cellIs" dxfId="4906" priority="456" stopIfTrue="1" operator="between">
      <formula>5.1</formula>
      <formula>13</formula>
    </cfRule>
    <cfRule type="cellIs" dxfId="4905" priority="457" stopIfTrue="1" operator="between">
      <formula>0</formula>
      <formula>5</formula>
    </cfRule>
    <cfRule type="containsBlanks" dxfId="4904" priority="458" stopIfTrue="1">
      <formula>LEN(TRIM(E100))=0</formula>
    </cfRule>
  </conditionalFormatting>
  <conditionalFormatting sqref="Q100">
    <cfRule type="containsBlanks" dxfId="4903" priority="445" stopIfTrue="1">
      <formula>LEN(TRIM(Q100))=0</formula>
    </cfRule>
    <cfRule type="cellIs" dxfId="4902" priority="446" stopIfTrue="1" operator="between">
      <formula>80.1</formula>
      <formula>100</formula>
    </cfRule>
    <cfRule type="cellIs" dxfId="4901" priority="447" stopIfTrue="1" operator="between">
      <formula>35.1</formula>
      <formula>80</formula>
    </cfRule>
    <cfRule type="cellIs" dxfId="4900" priority="448" stopIfTrue="1" operator="between">
      <formula>14.1</formula>
      <formula>35</formula>
    </cfRule>
    <cfRule type="cellIs" dxfId="4899" priority="449" stopIfTrue="1" operator="between">
      <formula>5.1</formula>
      <formula>14</formula>
    </cfRule>
    <cfRule type="cellIs" dxfId="4898" priority="450" stopIfTrue="1" operator="between">
      <formula>0</formula>
      <formula>5</formula>
    </cfRule>
    <cfRule type="containsBlanks" dxfId="4897" priority="451" stopIfTrue="1">
      <formula>LEN(TRIM(Q100))=0</formula>
    </cfRule>
  </conditionalFormatting>
  <conditionalFormatting sqref="R100">
    <cfRule type="cellIs" dxfId="4896" priority="444" stopIfTrue="1" operator="equal">
      <formula>"NO"</formula>
    </cfRule>
  </conditionalFormatting>
  <conditionalFormatting sqref="S100">
    <cfRule type="cellIs" dxfId="4895" priority="443" stopIfTrue="1" operator="equal">
      <formula>"INVIABLE SANITARIAMENTE"</formula>
    </cfRule>
  </conditionalFormatting>
  <conditionalFormatting sqref="Q100">
    <cfRule type="containsBlanks" dxfId="4894" priority="436" stopIfTrue="1">
      <formula>LEN(TRIM(Q100))=0</formula>
    </cfRule>
    <cfRule type="cellIs" dxfId="4893" priority="437" stopIfTrue="1" operator="between">
      <formula>80.1</formula>
      <formula>100</formula>
    </cfRule>
    <cfRule type="cellIs" dxfId="4892" priority="438" stopIfTrue="1" operator="between">
      <formula>35.1</formula>
      <formula>80</formula>
    </cfRule>
    <cfRule type="cellIs" dxfId="4891" priority="439" stopIfTrue="1" operator="between">
      <formula>14.1</formula>
      <formula>35</formula>
    </cfRule>
    <cfRule type="cellIs" dxfId="4890" priority="440" stopIfTrue="1" operator="between">
      <formula>5.1</formula>
      <formula>14</formula>
    </cfRule>
    <cfRule type="cellIs" dxfId="4889" priority="441" stopIfTrue="1" operator="between">
      <formula>0</formula>
      <formula>5</formula>
    </cfRule>
    <cfRule type="containsBlanks" dxfId="4888" priority="442" stopIfTrue="1">
      <formula>LEN(TRIM(Q100))=0</formula>
    </cfRule>
  </conditionalFormatting>
  <conditionalFormatting sqref="S100">
    <cfRule type="containsText" dxfId="4887" priority="431" stopIfTrue="1" operator="containsText" text="INVIABLE SANITARIAMENTE">
      <formula>NOT(ISERROR(SEARCH("INVIABLE SANITARIAMENTE",S100)))</formula>
    </cfRule>
    <cfRule type="containsText" dxfId="4886" priority="432" stopIfTrue="1" operator="containsText" text="ALTO">
      <formula>NOT(ISERROR(SEARCH("ALTO",S100)))</formula>
    </cfRule>
    <cfRule type="containsText" dxfId="4885" priority="433" stopIfTrue="1" operator="containsText" text="MEDIO">
      <formula>NOT(ISERROR(SEARCH("MEDIO",S100)))</formula>
    </cfRule>
    <cfRule type="containsText" dxfId="4884" priority="434" stopIfTrue="1" operator="containsText" text="BAJO">
      <formula>NOT(ISERROR(SEARCH("BAJO",S100)))</formula>
    </cfRule>
    <cfRule type="containsText" dxfId="4883" priority="435" stopIfTrue="1" operator="containsText" text="SIN RIESGO">
      <formula>NOT(ISERROR(SEARCH("SIN RIESGO",S100)))</formula>
    </cfRule>
  </conditionalFormatting>
  <conditionalFormatting sqref="S100">
    <cfRule type="containsText" dxfId="4882" priority="430" stopIfTrue="1" operator="containsText" text="SIN RIESGO">
      <formula>NOT(ISERROR(SEARCH("SIN RIESGO",S100)))</formula>
    </cfRule>
  </conditionalFormatting>
  <conditionalFormatting sqref="E101:P101">
    <cfRule type="containsBlanks" dxfId="4881" priority="423" stopIfTrue="1">
      <formula>LEN(TRIM(E101))=0</formula>
    </cfRule>
    <cfRule type="cellIs" dxfId="4880" priority="424" stopIfTrue="1" operator="between">
      <formula>79.1</formula>
      <formula>100</formula>
    </cfRule>
    <cfRule type="cellIs" dxfId="4879" priority="425" stopIfTrue="1" operator="between">
      <formula>34.1</formula>
      <formula>79</formula>
    </cfRule>
    <cfRule type="cellIs" dxfId="4878" priority="426" stopIfTrue="1" operator="between">
      <formula>13.1</formula>
      <formula>34</formula>
    </cfRule>
    <cfRule type="cellIs" dxfId="4877" priority="427" stopIfTrue="1" operator="between">
      <formula>5.1</formula>
      <formula>13</formula>
    </cfRule>
    <cfRule type="cellIs" dxfId="4876" priority="428" stopIfTrue="1" operator="between">
      <formula>0</formula>
      <formula>5</formula>
    </cfRule>
    <cfRule type="containsBlanks" dxfId="4875" priority="429" stopIfTrue="1">
      <formula>LEN(TRIM(E101))=0</formula>
    </cfRule>
  </conditionalFormatting>
  <conditionalFormatting sqref="Q101">
    <cfRule type="containsBlanks" dxfId="4874" priority="416" stopIfTrue="1">
      <formula>LEN(TRIM(Q101))=0</formula>
    </cfRule>
    <cfRule type="cellIs" dxfId="4873" priority="417" stopIfTrue="1" operator="between">
      <formula>80.1</formula>
      <formula>100</formula>
    </cfRule>
    <cfRule type="cellIs" dxfId="4872" priority="418" stopIfTrue="1" operator="between">
      <formula>35.1</formula>
      <formula>80</formula>
    </cfRule>
    <cfRule type="cellIs" dxfId="4871" priority="419" stopIfTrue="1" operator="between">
      <formula>14.1</formula>
      <formula>35</formula>
    </cfRule>
    <cfRule type="cellIs" dxfId="4870" priority="420" stopIfTrue="1" operator="between">
      <formula>5.1</formula>
      <formula>14</formula>
    </cfRule>
    <cfRule type="cellIs" dxfId="4869" priority="421" stopIfTrue="1" operator="between">
      <formula>0</formula>
      <formula>5</formula>
    </cfRule>
    <cfRule type="containsBlanks" dxfId="4868" priority="422" stopIfTrue="1">
      <formula>LEN(TRIM(Q101))=0</formula>
    </cfRule>
  </conditionalFormatting>
  <conditionalFormatting sqref="R101">
    <cfRule type="cellIs" dxfId="4867" priority="415" stopIfTrue="1" operator="equal">
      <formula>"NO"</formula>
    </cfRule>
  </conditionalFormatting>
  <conditionalFormatting sqref="S101">
    <cfRule type="cellIs" dxfId="4866" priority="414" stopIfTrue="1" operator="equal">
      <formula>"INVIABLE SANITARIAMENTE"</formula>
    </cfRule>
  </conditionalFormatting>
  <conditionalFormatting sqref="Q101">
    <cfRule type="containsBlanks" dxfId="4865" priority="407" stopIfTrue="1">
      <formula>LEN(TRIM(Q101))=0</formula>
    </cfRule>
    <cfRule type="cellIs" dxfId="4864" priority="408" stopIfTrue="1" operator="between">
      <formula>80.1</formula>
      <formula>100</formula>
    </cfRule>
    <cfRule type="cellIs" dxfId="4863" priority="409" stopIfTrue="1" operator="between">
      <formula>35.1</formula>
      <formula>80</formula>
    </cfRule>
    <cfRule type="cellIs" dxfId="4862" priority="410" stopIfTrue="1" operator="between">
      <formula>14.1</formula>
      <formula>35</formula>
    </cfRule>
    <cfRule type="cellIs" dxfId="4861" priority="411" stopIfTrue="1" operator="between">
      <formula>5.1</formula>
      <formula>14</formula>
    </cfRule>
    <cfRule type="cellIs" dxfId="4860" priority="412" stopIfTrue="1" operator="between">
      <formula>0</formula>
      <formula>5</formula>
    </cfRule>
    <cfRule type="containsBlanks" dxfId="4859" priority="413" stopIfTrue="1">
      <formula>LEN(TRIM(Q101))=0</formula>
    </cfRule>
  </conditionalFormatting>
  <conditionalFormatting sqref="S101">
    <cfRule type="containsText" dxfId="4858" priority="402" stopIfTrue="1" operator="containsText" text="INVIABLE SANITARIAMENTE">
      <formula>NOT(ISERROR(SEARCH("INVIABLE SANITARIAMENTE",S101)))</formula>
    </cfRule>
    <cfRule type="containsText" dxfId="4857" priority="403" stopIfTrue="1" operator="containsText" text="ALTO">
      <formula>NOT(ISERROR(SEARCH("ALTO",S101)))</formula>
    </cfRule>
    <cfRule type="containsText" dxfId="4856" priority="404" stopIfTrue="1" operator="containsText" text="MEDIO">
      <formula>NOT(ISERROR(SEARCH("MEDIO",S101)))</formula>
    </cfRule>
    <cfRule type="containsText" dxfId="4855" priority="405" stopIfTrue="1" operator="containsText" text="BAJO">
      <formula>NOT(ISERROR(SEARCH("BAJO",S101)))</formula>
    </cfRule>
    <cfRule type="containsText" dxfId="4854" priority="406" stopIfTrue="1" operator="containsText" text="SIN RIESGO">
      <formula>NOT(ISERROR(SEARCH("SIN RIESGO",S101)))</formula>
    </cfRule>
  </conditionalFormatting>
  <conditionalFormatting sqref="S101">
    <cfRule type="containsText" dxfId="4853" priority="401" stopIfTrue="1" operator="containsText" text="SIN RIESGO">
      <formula>NOT(ISERROR(SEARCH("SIN RIESGO",S101)))</formula>
    </cfRule>
  </conditionalFormatting>
  <conditionalFormatting sqref="E102:P102">
    <cfRule type="containsBlanks" dxfId="4852" priority="394" stopIfTrue="1">
      <formula>LEN(TRIM(E102))=0</formula>
    </cfRule>
    <cfRule type="cellIs" dxfId="4851" priority="395" stopIfTrue="1" operator="between">
      <formula>79.1</formula>
      <formula>100</formula>
    </cfRule>
    <cfRule type="cellIs" dxfId="4850" priority="396" stopIfTrue="1" operator="between">
      <formula>34.1</formula>
      <formula>79</formula>
    </cfRule>
    <cfRule type="cellIs" dxfId="4849" priority="397" stopIfTrue="1" operator="between">
      <formula>13.1</formula>
      <formula>34</formula>
    </cfRule>
    <cfRule type="cellIs" dxfId="4848" priority="398" stopIfTrue="1" operator="between">
      <formula>5.1</formula>
      <formula>13</formula>
    </cfRule>
    <cfRule type="cellIs" dxfId="4847" priority="399" stopIfTrue="1" operator="between">
      <formula>0</formula>
      <formula>5</formula>
    </cfRule>
    <cfRule type="containsBlanks" dxfId="4846" priority="400" stopIfTrue="1">
      <formula>LEN(TRIM(E102))=0</formula>
    </cfRule>
  </conditionalFormatting>
  <conditionalFormatting sqref="Q102">
    <cfRule type="containsBlanks" dxfId="4845" priority="387" stopIfTrue="1">
      <formula>LEN(TRIM(Q102))=0</formula>
    </cfRule>
    <cfRule type="cellIs" dxfId="4844" priority="388" stopIfTrue="1" operator="between">
      <formula>80.1</formula>
      <formula>100</formula>
    </cfRule>
    <cfRule type="cellIs" dxfId="4843" priority="389" stopIfTrue="1" operator="between">
      <formula>35.1</formula>
      <formula>80</formula>
    </cfRule>
    <cfRule type="cellIs" dxfId="4842" priority="390" stopIfTrue="1" operator="between">
      <formula>14.1</formula>
      <formula>35</formula>
    </cfRule>
    <cfRule type="cellIs" dxfId="4841" priority="391" stopIfTrue="1" operator="between">
      <formula>5.1</formula>
      <formula>14</formula>
    </cfRule>
    <cfRule type="cellIs" dxfId="4840" priority="392" stopIfTrue="1" operator="between">
      <formula>0</formula>
      <formula>5</formula>
    </cfRule>
    <cfRule type="containsBlanks" dxfId="4839" priority="393" stopIfTrue="1">
      <formula>LEN(TRIM(Q102))=0</formula>
    </cfRule>
  </conditionalFormatting>
  <conditionalFormatting sqref="R102">
    <cfRule type="cellIs" dxfId="4838" priority="386" stopIfTrue="1" operator="equal">
      <formula>"NO"</formula>
    </cfRule>
  </conditionalFormatting>
  <conditionalFormatting sqref="S102">
    <cfRule type="cellIs" dxfId="4837" priority="385" stopIfTrue="1" operator="equal">
      <formula>"INVIABLE SANITARIAMENTE"</formula>
    </cfRule>
  </conditionalFormatting>
  <conditionalFormatting sqref="Q102">
    <cfRule type="containsBlanks" dxfId="4836" priority="378" stopIfTrue="1">
      <formula>LEN(TRIM(Q102))=0</formula>
    </cfRule>
    <cfRule type="cellIs" dxfId="4835" priority="379" stopIfTrue="1" operator="between">
      <formula>80.1</formula>
      <formula>100</formula>
    </cfRule>
    <cfRule type="cellIs" dxfId="4834" priority="380" stopIfTrue="1" operator="between">
      <formula>35.1</formula>
      <formula>80</formula>
    </cfRule>
    <cfRule type="cellIs" dxfId="4833" priority="381" stopIfTrue="1" operator="between">
      <formula>14.1</formula>
      <formula>35</formula>
    </cfRule>
    <cfRule type="cellIs" dxfId="4832" priority="382" stopIfTrue="1" operator="between">
      <formula>5.1</formula>
      <formula>14</formula>
    </cfRule>
    <cfRule type="cellIs" dxfId="4831" priority="383" stopIfTrue="1" operator="between">
      <formula>0</formula>
      <formula>5</formula>
    </cfRule>
    <cfRule type="containsBlanks" dxfId="4830" priority="384" stopIfTrue="1">
      <formula>LEN(TRIM(Q102))=0</formula>
    </cfRule>
  </conditionalFormatting>
  <conditionalFormatting sqref="S102">
    <cfRule type="containsText" dxfId="4829" priority="373" stopIfTrue="1" operator="containsText" text="INVIABLE SANITARIAMENTE">
      <formula>NOT(ISERROR(SEARCH("INVIABLE SANITARIAMENTE",S102)))</formula>
    </cfRule>
    <cfRule type="containsText" dxfId="4828" priority="374" stopIfTrue="1" operator="containsText" text="ALTO">
      <formula>NOT(ISERROR(SEARCH("ALTO",S102)))</formula>
    </cfRule>
    <cfRule type="containsText" dxfId="4827" priority="375" stopIfTrue="1" operator="containsText" text="MEDIO">
      <formula>NOT(ISERROR(SEARCH("MEDIO",S102)))</formula>
    </cfRule>
    <cfRule type="containsText" dxfId="4826" priority="376" stopIfTrue="1" operator="containsText" text="BAJO">
      <formula>NOT(ISERROR(SEARCH("BAJO",S102)))</formula>
    </cfRule>
    <cfRule type="containsText" dxfId="4825" priority="377" stopIfTrue="1" operator="containsText" text="SIN RIESGO">
      <formula>NOT(ISERROR(SEARCH("SIN RIESGO",S102)))</formula>
    </cfRule>
  </conditionalFormatting>
  <conditionalFormatting sqref="S102">
    <cfRule type="containsText" dxfId="4824" priority="372" stopIfTrue="1" operator="containsText" text="SIN RIESGO">
      <formula>NOT(ISERROR(SEARCH("SIN RIESGO",S102)))</formula>
    </cfRule>
  </conditionalFormatting>
  <conditionalFormatting sqref="E103:P103">
    <cfRule type="containsBlanks" dxfId="4823" priority="365" stopIfTrue="1">
      <formula>LEN(TRIM(E103))=0</formula>
    </cfRule>
    <cfRule type="cellIs" dxfId="4822" priority="366" stopIfTrue="1" operator="between">
      <formula>79.1</formula>
      <formula>100</formula>
    </cfRule>
    <cfRule type="cellIs" dxfId="4821" priority="367" stopIfTrue="1" operator="between">
      <formula>34.1</formula>
      <formula>79</formula>
    </cfRule>
    <cfRule type="cellIs" dxfId="4820" priority="368" stopIfTrue="1" operator="between">
      <formula>13.1</formula>
      <formula>34</formula>
    </cfRule>
    <cfRule type="cellIs" dxfId="4819" priority="369" stopIfTrue="1" operator="between">
      <formula>5.1</formula>
      <formula>13</formula>
    </cfRule>
    <cfRule type="cellIs" dxfId="4818" priority="370" stopIfTrue="1" operator="between">
      <formula>0</formula>
      <formula>5</formula>
    </cfRule>
    <cfRule type="containsBlanks" dxfId="4817" priority="371" stopIfTrue="1">
      <formula>LEN(TRIM(E103))=0</formula>
    </cfRule>
  </conditionalFormatting>
  <conditionalFormatting sqref="Q103">
    <cfRule type="containsBlanks" dxfId="4816" priority="358" stopIfTrue="1">
      <formula>LEN(TRIM(Q103))=0</formula>
    </cfRule>
    <cfRule type="cellIs" dxfId="4815" priority="359" stopIfTrue="1" operator="between">
      <formula>80.1</formula>
      <formula>100</formula>
    </cfRule>
    <cfRule type="cellIs" dxfId="4814" priority="360" stopIfTrue="1" operator="between">
      <formula>35.1</formula>
      <formula>80</formula>
    </cfRule>
    <cfRule type="cellIs" dxfId="4813" priority="361" stopIfTrue="1" operator="between">
      <formula>14.1</formula>
      <formula>35</formula>
    </cfRule>
    <cfRule type="cellIs" dxfId="4812" priority="362" stopIfTrue="1" operator="between">
      <formula>5.1</formula>
      <formula>14</formula>
    </cfRule>
    <cfRule type="cellIs" dxfId="4811" priority="363" stopIfTrue="1" operator="between">
      <formula>0</formula>
      <formula>5</formula>
    </cfRule>
    <cfRule type="containsBlanks" dxfId="4810" priority="364" stopIfTrue="1">
      <formula>LEN(TRIM(Q103))=0</formula>
    </cfRule>
  </conditionalFormatting>
  <conditionalFormatting sqref="R103">
    <cfRule type="cellIs" dxfId="4809" priority="357" stopIfTrue="1" operator="equal">
      <formula>"NO"</formula>
    </cfRule>
  </conditionalFormatting>
  <conditionalFormatting sqref="S103">
    <cfRule type="cellIs" dxfId="4808" priority="356" stopIfTrue="1" operator="equal">
      <formula>"INVIABLE SANITARIAMENTE"</formula>
    </cfRule>
  </conditionalFormatting>
  <conditionalFormatting sqref="Q103">
    <cfRule type="containsBlanks" dxfId="4807" priority="349" stopIfTrue="1">
      <formula>LEN(TRIM(Q103))=0</formula>
    </cfRule>
    <cfRule type="cellIs" dxfId="4806" priority="350" stopIfTrue="1" operator="between">
      <formula>80.1</formula>
      <formula>100</formula>
    </cfRule>
    <cfRule type="cellIs" dxfId="4805" priority="351" stopIfTrue="1" operator="between">
      <formula>35.1</formula>
      <formula>80</formula>
    </cfRule>
    <cfRule type="cellIs" dxfId="4804" priority="352" stopIfTrue="1" operator="between">
      <formula>14.1</formula>
      <formula>35</formula>
    </cfRule>
    <cfRule type="cellIs" dxfId="4803" priority="353" stopIfTrue="1" operator="between">
      <formula>5.1</formula>
      <formula>14</formula>
    </cfRule>
    <cfRule type="cellIs" dxfId="4802" priority="354" stopIfTrue="1" operator="between">
      <formula>0</formula>
      <formula>5</formula>
    </cfRule>
    <cfRule type="containsBlanks" dxfId="4801" priority="355" stopIfTrue="1">
      <formula>LEN(TRIM(Q103))=0</formula>
    </cfRule>
  </conditionalFormatting>
  <conditionalFormatting sqref="S103">
    <cfRule type="containsText" dxfId="4800" priority="344" stopIfTrue="1" operator="containsText" text="INVIABLE SANITARIAMENTE">
      <formula>NOT(ISERROR(SEARCH("INVIABLE SANITARIAMENTE",S103)))</formula>
    </cfRule>
    <cfRule type="containsText" dxfId="4799" priority="345" stopIfTrue="1" operator="containsText" text="ALTO">
      <formula>NOT(ISERROR(SEARCH("ALTO",S103)))</formula>
    </cfRule>
    <cfRule type="containsText" dxfId="4798" priority="346" stopIfTrue="1" operator="containsText" text="MEDIO">
      <formula>NOT(ISERROR(SEARCH("MEDIO",S103)))</formula>
    </cfRule>
    <cfRule type="containsText" dxfId="4797" priority="347" stopIfTrue="1" operator="containsText" text="BAJO">
      <formula>NOT(ISERROR(SEARCH("BAJO",S103)))</formula>
    </cfRule>
    <cfRule type="containsText" dxfId="4796" priority="348" stopIfTrue="1" operator="containsText" text="SIN RIESGO">
      <formula>NOT(ISERROR(SEARCH("SIN RIESGO",S103)))</formula>
    </cfRule>
  </conditionalFormatting>
  <conditionalFormatting sqref="S103">
    <cfRule type="containsText" dxfId="4795" priority="343" stopIfTrue="1" operator="containsText" text="SIN RIESGO">
      <formula>NOT(ISERROR(SEARCH("SIN RIESGO",S103)))</formula>
    </cfRule>
  </conditionalFormatting>
  <conditionalFormatting sqref="E104:P104">
    <cfRule type="containsBlanks" dxfId="4794" priority="336" stopIfTrue="1">
      <formula>LEN(TRIM(E104))=0</formula>
    </cfRule>
    <cfRule type="cellIs" dxfId="4793" priority="337" stopIfTrue="1" operator="between">
      <formula>79.1</formula>
      <formula>100</formula>
    </cfRule>
    <cfRule type="cellIs" dxfId="4792" priority="338" stopIfTrue="1" operator="between">
      <formula>34.1</formula>
      <formula>79</formula>
    </cfRule>
    <cfRule type="cellIs" dxfId="4791" priority="339" stopIfTrue="1" operator="between">
      <formula>13.1</formula>
      <formula>34</formula>
    </cfRule>
    <cfRule type="cellIs" dxfId="4790" priority="340" stopIfTrue="1" operator="between">
      <formula>5.1</formula>
      <formula>13</formula>
    </cfRule>
    <cfRule type="cellIs" dxfId="4789" priority="341" stopIfTrue="1" operator="between">
      <formula>0</formula>
      <formula>5</formula>
    </cfRule>
    <cfRule type="containsBlanks" dxfId="4788" priority="342" stopIfTrue="1">
      <formula>LEN(TRIM(E104))=0</formula>
    </cfRule>
  </conditionalFormatting>
  <conditionalFormatting sqref="Q104">
    <cfRule type="containsBlanks" dxfId="4787" priority="329" stopIfTrue="1">
      <formula>LEN(TRIM(Q104))=0</formula>
    </cfRule>
    <cfRule type="cellIs" dxfId="4786" priority="330" stopIfTrue="1" operator="between">
      <formula>80.1</formula>
      <formula>100</formula>
    </cfRule>
    <cfRule type="cellIs" dxfId="4785" priority="331" stopIfTrue="1" operator="between">
      <formula>35.1</formula>
      <formula>80</formula>
    </cfRule>
    <cfRule type="cellIs" dxfId="4784" priority="332" stopIfTrue="1" operator="between">
      <formula>14.1</formula>
      <formula>35</formula>
    </cfRule>
    <cfRule type="cellIs" dxfId="4783" priority="333" stopIfTrue="1" operator="between">
      <formula>5.1</formula>
      <formula>14</formula>
    </cfRule>
    <cfRule type="cellIs" dxfId="4782" priority="334" stopIfTrue="1" operator="between">
      <formula>0</formula>
      <formula>5</formula>
    </cfRule>
    <cfRule type="containsBlanks" dxfId="4781" priority="335" stopIfTrue="1">
      <formula>LEN(TRIM(Q104))=0</formula>
    </cfRule>
  </conditionalFormatting>
  <conditionalFormatting sqref="R104">
    <cfRule type="cellIs" dxfId="4780" priority="328" stopIfTrue="1" operator="equal">
      <formula>"NO"</formula>
    </cfRule>
  </conditionalFormatting>
  <conditionalFormatting sqref="S104">
    <cfRule type="cellIs" dxfId="4779" priority="327" stopIfTrue="1" operator="equal">
      <formula>"INVIABLE SANITARIAMENTE"</formula>
    </cfRule>
  </conditionalFormatting>
  <conditionalFormatting sqref="Q104">
    <cfRule type="containsBlanks" dxfId="4778" priority="320" stopIfTrue="1">
      <formula>LEN(TRIM(Q104))=0</formula>
    </cfRule>
    <cfRule type="cellIs" dxfId="4777" priority="321" stopIfTrue="1" operator="between">
      <formula>80.1</formula>
      <formula>100</formula>
    </cfRule>
    <cfRule type="cellIs" dxfId="4776" priority="322" stopIfTrue="1" operator="between">
      <formula>35.1</formula>
      <formula>80</formula>
    </cfRule>
    <cfRule type="cellIs" dxfId="4775" priority="323" stopIfTrue="1" operator="between">
      <formula>14.1</formula>
      <formula>35</formula>
    </cfRule>
    <cfRule type="cellIs" dxfId="4774" priority="324" stopIfTrue="1" operator="between">
      <formula>5.1</formula>
      <formula>14</formula>
    </cfRule>
    <cfRule type="cellIs" dxfId="4773" priority="325" stopIfTrue="1" operator="between">
      <formula>0</formula>
      <formula>5</formula>
    </cfRule>
    <cfRule type="containsBlanks" dxfId="4772" priority="326" stopIfTrue="1">
      <formula>LEN(TRIM(Q104))=0</formula>
    </cfRule>
  </conditionalFormatting>
  <conditionalFormatting sqref="S104">
    <cfRule type="containsText" dxfId="4771" priority="315" stopIfTrue="1" operator="containsText" text="INVIABLE SANITARIAMENTE">
      <formula>NOT(ISERROR(SEARCH("INVIABLE SANITARIAMENTE",S104)))</formula>
    </cfRule>
    <cfRule type="containsText" dxfId="4770" priority="316" stopIfTrue="1" operator="containsText" text="ALTO">
      <formula>NOT(ISERROR(SEARCH("ALTO",S104)))</formula>
    </cfRule>
    <cfRule type="containsText" dxfId="4769" priority="317" stopIfTrue="1" operator="containsText" text="MEDIO">
      <formula>NOT(ISERROR(SEARCH("MEDIO",S104)))</formula>
    </cfRule>
    <cfRule type="containsText" dxfId="4768" priority="318" stopIfTrue="1" operator="containsText" text="BAJO">
      <formula>NOT(ISERROR(SEARCH("BAJO",S104)))</formula>
    </cfRule>
    <cfRule type="containsText" dxfId="4767" priority="319" stopIfTrue="1" operator="containsText" text="SIN RIESGO">
      <formula>NOT(ISERROR(SEARCH("SIN RIESGO",S104)))</formula>
    </cfRule>
  </conditionalFormatting>
  <conditionalFormatting sqref="S104">
    <cfRule type="containsText" dxfId="4766" priority="314" stopIfTrue="1" operator="containsText" text="SIN RIESGO">
      <formula>NOT(ISERROR(SEARCH("SIN RIESGO",S104)))</formula>
    </cfRule>
  </conditionalFormatting>
  <conditionalFormatting sqref="E105:P105">
    <cfRule type="containsBlanks" dxfId="4765" priority="307" stopIfTrue="1">
      <formula>LEN(TRIM(E105))=0</formula>
    </cfRule>
    <cfRule type="cellIs" dxfId="4764" priority="308" stopIfTrue="1" operator="between">
      <formula>79.1</formula>
      <formula>100</formula>
    </cfRule>
    <cfRule type="cellIs" dxfId="4763" priority="309" stopIfTrue="1" operator="between">
      <formula>34.1</formula>
      <formula>79</formula>
    </cfRule>
    <cfRule type="cellIs" dxfId="4762" priority="310" stopIfTrue="1" operator="between">
      <formula>13.1</formula>
      <formula>34</formula>
    </cfRule>
    <cfRule type="cellIs" dxfId="4761" priority="311" stopIfTrue="1" operator="between">
      <formula>5.1</formula>
      <formula>13</formula>
    </cfRule>
    <cfRule type="cellIs" dxfId="4760" priority="312" stopIfTrue="1" operator="between">
      <formula>0</formula>
      <formula>5</formula>
    </cfRule>
    <cfRule type="containsBlanks" dxfId="4759" priority="313" stopIfTrue="1">
      <formula>LEN(TRIM(E105))=0</formula>
    </cfRule>
  </conditionalFormatting>
  <conditionalFormatting sqref="Q105">
    <cfRule type="containsBlanks" dxfId="4758" priority="300" stopIfTrue="1">
      <formula>LEN(TRIM(Q105))=0</formula>
    </cfRule>
    <cfRule type="cellIs" dxfId="4757" priority="301" stopIfTrue="1" operator="between">
      <formula>80.1</formula>
      <formula>100</formula>
    </cfRule>
    <cfRule type="cellIs" dxfId="4756" priority="302" stopIfTrue="1" operator="between">
      <formula>35.1</formula>
      <formula>80</formula>
    </cfRule>
    <cfRule type="cellIs" dxfId="4755" priority="303" stopIfTrue="1" operator="between">
      <formula>14.1</formula>
      <formula>35</formula>
    </cfRule>
    <cfRule type="cellIs" dxfId="4754" priority="304" stopIfTrue="1" operator="between">
      <formula>5.1</formula>
      <formula>14</formula>
    </cfRule>
    <cfRule type="cellIs" dxfId="4753" priority="305" stopIfTrue="1" operator="between">
      <formula>0</formula>
      <formula>5</formula>
    </cfRule>
    <cfRule type="containsBlanks" dxfId="4752" priority="306" stopIfTrue="1">
      <formula>LEN(TRIM(Q105))=0</formula>
    </cfRule>
  </conditionalFormatting>
  <conditionalFormatting sqref="R105">
    <cfRule type="cellIs" dxfId="4751" priority="299" stopIfTrue="1" operator="equal">
      <formula>"NO"</formula>
    </cfRule>
  </conditionalFormatting>
  <conditionalFormatting sqref="S105">
    <cfRule type="cellIs" dxfId="4750" priority="298" stopIfTrue="1" operator="equal">
      <formula>"INVIABLE SANITARIAMENTE"</formula>
    </cfRule>
  </conditionalFormatting>
  <conditionalFormatting sqref="Q105">
    <cfRule type="containsBlanks" dxfId="4749" priority="291" stopIfTrue="1">
      <formula>LEN(TRIM(Q105))=0</formula>
    </cfRule>
    <cfRule type="cellIs" dxfId="4748" priority="292" stopIfTrue="1" operator="between">
      <formula>80.1</formula>
      <formula>100</formula>
    </cfRule>
    <cfRule type="cellIs" dxfId="4747" priority="293" stopIfTrue="1" operator="between">
      <formula>35.1</formula>
      <formula>80</formula>
    </cfRule>
    <cfRule type="cellIs" dxfId="4746" priority="294" stopIfTrue="1" operator="between">
      <formula>14.1</formula>
      <formula>35</formula>
    </cfRule>
    <cfRule type="cellIs" dxfId="4745" priority="295" stopIfTrue="1" operator="between">
      <formula>5.1</formula>
      <formula>14</formula>
    </cfRule>
    <cfRule type="cellIs" dxfId="4744" priority="296" stopIfTrue="1" operator="between">
      <formula>0</formula>
      <formula>5</formula>
    </cfRule>
    <cfRule type="containsBlanks" dxfId="4743" priority="297" stopIfTrue="1">
      <formula>LEN(TRIM(Q105))=0</formula>
    </cfRule>
  </conditionalFormatting>
  <conditionalFormatting sqref="S105">
    <cfRule type="containsText" dxfId="4742" priority="286" stopIfTrue="1" operator="containsText" text="INVIABLE SANITARIAMENTE">
      <formula>NOT(ISERROR(SEARCH("INVIABLE SANITARIAMENTE",S105)))</formula>
    </cfRule>
    <cfRule type="containsText" dxfId="4741" priority="287" stopIfTrue="1" operator="containsText" text="ALTO">
      <formula>NOT(ISERROR(SEARCH("ALTO",S105)))</formula>
    </cfRule>
    <cfRule type="containsText" dxfId="4740" priority="288" stopIfTrue="1" operator="containsText" text="MEDIO">
      <formula>NOT(ISERROR(SEARCH("MEDIO",S105)))</formula>
    </cfRule>
    <cfRule type="containsText" dxfId="4739" priority="289" stopIfTrue="1" operator="containsText" text="BAJO">
      <formula>NOT(ISERROR(SEARCH("BAJO",S105)))</formula>
    </cfRule>
    <cfRule type="containsText" dxfId="4738" priority="290" stopIfTrue="1" operator="containsText" text="SIN RIESGO">
      <formula>NOT(ISERROR(SEARCH("SIN RIESGO",S105)))</formula>
    </cfRule>
  </conditionalFormatting>
  <conditionalFormatting sqref="S105">
    <cfRule type="containsText" dxfId="4737" priority="285" stopIfTrue="1" operator="containsText" text="SIN RIESGO">
      <formula>NOT(ISERROR(SEARCH("SIN RIESGO",S105)))</formula>
    </cfRule>
  </conditionalFormatting>
  <conditionalFormatting sqref="E139:P139">
    <cfRule type="containsBlanks" dxfId="4736" priority="278" stopIfTrue="1">
      <formula>LEN(TRIM(E139))=0</formula>
    </cfRule>
    <cfRule type="cellIs" dxfId="4735" priority="279" stopIfTrue="1" operator="between">
      <formula>79.1</formula>
      <formula>100</formula>
    </cfRule>
    <cfRule type="cellIs" dxfId="4734" priority="280" stopIfTrue="1" operator="between">
      <formula>34.1</formula>
      <formula>79</formula>
    </cfRule>
    <cfRule type="cellIs" dxfId="4733" priority="281" stopIfTrue="1" operator="between">
      <formula>13.1</formula>
      <formula>34</formula>
    </cfRule>
    <cfRule type="cellIs" dxfId="4732" priority="282" stopIfTrue="1" operator="between">
      <formula>5.1</formula>
      <formula>13</formula>
    </cfRule>
    <cfRule type="cellIs" dxfId="4731" priority="283" stopIfTrue="1" operator="between">
      <formula>0</formula>
      <formula>5</formula>
    </cfRule>
    <cfRule type="containsBlanks" dxfId="4730" priority="284" stopIfTrue="1">
      <formula>LEN(TRIM(E139))=0</formula>
    </cfRule>
  </conditionalFormatting>
  <conditionalFormatting sqref="Q139">
    <cfRule type="containsBlanks" dxfId="4729" priority="271" stopIfTrue="1">
      <formula>LEN(TRIM(Q139))=0</formula>
    </cfRule>
    <cfRule type="cellIs" dxfId="4728" priority="272" stopIfTrue="1" operator="between">
      <formula>80.1</formula>
      <formula>100</formula>
    </cfRule>
    <cfRule type="cellIs" dxfId="4727" priority="273" stopIfTrue="1" operator="between">
      <formula>35.1</formula>
      <formula>80</formula>
    </cfRule>
    <cfRule type="cellIs" dxfId="4726" priority="274" stopIfTrue="1" operator="between">
      <formula>14.1</formula>
      <formula>35</formula>
    </cfRule>
    <cfRule type="cellIs" dxfId="4725" priority="275" stopIfTrue="1" operator="between">
      <formula>5.1</formula>
      <formula>14</formula>
    </cfRule>
    <cfRule type="cellIs" dxfId="4724" priority="276" stopIfTrue="1" operator="between">
      <formula>0</formula>
      <formula>5</formula>
    </cfRule>
    <cfRule type="containsBlanks" dxfId="4723" priority="277" stopIfTrue="1">
      <formula>LEN(TRIM(Q139))=0</formula>
    </cfRule>
  </conditionalFormatting>
  <conditionalFormatting sqref="R139">
    <cfRule type="cellIs" dxfId="4722" priority="270" stopIfTrue="1" operator="equal">
      <formula>"NO"</formula>
    </cfRule>
  </conditionalFormatting>
  <conditionalFormatting sqref="S139">
    <cfRule type="cellIs" dxfId="4721" priority="269" stopIfTrue="1" operator="equal">
      <formula>"INVIABLE SANITARIAMENTE"</formula>
    </cfRule>
  </conditionalFormatting>
  <conditionalFormatting sqref="Q139">
    <cfRule type="containsBlanks" dxfId="4720" priority="262" stopIfTrue="1">
      <formula>LEN(TRIM(Q139))=0</formula>
    </cfRule>
    <cfRule type="cellIs" dxfId="4719" priority="263" stopIfTrue="1" operator="between">
      <formula>80.1</formula>
      <formula>100</formula>
    </cfRule>
    <cfRule type="cellIs" dxfId="4718" priority="264" stopIfTrue="1" operator="between">
      <formula>35.1</formula>
      <formula>80</formula>
    </cfRule>
    <cfRule type="cellIs" dxfId="4717" priority="265" stopIfTrue="1" operator="between">
      <formula>14.1</formula>
      <formula>35</formula>
    </cfRule>
    <cfRule type="cellIs" dxfId="4716" priority="266" stopIfTrue="1" operator="between">
      <formula>5.1</formula>
      <formula>14</formula>
    </cfRule>
    <cfRule type="cellIs" dxfId="4715" priority="267" stopIfTrue="1" operator="between">
      <formula>0</formula>
      <formula>5</formula>
    </cfRule>
    <cfRule type="containsBlanks" dxfId="4714" priority="268" stopIfTrue="1">
      <formula>LEN(TRIM(Q139))=0</formula>
    </cfRule>
  </conditionalFormatting>
  <conditionalFormatting sqref="S139">
    <cfRule type="containsText" dxfId="4713" priority="257" stopIfTrue="1" operator="containsText" text="INVIABLE SANITARIAMENTE">
      <formula>NOT(ISERROR(SEARCH("INVIABLE SANITARIAMENTE",S139)))</formula>
    </cfRule>
    <cfRule type="containsText" dxfId="4712" priority="258" stopIfTrue="1" operator="containsText" text="ALTO">
      <formula>NOT(ISERROR(SEARCH("ALTO",S139)))</formula>
    </cfRule>
    <cfRule type="containsText" dxfId="4711" priority="259" stopIfTrue="1" operator="containsText" text="MEDIO">
      <formula>NOT(ISERROR(SEARCH("MEDIO",S139)))</formula>
    </cfRule>
    <cfRule type="containsText" dxfId="4710" priority="260" stopIfTrue="1" operator="containsText" text="BAJO">
      <formula>NOT(ISERROR(SEARCH("BAJO",S139)))</formula>
    </cfRule>
    <cfRule type="containsText" dxfId="4709" priority="261" stopIfTrue="1" operator="containsText" text="SIN RIESGO">
      <formula>NOT(ISERROR(SEARCH("SIN RIESGO",S139)))</formula>
    </cfRule>
  </conditionalFormatting>
  <conditionalFormatting sqref="S139">
    <cfRule type="containsText" dxfId="4708" priority="256" stopIfTrue="1" operator="containsText" text="SIN RIESGO">
      <formula>NOT(ISERROR(SEARCH("SIN RIESGO",S139)))</formula>
    </cfRule>
  </conditionalFormatting>
  <conditionalFormatting sqref="E176:P176">
    <cfRule type="containsBlanks" dxfId="4707" priority="249" stopIfTrue="1">
      <formula>LEN(TRIM(E176))=0</formula>
    </cfRule>
    <cfRule type="cellIs" dxfId="4706" priority="250" stopIfTrue="1" operator="between">
      <formula>79.1</formula>
      <formula>100</formula>
    </cfRule>
    <cfRule type="cellIs" dxfId="4705" priority="251" stopIfTrue="1" operator="between">
      <formula>34.1</formula>
      <formula>79</formula>
    </cfRule>
    <cfRule type="cellIs" dxfId="4704" priority="252" stopIfTrue="1" operator="between">
      <formula>13.1</formula>
      <formula>34</formula>
    </cfRule>
    <cfRule type="cellIs" dxfId="4703" priority="253" stopIfTrue="1" operator="between">
      <formula>5.1</formula>
      <formula>13</formula>
    </cfRule>
    <cfRule type="cellIs" dxfId="4702" priority="254" stopIfTrue="1" operator="between">
      <formula>0</formula>
      <formula>5</formula>
    </cfRule>
    <cfRule type="containsBlanks" dxfId="4701" priority="255" stopIfTrue="1">
      <formula>LEN(TRIM(E176))=0</formula>
    </cfRule>
  </conditionalFormatting>
  <conditionalFormatting sqref="Q176">
    <cfRule type="containsBlanks" dxfId="4700" priority="242" stopIfTrue="1">
      <formula>LEN(TRIM(Q176))=0</formula>
    </cfRule>
    <cfRule type="cellIs" dxfId="4699" priority="243" stopIfTrue="1" operator="between">
      <formula>80.1</formula>
      <formula>100</formula>
    </cfRule>
    <cfRule type="cellIs" dxfId="4698" priority="244" stopIfTrue="1" operator="between">
      <formula>35.1</formula>
      <formula>80</formula>
    </cfRule>
    <cfRule type="cellIs" dxfId="4697" priority="245" stopIfTrue="1" operator="between">
      <formula>14.1</formula>
      <formula>35</formula>
    </cfRule>
    <cfRule type="cellIs" dxfId="4696" priority="246" stopIfTrue="1" operator="between">
      <formula>5.1</formula>
      <formula>14</formula>
    </cfRule>
    <cfRule type="cellIs" dxfId="4695" priority="247" stopIfTrue="1" operator="between">
      <formula>0</formula>
      <formula>5</formula>
    </cfRule>
    <cfRule type="containsBlanks" dxfId="4694" priority="248" stopIfTrue="1">
      <formula>LEN(TRIM(Q176))=0</formula>
    </cfRule>
  </conditionalFormatting>
  <conditionalFormatting sqref="R176">
    <cfRule type="cellIs" dxfId="4693" priority="241" stopIfTrue="1" operator="equal">
      <formula>"NO"</formula>
    </cfRule>
  </conditionalFormatting>
  <conditionalFormatting sqref="S176">
    <cfRule type="cellIs" dxfId="4692" priority="240" stopIfTrue="1" operator="equal">
      <formula>"INVIABLE SANITARIAMENTE"</formula>
    </cfRule>
  </conditionalFormatting>
  <conditionalFormatting sqref="Q176">
    <cfRule type="containsBlanks" dxfId="4691" priority="233" stopIfTrue="1">
      <formula>LEN(TRIM(Q176))=0</formula>
    </cfRule>
    <cfRule type="cellIs" dxfId="4690" priority="234" stopIfTrue="1" operator="between">
      <formula>80.1</formula>
      <formula>100</formula>
    </cfRule>
    <cfRule type="cellIs" dxfId="4689" priority="235" stopIfTrue="1" operator="between">
      <formula>35.1</formula>
      <formula>80</formula>
    </cfRule>
    <cfRule type="cellIs" dxfId="4688" priority="236" stopIfTrue="1" operator="between">
      <formula>14.1</formula>
      <formula>35</formula>
    </cfRule>
    <cfRule type="cellIs" dxfId="4687" priority="237" stopIfTrue="1" operator="between">
      <formula>5.1</formula>
      <formula>14</formula>
    </cfRule>
    <cfRule type="cellIs" dxfId="4686" priority="238" stopIfTrue="1" operator="between">
      <formula>0</formula>
      <formula>5</formula>
    </cfRule>
    <cfRule type="containsBlanks" dxfId="4685" priority="239" stopIfTrue="1">
      <formula>LEN(TRIM(Q176))=0</formula>
    </cfRule>
  </conditionalFormatting>
  <conditionalFormatting sqref="S176">
    <cfRule type="containsText" dxfId="4684" priority="228" stopIfTrue="1" operator="containsText" text="INVIABLE SANITARIAMENTE">
      <formula>NOT(ISERROR(SEARCH("INVIABLE SANITARIAMENTE",S176)))</formula>
    </cfRule>
    <cfRule type="containsText" dxfId="4683" priority="229" stopIfTrue="1" operator="containsText" text="ALTO">
      <formula>NOT(ISERROR(SEARCH("ALTO",S176)))</formula>
    </cfRule>
    <cfRule type="containsText" dxfId="4682" priority="230" stopIfTrue="1" operator="containsText" text="MEDIO">
      <formula>NOT(ISERROR(SEARCH("MEDIO",S176)))</formula>
    </cfRule>
    <cfRule type="containsText" dxfId="4681" priority="231" stopIfTrue="1" operator="containsText" text="BAJO">
      <formula>NOT(ISERROR(SEARCH("BAJO",S176)))</formula>
    </cfRule>
    <cfRule type="containsText" dxfId="4680" priority="232" stopIfTrue="1" operator="containsText" text="SIN RIESGO">
      <formula>NOT(ISERROR(SEARCH("SIN RIESGO",S176)))</formula>
    </cfRule>
  </conditionalFormatting>
  <conditionalFormatting sqref="S176">
    <cfRule type="containsText" dxfId="4679" priority="227" stopIfTrue="1" operator="containsText" text="SIN RIESGO">
      <formula>NOT(ISERROR(SEARCH("SIN RIESGO",S176)))</formula>
    </cfRule>
  </conditionalFormatting>
  <conditionalFormatting sqref="E178:P178">
    <cfRule type="containsBlanks" dxfId="4678" priority="220" stopIfTrue="1">
      <formula>LEN(TRIM(E178))=0</formula>
    </cfRule>
    <cfRule type="cellIs" dxfId="4677" priority="221" stopIfTrue="1" operator="between">
      <formula>79.1</formula>
      <formula>100</formula>
    </cfRule>
    <cfRule type="cellIs" dxfId="4676" priority="222" stopIfTrue="1" operator="between">
      <formula>34.1</formula>
      <formula>79</formula>
    </cfRule>
    <cfRule type="cellIs" dxfId="4675" priority="223" stopIfTrue="1" operator="between">
      <formula>13.1</formula>
      <formula>34</formula>
    </cfRule>
    <cfRule type="cellIs" dxfId="4674" priority="224" stopIfTrue="1" operator="between">
      <formula>5.1</formula>
      <formula>13</formula>
    </cfRule>
    <cfRule type="cellIs" dxfId="4673" priority="225" stopIfTrue="1" operator="between">
      <formula>0</formula>
      <formula>5</formula>
    </cfRule>
    <cfRule type="containsBlanks" dxfId="4672" priority="226" stopIfTrue="1">
      <formula>LEN(TRIM(E178))=0</formula>
    </cfRule>
  </conditionalFormatting>
  <conditionalFormatting sqref="Q178">
    <cfRule type="containsBlanks" dxfId="4671" priority="213" stopIfTrue="1">
      <formula>LEN(TRIM(Q178))=0</formula>
    </cfRule>
    <cfRule type="cellIs" dxfId="4670" priority="214" stopIfTrue="1" operator="between">
      <formula>80.1</formula>
      <formula>100</formula>
    </cfRule>
    <cfRule type="cellIs" dxfId="4669" priority="215" stopIfTrue="1" operator="between">
      <formula>35.1</formula>
      <formula>80</formula>
    </cfRule>
    <cfRule type="cellIs" dxfId="4668" priority="216" stopIfTrue="1" operator="between">
      <formula>14.1</formula>
      <formula>35</formula>
    </cfRule>
    <cfRule type="cellIs" dxfId="4667" priority="217" stopIfTrue="1" operator="between">
      <formula>5.1</formula>
      <formula>14</formula>
    </cfRule>
    <cfRule type="cellIs" dxfId="4666" priority="218" stopIfTrue="1" operator="between">
      <formula>0</formula>
      <formula>5</formula>
    </cfRule>
    <cfRule type="containsBlanks" dxfId="4665" priority="219" stopIfTrue="1">
      <formula>LEN(TRIM(Q178))=0</formula>
    </cfRule>
  </conditionalFormatting>
  <conditionalFormatting sqref="R178">
    <cfRule type="cellIs" dxfId="4664" priority="212" stopIfTrue="1" operator="equal">
      <formula>"NO"</formula>
    </cfRule>
  </conditionalFormatting>
  <conditionalFormatting sqref="S178">
    <cfRule type="cellIs" dxfId="4663" priority="211" stopIfTrue="1" operator="equal">
      <formula>"INVIABLE SANITARIAMENTE"</formula>
    </cfRule>
  </conditionalFormatting>
  <conditionalFormatting sqref="Q178">
    <cfRule type="containsBlanks" dxfId="4662" priority="204" stopIfTrue="1">
      <formula>LEN(TRIM(Q178))=0</formula>
    </cfRule>
    <cfRule type="cellIs" dxfId="4661" priority="205" stopIfTrue="1" operator="between">
      <formula>80.1</formula>
      <formula>100</formula>
    </cfRule>
    <cfRule type="cellIs" dxfId="4660" priority="206" stopIfTrue="1" operator="between">
      <formula>35.1</formula>
      <formula>80</formula>
    </cfRule>
    <cfRule type="cellIs" dxfId="4659" priority="207" stopIfTrue="1" operator="between">
      <formula>14.1</formula>
      <formula>35</formula>
    </cfRule>
    <cfRule type="cellIs" dxfId="4658" priority="208" stopIfTrue="1" operator="between">
      <formula>5.1</formula>
      <formula>14</formula>
    </cfRule>
    <cfRule type="cellIs" dxfId="4657" priority="209" stopIfTrue="1" operator="between">
      <formula>0</formula>
      <formula>5</formula>
    </cfRule>
    <cfRule type="containsBlanks" dxfId="4656" priority="210" stopIfTrue="1">
      <formula>LEN(TRIM(Q178))=0</formula>
    </cfRule>
  </conditionalFormatting>
  <conditionalFormatting sqref="S178">
    <cfRule type="containsText" dxfId="4655" priority="199" stopIfTrue="1" operator="containsText" text="INVIABLE SANITARIAMENTE">
      <formula>NOT(ISERROR(SEARCH("INVIABLE SANITARIAMENTE",S178)))</formula>
    </cfRule>
    <cfRule type="containsText" dxfId="4654" priority="200" stopIfTrue="1" operator="containsText" text="ALTO">
      <formula>NOT(ISERROR(SEARCH("ALTO",S178)))</formula>
    </cfRule>
    <cfRule type="containsText" dxfId="4653" priority="201" stopIfTrue="1" operator="containsText" text="MEDIO">
      <formula>NOT(ISERROR(SEARCH("MEDIO",S178)))</formula>
    </cfRule>
    <cfRule type="containsText" dxfId="4652" priority="202" stopIfTrue="1" operator="containsText" text="BAJO">
      <formula>NOT(ISERROR(SEARCH("BAJO",S178)))</formula>
    </cfRule>
    <cfRule type="containsText" dxfId="4651" priority="203" stopIfTrue="1" operator="containsText" text="SIN RIESGO">
      <formula>NOT(ISERROR(SEARCH("SIN RIESGO",S178)))</formula>
    </cfRule>
  </conditionalFormatting>
  <conditionalFormatting sqref="S178">
    <cfRule type="containsText" dxfId="4650" priority="198" stopIfTrue="1" operator="containsText" text="SIN RIESGO">
      <formula>NOT(ISERROR(SEARCH("SIN RIESGO",S178)))</formula>
    </cfRule>
  </conditionalFormatting>
  <conditionalFormatting sqref="E179:P179">
    <cfRule type="containsBlanks" dxfId="4649" priority="191" stopIfTrue="1">
      <formula>LEN(TRIM(E179))=0</formula>
    </cfRule>
    <cfRule type="cellIs" dxfId="4648" priority="192" stopIfTrue="1" operator="between">
      <formula>79.1</formula>
      <formula>100</formula>
    </cfRule>
    <cfRule type="cellIs" dxfId="4647" priority="193" stopIfTrue="1" operator="between">
      <formula>34.1</formula>
      <formula>79</formula>
    </cfRule>
    <cfRule type="cellIs" dxfId="4646" priority="194" stopIfTrue="1" operator="between">
      <formula>13.1</formula>
      <formula>34</formula>
    </cfRule>
    <cfRule type="cellIs" dxfId="4645" priority="195" stopIfTrue="1" operator="between">
      <formula>5.1</formula>
      <formula>13</formula>
    </cfRule>
    <cfRule type="cellIs" dxfId="4644" priority="196" stopIfTrue="1" operator="between">
      <formula>0</formula>
      <formula>5</formula>
    </cfRule>
    <cfRule type="containsBlanks" dxfId="4643" priority="197" stopIfTrue="1">
      <formula>LEN(TRIM(E179))=0</formula>
    </cfRule>
  </conditionalFormatting>
  <conditionalFormatting sqref="Q179">
    <cfRule type="containsBlanks" dxfId="4642" priority="184" stopIfTrue="1">
      <formula>LEN(TRIM(Q179))=0</formula>
    </cfRule>
    <cfRule type="cellIs" dxfId="4641" priority="185" stopIfTrue="1" operator="between">
      <formula>80.1</formula>
      <formula>100</formula>
    </cfRule>
    <cfRule type="cellIs" dxfId="4640" priority="186" stopIfTrue="1" operator="between">
      <formula>35.1</formula>
      <formula>80</formula>
    </cfRule>
    <cfRule type="cellIs" dxfId="4639" priority="187" stopIfTrue="1" operator="between">
      <formula>14.1</formula>
      <formula>35</formula>
    </cfRule>
    <cfRule type="cellIs" dxfId="4638" priority="188" stopIfTrue="1" operator="between">
      <formula>5.1</formula>
      <formula>14</formula>
    </cfRule>
    <cfRule type="cellIs" dxfId="4637" priority="189" stopIfTrue="1" operator="between">
      <formula>0</formula>
      <formula>5</formula>
    </cfRule>
    <cfRule type="containsBlanks" dxfId="4636" priority="190" stopIfTrue="1">
      <formula>LEN(TRIM(Q179))=0</formula>
    </cfRule>
  </conditionalFormatting>
  <conditionalFormatting sqref="R179">
    <cfRule type="cellIs" dxfId="4635" priority="183" stopIfTrue="1" operator="equal">
      <formula>"NO"</formula>
    </cfRule>
  </conditionalFormatting>
  <conditionalFormatting sqref="S179">
    <cfRule type="cellIs" dxfId="4634" priority="182" stopIfTrue="1" operator="equal">
      <formula>"INVIABLE SANITARIAMENTE"</formula>
    </cfRule>
  </conditionalFormatting>
  <conditionalFormatting sqref="Q179">
    <cfRule type="containsBlanks" dxfId="4633" priority="175" stopIfTrue="1">
      <formula>LEN(TRIM(Q179))=0</formula>
    </cfRule>
    <cfRule type="cellIs" dxfId="4632" priority="176" stopIfTrue="1" operator="between">
      <formula>80.1</formula>
      <formula>100</formula>
    </cfRule>
    <cfRule type="cellIs" dxfId="4631" priority="177" stopIfTrue="1" operator="between">
      <formula>35.1</formula>
      <formula>80</formula>
    </cfRule>
    <cfRule type="cellIs" dxfId="4630" priority="178" stopIfTrue="1" operator="between">
      <formula>14.1</formula>
      <formula>35</formula>
    </cfRule>
    <cfRule type="cellIs" dxfId="4629" priority="179" stopIfTrue="1" operator="between">
      <formula>5.1</formula>
      <formula>14</formula>
    </cfRule>
    <cfRule type="cellIs" dxfId="4628" priority="180" stopIfTrue="1" operator="between">
      <formula>0</formula>
      <formula>5</formula>
    </cfRule>
    <cfRule type="containsBlanks" dxfId="4627" priority="181" stopIfTrue="1">
      <formula>LEN(TRIM(Q179))=0</formula>
    </cfRule>
  </conditionalFormatting>
  <conditionalFormatting sqref="S179">
    <cfRule type="containsText" dxfId="4626" priority="170" stopIfTrue="1" operator="containsText" text="INVIABLE SANITARIAMENTE">
      <formula>NOT(ISERROR(SEARCH("INVIABLE SANITARIAMENTE",S179)))</formula>
    </cfRule>
    <cfRule type="containsText" dxfId="4625" priority="171" stopIfTrue="1" operator="containsText" text="ALTO">
      <formula>NOT(ISERROR(SEARCH("ALTO",S179)))</formula>
    </cfRule>
    <cfRule type="containsText" dxfId="4624" priority="172" stopIfTrue="1" operator="containsText" text="MEDIO">
      <formula>NOT(ISERROR(SEARCH("MEDIO",S179)))</formula>
    </cfRule>
    <cfRule type="containsText" dxfId="4623" priority="173" stopIfTrue="1" operator="containsText" text="BAJO">
      <formula>NOT(ISERROR(SEARCH("BAJO",S179)))</formula>
    </cfRule>
    <cfRule type="containsText" dxfId="4622" priority="174" stopIfTrue="1" operator="containsText" text="SIN RIESGO">
      <formula>NOT(ISERROR(SEARCH("SIN RIESGO",S179)))</formula>
    </cfRule>
  </conditionalFormatting>
  <conditionalFormatting sqref="S179">
    <cfRule type="containsText" dxfId="4621" priority="169" stopIfTrue="1" operator="containsText" text="SIN RIESGO">
      <formula>NOT(ISERROR(SEARCH("SIN RIESGO",S179)))</formula>
    </cfRule>
  </conditionalFormatting>
  <conditionalFormatting sqref="E283:Q283">
    <cfRule type="containsBlanks" dxfId="4620" priority="162" stopIfTrue="1">
      <formula>LEN(TRIM(E283))=0</formula>
    </cfRule>
    <cfRule type="cellIs" dxfId="4619" priority="163" stopIfTrue="1" operator="between">
      <formula>80.1</formula>
      <formula>100</formula>
    </cfRule>
    <cfRule type="cellIs" dxfId="4618" priority="164" stopIfTrue="1" operator="between">
      <formula>35.1</formula>
      <formula>80</formula>
    </cfRule>
    <cfRule type="cellIs" dxfId="4617" priority="165" stopIfTrue="1" operator="between">
      <formula>14.1</formula>
      <formula>35</formula>
    </cfRule>
    <cfRule type="cellIs" dxfId="4616" priority="166" stopIfTrue="1" operator="between">
      <formula>5.1</formula>
      <formula>14</formula>
    </cfRule>
    <cfRule type="cellIs" dxfId="4615" priority="167" stopIfTrue="1" operator="between">
      <formula>0</formula>
      <formula>5</formula>
    </cfRule>
    <cfRule type="containsBlanks" dxfId="4614" priority="168" stopIfTrue="1">
      <formula>LEN(TRIM(E283))=0</formula>
    </cfRule>
  </conditionalFormatting>
  <conditionalFormatting sqref="R283">
    <cfRule type="cellIs" dxfId="4613" priority="161" stopIfTrue="1" operator="equal">
      <formula>"NO"</formula>
    </cfRule>
  </conditionalFormatting>
  <conditionalFormatting sqref="S283">
    <cfRule type="cellIs" dxfId="4612" priority="160" stopIfTrue="1" operator="equal">
      <formula>"INVIABLE SANITARIAMENTE"</formula>
    </cfRule>
  </conditionalFormatting>
  <conditionalFormatting sqref="Q283">
    <cfRule type="containsBlanks" dxfId="4611" priority="153" stopIfTrue="1">
      <formula>LEN(TRIM(Q283))=0</formula>
    </cfRule>
    <cfRule type="cellIs" dxfId="4610" priority="154" stopIfTrue="1" operator="between">
      <formula>80.1</formula>
      <formula>100</formula>
    </cfRule>
    <cfRule type="cellIs" dxfId="4609" priority="155" stopIfTrue="1" operator="between">
      <formula>35.1</formula>
      <formula>80</formula>
    </cfRule>
    <cfRule type="cellIs" dxfId="4608" priority="156" stopIfTrue="1" operator="between">
      <formula>14.1</formula>
      <formula>35</formula>
    </cfRule>
    <cfRule type="cellIs" dxfId="4607" priority="157" stopIfTrue="1" operator="between">
      <formula>5.1</formula>
      <formula>14</formula>
    </cfRule>
    <cfRule type="cellIs" dxfId="4606" priority="158" stopIfTrue="1" operator="between">
      <formula>0</formula>
      <formula>5</formula>
    </cfRule>
    <cfRule type="containsBlanks" dxfId="4605" priority="159" stopIfTrue="1">
      <formula>LEN(TRIM(Q283))=0</formula>
    </cfRule>
  </conditionalFormatting>
  <conditionalFormatting sqref="S283">
    <cfRule type="containsText" dxfId="4604" priority="148" stopIfTrue="1" operator="containsText" text="INVIABLE SANITARIAMENTE">
      <formula>NOT(ISERROR(SEARCH("INVIABLE SANITARIAMENTE",S283)))</formula>
    </cfRule>
    <cfRule type="containsText" dxfId="4603" priority="149" stopIfTrue="1" operator="containsText" text="ALTO">
      <formula>NOT(ISERROR(SEARCH("ALTO",S283)))</formula>
    </cfRule>
    <cfRule type="containsText" dxfId="4602" priority="150" stopIfTrue="1" operator="containsText" text="MEDIO">
      <formula>NOT(ISERROR(SEARCH("MEDIO",S283)))</formula>
    </cfRule>
    <cfRule type="containsText" dxfId="4601" priority="151" stopIfTrue="1" operator="containsText" text="BAJO">
      <formula>NOT(ISERROR(SEARCH("BAJO",S283)))</formula>
    </cfRule>
    <cfRule type="containsText" dxfId="4600" priority="152" stopIfTrue="1" operator="containsText" text="SIN RIESGO">
      <formula>NOT(ISERROR(SEARCH("SIN RIESGO",S283)))</formula>
    </cfRule>
  </conditionalFormatting>
  <conditionalFormatting sqref="S283">
    <cfRule type="containsText" dxfId="4599" priority="147" stopIfTrue="1" operator="containsText" text="SIN RIESGO">
      <formula>NOT(ISERROR(SEARCH("SIN RIESGO",S283)))</formula>
    </cfRule>
  </conditionalFormatting>
  <conditionalFormatting sqref="E284:Q284">
    <cfRule type="containsBlanks" dxfId="4598" priority="140" stopIfTrue="1">
      <formula>LEN(TRIM(E284))=0</formula>
    </cfRule>
    <cfRule type="cellIs" dxfId="4597" priority="141" stopIfTrue="1" operator="between">
      <formula>80.1</formula>
      <formula>100</formula>
    </cfRule>
    <cfRule type="cellIs" dxfId="4596" priority="142" stopIfTrue="1" operator="between">
      <formula>35.1</formula>
      <formula>80</formula>
    </cfRule>
    <cfRule type="cellIs" dxfId="4595" priority="143" stopIfTrue="1" operator="between">
      <formula>14.1</formula>
      <formula>35</formula>
    </cfRule>
    <cfRule type="cellIs" dxfId="4594" priority="144" stopIfTrue="1" operator="between">
      <formula>5.1</formula>
      <formula>14</formula>
    </cfRule>
    <cfRule type="cellIs" dxfId="4593" priority="145" stopIfTrue="1" operator="between">
      <formula>0</formula>
      <formula>5</formula>
    </cfRule>
    <cfRule type="containsBlanks" dxfId="4592" priority="146" stopIfTrue="1">
      <formula>LEN(TRIM(E284))=0</formula>
    </cfRule>
  </conditionalFormatting>
  <conditionalFormatting sqref="R284">
    <cfRule type="cellIs" dxfId="4591" priority="139" stopIfTrue="1" operator="equal">
      <formula>"NO"</formula>
    </cfRule>
  </conditionalFormatting>
  <conditionalFormatting sqref="S284">
    <cfRule type="cellIs" dxfId="4590" priority="138" stopIfTrue="1" operator="equal">
      <formula>"INVIABLE SANITARIAMENTE"</formula>
    </cfRule>
  </conditionalFormatting>
  <conditionalFormatting sqref="Q284">
    <cfRule type="containsBlanks" dxfId="4589" priority="131" stopIfTrue="1">
      <formula>LEN(TRIM(Q284))=0</formula>
    </cfRule>
    <cfRule type="cellIs" dxfId="4588" priority="132" stopIfTrue="1" operator="between">
      <formula>80.1</formula>
      <formula>100</formula>
    </cfRule>
    <cfRule type="cellIs" dxfId="4587" priority="133" stopIfTrue="1" operator="between">
      <formula>35.1</formula>
      <formula>80</formula>
    </cfRule>
    <cfRule type="cellIs" dxfId="4586" priority="134" stopIfTrue="1" operator="between">
      <formula>14.1</formula>
      <formula>35</formula>
    </cfRule>
    <cfRule type="cellIs" dxfId="4585" priority="135" stopIfTrue="1" operator="between">
      <formula>5.1</formula>
      <formula>14</formula>
    </cfRule>
    <cfRule type="cellIs" dxfId="4584" priority="136" stopIfTrue="1" operator="between">
      <formula>0</formula>
      <formula>5</formula>
    </cfRule>
    <cfRule type="containsBlanks" dxfId="4583" priority="137" stopIfTrue="1">
      <formula>LEN(TRIM(Q284))=0</formula>
    </cfRule>
  </conditionalFormatting>
  <conditionalFormatting sqref="S284">
    <cfRule type="containsText" dxfId="4582" priority="126" stopIfTrue="1" operator="containsText" text="INVIABLE SANITARIAMENTE">
      <formula>NOT(ISERROR(SEARCH("INVIABLE SANITARIAMENTE",S284)))</formula>
    </cfRule>
    <cfRule type="containsText" dxfId="4581" priority="127" stopIfTrue="1" operator="containsText" text="ALTO">
      <formula>NOT(ISERROR(SEARCH("ALTO",S284)))</formula>
    </cfRule>
    <cfRule type="containsText" dxfId="4580" priority="128" stopIfTrue="1" operator="containsText" text="MEDIO">
      <formula>NOT(ISERROR(SEARCH("MEDIO",S284)))</formula>
    </cfRule>
    <cfRule type="containsText" dxfId="4579" priority="129" stopIfTrue="1" operator="containsText" text="BAJO">
      <formula>NOT(ISERROR(SEARCH("BAJO",S284)))</formula>
    </cfRule>
    <cfRule type="containsText" dxfId="4578" priority="130" stopIfTrue="1" operator="containsText" text="SIN RIESGO">
      <formula>NOT(ISERROR(SEARCH("SIN RIESGO",S284)))</formula>
    </cfRule>
  </conditionalFormatting>
  <conditionalFormatting sqref="S284">
    <cfRule type="containsText" dxfId="4577" priority="125" stopIfTrue="1" operator="containsText" text="SIN RIESGO">
      <formula>NOT(ISERROR(SEARCH("SIN RIESGO",S284)))</formula>
    </cfRule>
  </conditionalFormatting>
  <conditionalFormatting sqref="E305:Q305">
    <cfRule type="containsBlanks" dxfId="4576" priority="118" stopIfTrue="1">
      <formula>LEN(TRIM(E305))=0</formula>
    </cfRule>
    <cfRule type="cellIs" dxfId="4575" priority="119" stopIfTrue="1" operator="between">
      <formula>80.1</formula>
      <formula>100</formula>
    </cfRule>
    <cfRule type="cellIs" dxfId="4574" priority="120" stopIfTrue="1" operator="between">
      <formula>35.1</formula>
      <formula>80</formula>
    </cfRule>
    <cfRule type="cellIs" dxfId="4573" priority="121" stopIfTrue="1" operator="between">
      <formula>14.1</formula>
      <formula>35</formula>
    </cfRule>
    <cfRule type="cellIs" dxfId="4572" priority="122" stopIfTrue="1" operator="between">
      <formula>5.1</formula>
      <formula>14</formula>
    </cfRule>
    <cfRule type="cellIs" dxfId="4571" priority="123" stopIfTrue="1" operator="between">
      <formula>0</formula>
      <formula>5</formula>
    </cfRule>
    <cfRule type="containsBlanks" dxfId="4570" priority="124" stopIfTrue="1">
      <formula>LEN(TRIM(E305))=0</formula>
    </cfRule>
  </conditionalFormatting>
  <conditionalFormatting sqref="R305">
    <cfRule type="cellIs" dxfId="4569" priority="117" stopIfTrue="1" operator="equal">
      <formula>"NO"</formula>
    </cfRule>
  </conditionalFormatting>
  <conditionalFormatting sqref="S305">
    <cfRule type="cellIs" dxfId="4568" priority="116" stopIfTrue="1" operator="equal">
      <formula>"INVIABLE SANITARIAMENTE"</formula>
    </cfRule>
  </conditionalFormatting>
  <conditionalFormatting sqref="Q305">
    <cfRule type="containsBlanks" dxfId="4567" priority="109" stopIfTrue="1">
      <formula>LEN(TRIM(Q305))=0</formula>
    </cfRule>
    <cfRule type="cellIs" dxfId="4566" priority="110" stopIfTrue="1" operator="between">
      <formula>80.1</formula>
      <formula>100</formula>
    </cfRule>
    <cfRule type="cellIs" dxfId="4565" priority="111" stopIfTrue="1" operator="between">
      <formula>35.1</formula>
      <formula>80</formula>
    </cfRule>
    <cfRule type="cellIs" dxfId="4564" priority="112" stopIfTrue="1" operator="between">
      <formula>14.1</formula>
      <formula>35</formula>
    </cfRule>
    <cfRule type="cellIs" dxfId="4563" priority="113" stopIfTrue="1" operator="between">
      <formula>5.1</formula>
      <formula>14</formula>
    </cfRule>
    <cfRule type="cellIs" dxfId="4562" priority="114" stopIfTrue="1" operator="between">
      <formula>0</formula>
      <formula>5</formula>
    </cfRule>
    <cfRule type="containsBlanks" dxfId="4561" priority="115" stopIfTrue="1">
      <formula>LEN(TRIM(Q305))=0</formula>
    </cfRule>
  </conditionalFormatting>
  <conditionalFormatting sqref="S305">
    <cfRule type="containsText" dxfId="4560" priority="104" stopIfTrue="1" operator="containsText" text="INVIABLE SANITARIAMENTE">
      <formula>NOT(ISERROR(SEARCH("INVIABLE SANITARIAMENTE",S305)))</formula>
    </cfRule>
    <cfRule type="containsText" dxfId="4559" priority="105" stopIfTrue="1" operator="containsText" text="ALTO">
      <formula>NOT(ISERROR(SEARCH("ALTO",S305)))</formula>
    </cfRule>
    <cfRule type="containsText" dxfId="4558" priority="106" stopIfTrue="1" operator="containsText" text="MEDIO">
      <formula>NOT(ISERROR(SEARCH("MEDIO",S305)))</formula>
    </cfRule>
    <cfRule type="containsText" dxfId="4557" priority="107" stopIfTrue="1" operator="containsText" text="BAJO">
      <formula>NOT(ISERROR(SEARCH("BAJO",S305)))</formula>
    </cfRule>
    <cfRule type="containsText" dxfId="4556" priority="108" stopIfTrue="1" operator="containsText" text="SIN RIESGO">
      <formula>NOT(ISERROR(SEARCH("SIN RIESGO",S305)))</formula>
    </cfRule>
  </conditionalFormatting>
  <conditionalFormatting sqref="S305">
    <cfRule type="containsText" dxfId="4555" priority="103" stopIfTrue="1" operator="containsText" text="SIN RIESGO">
      <formula>NOT(ISERROR(SEARCH("SIN RIESGO",S305)))</formula>
    </cfRule>
  </conditionalFormatting>
  <conditionalFormatting sqref="E306:Q306">
    <cfRule type="containsBlanks" dxfId="4554" priority="96" stopIfTrue="1">
      <formula>LEN(TRIM(E306))=0</formula>
    </cfRule>
    <cfRule type="cellIs" dxfId="4553" priority="97" stopIfTrue="1" operator="between">
      <formula>80.1</formula>
      <formula>100</formula>
    </cfRule>
    <cfRule type="cellIs" dxfId="4552" priority="98" stopIfTrue="1" operator="between">
      <formula>35.1</formula>
      <formula>80</formula>
    </cfRule>
    <cfRule type="cellIs" dxfId="4551" priority="99" stopIfTrue="1" operator="between">
      <formula>14.1</formula>
      <formula>35</formula>
    </cfRule>
    <cfRule type="cellIs" dxfId="4550" priority="100" stopIfTrue="1" operator="between">
      <formula>5.1</formula>
      <formula>14</formula>
    </cfRule>
    <cfRule type="cellIs" dxfId="4549" priority="101" stopIfTrue="1" operator="between">
      <formula>0</formula>
      <formula>5</formula>
    </cfRule>
    <cfRule type="containsBlanks" dxfId="4548" priority="102" stopIfTrue="1">
      <formula>LEN(TRIM(E306))=0</formula>
    </cfRule>
  </conditionalFormatting>
  <conditionalFormatting sqref="R306">
    <cfRule type="cellIs" dxfId="4547" priority="95" stopIfTrue="1" operator="equal">
      <formula>"NO"</formula>
    </cfRule>
  </conditionalFormatting>
  <conditionalFormatting sqref="S306">
    <cfRule type="cellIs" dxfId="4546" priority="94" stopIfTrue="1" operator="equal">
      <formula>"INVIABLE SANITARIAMENTE"</formula>
    </cfRule>
  </conditionalFormatting>
  <conditionalFormatting sqref="Q306">
    <cfRule type="containsBlanks" dxfId="4545" priority="87" stopIfTrue="1">
      <formula>LEN(TRIM(Q306))=0</formula>
    </cfRule>
    <cfRule type="cellIs" dxfId="4544" priority="88" stopIfTrue="1" operator="between">
      <formula>80.1</formula>
      <formula>100</formula>
    </cfRule>
    <cfRule type="cellIs" dxfId="4543" priority="89" stopIfTrue="1" operator="between">
      <formula>35.1</formula>
      <formula>80</formula>
    </cfRule>
    <cfRule type="cellIs" dxfId="4542" priority="90" stopIfTrue="1" operator="between">
      <formula>14.1</formula>
      <formula>35</formula>
    </cfRule>
    <cfRule type="cellIs" dxfId="4541" priority="91" stopIfTrue="1" operator="between">
      <formula>5.1</formula>
      <formula>14</formula>
    </cfRule>
    <cfRule type="cellIs" dxfId="4540" priority="92" stopIfTrue="1" operator="between">
      <formula>0</formula>
      <formula>5</formula>
    </cfRule>
    <cfRule type="containsBlanks" dxfId="4539" priority="93" stopIfTrue="1">
      <formula>LEN(TRIM(Q306))=0</formula>
    </cfRule>
  </conditionalFormatting>
  <conditionalFormatting sqref="S306">
    <cfRule type="containsText" dxfId="4538" priority="82" stopIfTrue="1" operator="containsText" text="INVIABLE SANITARIAMENTE">
      <formula>NOT(ISERROR(SEARCH("INVIABLE SANITARIAMENTE",S306)))</formula>
    </cfRule>
    <cfRule type="containsText" dxfId="4537" priority="83" stopIfTrue="1" operator="containsText" text="ALTO">
      <formula>NOT(ISERROR(SEARCH("ALTO",S306)))</formula>
    </cfRule>
    <cfRule type="containsText" dxfId="4536" priority="84" stopIfTrue="1" operator="containsText" text="MEDIO">
      <formula>NOT(ISERROR(SEARCH("MEDIO",S306)))</formula>
    </cfRule>
    <cfRule type="containsText" dxfId="4535" priority="85" stopIfTrue="1" operator="containsText" text="BAJO">
      <formula>NOT(ISERROR(SEARCH("BAJO",S306)))</formula>
    </cfRule>
    <cfRule type="containsText" dxfId="4534" priority="86" stopIfTrue="1" operator="containsText" text="SIN RIESGO">
      <formula>NOT(ISERROR(SEARCH("SIN RIESGO",S306)))</formula>
    </cfRule>
  </conditionalFormatting>
  <conditionalFormatting sqref="S306">
    <cfRule type="containsText" dxfId="4533" priority="81" stopIfTrue="1" operator="containsText" text="SIN RIESGO">
      <formula>NOT(ISERROR(SEARCH("SIN RIESGO",S306)))</formula>
    </cfRule>
  </conditionalFormatting>
  <conditionalFormatting sqref="E315:Q315">
    <cfRule type="containsBlanks" dxfId="4532" priority="74" stopIfTrue="1">
      <formula>LEN(TRIM(E315))=0</formula>
    </cfRule>
    <cfRule type="cellIs" dxfId="4531" priority="75" stopIfTrue="1" operator="between">
      <formula>80.1</formula>
      <formula>100</formula>
    </cfRule>
    <cfRule type="cellIs" dxfId="4530" priority="76" stopIfTrue="1" operator="between">
      <formula>35.1</formula>
      <formula>80</formula>
    </cfRule>
    <cfRule type="cellIs" dxfId="4529" priority="77" stopIfTrue="1" operator="between">
      <formula>14.1</formula>
      <formula>35</formula>
    </cfRule>
    <cfRule type="cellIs" dxfId="4528" priority="78" stopIfTrue="1" operator="between">
      <formula>5.1</formula>
      <formula>14</formula>
    </cfRule>
    <cfRule type="cellIs" dxfId="4527" priority="79" stopIfTrue="1" operator="between">
      <formula>0</formula>
      <formula>5</formula>
    </cfRule>
    <cfRule type="containsBlanks" dxfId="4526" priority="80" stopIfTrue="1">
      <formula>LEN(TRIM(E315))=0</formula>
    </cfRule>
  </conditionalFormatting>
  <conditionalFormatting sqref="R315">
    <cfRule type="cellIs" dxfId="4525" priority="73" stopIfTrue="1" operator="equal">
      <formula>"NO"</formula>
    </cfRule>
  </conditionalFormatting>
  <conditionalFormatting sqref="S315">
    <cfRule type="cellIs" dxfId="4524" priority="72" stopIfTrue="1" operator="equal">
      <formula>"INVIABLE SANITARIAMENTE"</formula>
    </cfRule>
  </conditionalFormatting>
  <conditionalFormatting sqref="Q315">
    <cfRule type="containsBlanks" dxfId="4523" priority="65" stopIfTrue="1">
      <formula>LEN(TRIM(Q315))=0</formula>
    </cfRule>
    <cfRule type="cellIs" dxfId="4522" priority="66" stopIfTrue="1" operator="between">
      <formula>80.1</formula>
      <formula>100</formula>
    </cfRule>
    <cfRule type="cellIs" dxfId="4521" priority="67" stopIfTrue="1" operator="between">
      <formula>35.1</formula>
      <formula>80</formula>
    </cfRule>
    <cfRule type="cellIs" dxfId="4520" priority="68" stopIfTrue="1" operator="between">
      <formula>14.1</formula>
      <formula>35</formula>
    </cfRule>
    <cfRule type="cellIs" dxfId="4519" priority="69" stopIfTrue="1" operator="between">
      <formula>5.1</formula>
      <formula>14</formula>
    </cfRule>
    <cfRule type="cellIs" dxfId="4518" priority="70" stopIfTrue="1" operator="between">
      <formula>0</formula>
      <formula>5</formula>
    </cfRule>
    <cfRule type="containsBlanks" dxfId="4517" priority="71" stopIfTrue="1">
      <formula>LEN(TRIM(Q315))=0</formula>
    </cfRule>
  </conditionalFormatting>
  <conditionalFormatting sqref="S315">
    <cfRule type="containsText" dxfId="4516" priority="60" stopIfTrue="1" operator="containsText" text="INVIABLE SANITARIAMENTE">
      <formula>NOT(ISERROR(SEARCH("INVIABLE SANITARIAMENTE",S315)))</formula>
    </cfRule>
    <cfRule type="containsText" dxfId="4515" priority="61" stopIfTrue="1" operator="containsText" text="ALTO">
      <formula>NOT(ISERROR(SEARCH("ALTO",S315)))</formula>
    </cfRule>
    <cfRule type="containsText" dxfId="4514" priority="62" stopIfTrue="1" operator="containsText" text="MEDIO">
      <formula>NOT(ISERROR(SEARCH("MEDIO",S315)))</formula>
    </cfRule>
    <cfRule type="containsText" dxfId="4513" priority="63" stopIfTrue="1" operator="containsText" text="BAJO">
      <formula>NOT(ISERROR(SEARCH("BAJO",S315)))</formula>
    </cfRule>
    <cfRule type="containsText" dxfId="4512" priority="64" stopIfTrue="1" operator="containsText" text="SIN RIESGO">
      <formula>NOT(ISERROR(SEARCH("SIN RIESGO",S315)))</formula>
    </cfRule>
  </conditionalFormatting>
  <conditionalFormatting sqref="S315">
    <cfRule type="containsText" dxfId="4511" priority="59" stopIfTrue="1" operator="containsText" text="SIN RIESGO">
      <formula>NOT(ISERROR(SEARCH("SIN RIESGO",S315)))</formula>
    </cfRule>
  </conditionalFormatting>
  <conditionalFormatting sqref="E93:P93">
    <cfRule type="containsBlanks" dxfId="4510" priority="52" stopIfTrue="1">
      <formula>LEN(TRIM(E93))=0</formula>
    </cfRule>
    <cfRule type="cellIs" dxfId="4509" priority="53" stopIfTrue="1" operator="between">
      <formula>79.1</formula>
      <formula>100</formula>
    </cfRule>
    <cfRule type="cellIs" dxfId="4508" priority="54" stopIfTrue="1" operator="between">
      <formula>34.1</formula>
      <formula>79</formula>
    </cfRule>
    <cfRule type="cellIs" dxfId="4507" priority="55" stopIfTrue="1" operator="between">
      <formula>13.1</formula>
      <formula>34</formula>
    </cfRule>
    <cfRule type="cellIs" dxfId="4506" priority="56" stopIfTrue="1" operator="between">
      <formula>5.1</formula>
      <formula>13</formula>
    </cfRule>
    <cfRule type="cellIs" dxfId="4505" priority="57" stopIfTrue="1" operator="between">
      <formula>0</formula>
      <formula>5</formula>
    </cfRule>
    <cfRule type="containsBlanks" dxfId="4504" priority="58" stopIfTrue="1">
      <formula>LEN(TRIM(E93))=0</formula>
    </cfRule>
  </conditionalFormatting>
  <conditionalFormatting sqref="Q93">
    <cfRule type="containsBlanks" dxfId="4503" priority="45" stopIfTrue="1">
      <formula>LEN(TRIM(Q93))=0</formula>
    </cfRule>
    <cfRule type="cellIs" dxfId="4502" priority="46" stopIfTrue="1" operator="between">
      <formula>80.1</formula>
      <formula>100</formula>
    </cfRule>
    <cfRule type="cellIs" dxfId="4501" priority="47" stopIfTrue="1" operator="between">
      <formula>35.1</formula>
      <formula>80</formula>
    </cfRule>
    <cfRule type="cellIs" dxfId="4500" priority="48" stopIfTrue="1" operator="between">
      <formula>14.1</formula>
      <formula>35</formula>
    </cfRule>
    <cfRule type="cellIs" dxfId="4499" priority="49" stopIfTrue="1" operator="between">
      <formula>5.1</formula>
      <formula>14</formula>
    </cfRule>
    <cfRule type="cellIs" dxfId="4498" priority="50" stopIfTrue="1" operator="between">
      <formula>0</formula>
      <formula>5</formula>
    </cfRule>
    <cfRule type="containsBlanks" dxfId="4497" priority="51" stopIfTrue="1">
      <formula>LEN(TRIM(Q93))=0</formula>
    </cfRule>
  </conditionalFormatting>
  <conditionalFormatting sqref="R93">
    <cfRule type="cellIs" dxfId="4496" priority="44" stopIfTrue="1" operator="equal">
      <formula>"NO"</formula>
    </cfRule>
  </conditionalFormatting>
  <conditionalFormatting sqref="S93">
    <cfRule type="cellIs" dxfId="4495" priority="43" stopIfTrue="1" operator="equal">
      <formula>"INVIABLE SANITARIAMENTE"</formula>
    </cfRule>
  </conditionalFormatting>
  <conditionalFormatting sqref="Q93">
    <cfRule type="containsBlanks" dxfId="4494" priority="36" stopIfTrue="1">
      <formula>LEN(TRIM(Q93))=0</formula>
    </cfRule>
    <cfRule type="cellIs" dxfId="4493" priority="37" stopIfTrue="1" operator="between">
      <formula>80.1</formula>
      <formula>100</formula>
    </cfRule>
    <cfRule type="cellIs" dxfId="4492" priority="38" stopIfTrue="1" operator="between">
      <formula>35.1</formula>
      <formula>80</formula>
    </cfRule>
    <cfRule type="cellIs" dxfId="4491" priority="39" stopIfTrue="1" operator="between">
      <formula>14.1</formula>
      <formula>35</formula>
    </cfRule>
    <cfRule type="cellIs" dxfId="4490" priority="40" stopIfTrue="1" operator="between">
      <formula>5.1</formula>
      <formula>14</formula>
    </cfRule>
    <cfRule type="cellIs" dxfId="4489" priority="41" stopIfTrue="1" operator="between">
      <formula>0</formula>
      <formula>5</formula>
    </cfRule>
    <cfRule type="containsBlanks" dxfId="4488" priority="42" stopIfTrue="1">
      <formula>LEN(TRIM(Q93))=0</formula>
    </cfRule>
  </conditionalFormatting>
  <conditionalFormatting sqref="S93">
    <cfRule type="containsText" dxfId="4487" priority="31" stopIfTrue="1" operator="containsText" text="INVIABLE SANITARIAMENTE">
      <formula>NOT(ISERROR(SEARCH("INVIABLE SANITARIAMENTE",S93)))</formula>
    </cfRule>
    <cfRule type="containsText" dxfId="4486" priority="32" stopIfTrue="1" operator="containsText" text="ALTO">
      <formula>NOT(ISERROR(SEARCH("ALTO",S93)))</formula>
    </cfRule>
    <cfRule type="containsText" dxfId="4485" priority="33" stopIfTrue="1" operator="containsText" text="MEDIO">
      <formula>NOT(ISERROR(SEARCH("MEDIO",S93)))</formula>
    </cfRule>
    <cfRule type="containsText" dxfId="4484" priority="34" stopIfTrue="1" operator="containsText" text="BAJO">
      <formula>NOT(ISERROR(SEARCH("BAJO",S93)))</formula>
    </cfRule>
    <cfRule type="containsText" dxfId="4483" priority="35" stopIfTrue="1" operator="containsText" text="SIN RIESGO">
      <formula>NOT(ISERROR(SEARCH("SIN RIESGO",S93)))</formula>
    </cfRule>
  </conditionalFormatting>
  <conditionalFormatting sqref="S93">
    <cfRule type="containsText" dxfId="4482" priority="30" stopIfTrue="1" operator="containsText" text="SIN RIESGO">
      <formula>NOT(ISERROR(SEARCH("SIN RIESGO",S93)))</formula>
    </cfRule>
  </conditionalFormatting>
  <conditionalFormatting sqref="E94:P94">
    <cfRule type="containsBlanks" dxfId="4481" priority="23" stopIfTrue="1">
      <formula>LEN(TRIM(E94))=0</formula>
    </cfRule>
    <cfRule type="cellIs" dxfId="4480" priority="24" stopIfTrue="1" operator="between">
      <formula>79.1</formula>
      <formula>100</formula>
    </cfRule>
    <cfRule type="cellIs" dxfId="4479" priority="25" stopIfTrue="1" operator="between">
      <formula>34.1</formula>
      <formula>79</formula>
    </cfRule>
    <cfRule type="cellIs" dxfId="4478" priority="26" stopIfTrue="1" operator="between">
      <formula>13.1</formula>
      <formula>34</formula>
    </cfRule>
    <cfRule type="cellIs" dxfId="4477" priority="27" stopIfTrue="1" operator="between">
      <formula>5.1</formula>
      <formula>13</formula>
    </cfRule>
    <cfRule type="cellIs" dxfId="4476" priority="28" stopIfTrue="1" operator="between">
      <formula>0</formula>
      <formula>5</formula>
    </cfRule>
    <cfRule type="containsBlanks" dxfId="4475" priority="29" stopIfTrue="1">
      <formula>LEN(TRIM(E94))=0</formula>
    </cfRule>
  </conditionalFormatting>
  <conditionalFormatting sqref="Q94">
    <cfRule type="containsBlanks" dxfId="4474" priority="16" stopIfTrue="1">
      <formula>LEN(TRIM(Q94))=0</formula>
    </cfRule>
    <cfRule type="cellIs" dxfId="4473" priority="17" stopIfTrue="1" operator="between">
      <formula>80.1</formula>
      <formula>100</formula>
    </cfRule>
    <cfRule type="cellIs" dxfId="4472" priority="18" stopIfTrue="1" operator="between">
      <formula>35.1</formula>
      <formula>80</formula>
    </cfRule>
    <cfRule type="cellIs" dxfId="4471" priority="19" stopIfTrue="1" operator="between">
      <formula>14.1</formula>
      <formula>35</formula>
    </cfRule>
    <cfRule type="cellIs" dxfId="4470" priority="20" stopIfTrue="1" operator="between">
      <formula>5.1</formula>
      <formula>14</formula>
    </cfRule>
    <cfRule type="cellIs" dxfId="4469" priority="21" stopIfTrue="1" operator="between">
      <formula>0</formula>
      <formula>5</formula>
    </cfRule>
    <cfRule type="containsBlanks" dxfId="4468" priority="22" stopIfTrue="1">
      <formula>LEN(TRIM(Q94))=0</formula>
    </cfRule>
  </conditionalFormatting>
  <conditionalFormatting sqref="R94">
    <cfRule type="cellIs" dxfId="4467" priority="15" stopIfTrue="1" operator="equal">
      <formula>"NO"</formula>
    </cfRule>
  </conditionalFormatting>
  <conditionalFormatting sqref="S94">
    <cfRule type="cellIs" dxfId="4466" priority="14" stopIfTrue="1" operator="equal">
      <formula>"INVIABLE SANITARIAMENTE"</formula>
    </cfRule>
  </conditionalFormatting>
  <conditionalFormatting sqref="Q94">
    <cfRule type="containsBlanks" dxfId="4465" priority="7" stopIfTrue="1">
      <formula>LEN(TRIM(Q94))=0</formula>
    </cfRule>
    <cfRule type="cellIs" dxfId="4464" priority="8" stopIfTrue="1" operator="between">
      <formula>80.1</formula>
      <formula>100</formula>
    </cfRule>
    <cfRule type="cellIs" dxfId="4463" priority="9" stopIfTrue="1" operator="between">
      <formula>35.1</formula>
      <formula>80</formula>
    </cfRule>
    <cfRule type="cellIs" dxfId="4462" priority="10" stopIfTrue="1" operator="between">
      <formula>14.1</formula>
      <formula>35</formula>
    </cfRule>
    <cfRule type="cellIs" dxfId="4461" priority="11" stopIfTrue="1" operator="between">
      <formula>5.1</formula>
      <formula>14</formula>
    </cfRule>
    <cfRule type="cellIs" dxfId="4460" priority="12" stopIfTrue="1" operator="between">
      <formula>0</formula>
      <formula>5</formula>
    </cfRule>
    <cfRule type="containsBlanks" dxfId="4459" priority="13" stopIfTrue="1">
      <formula>LEN(TRIM(Q94))=0</formula>
    </cfRule>
  </conditionalFormatting>
  <conditionalFormatting sqref="S94">
    <cfRule type="containsText" dxfId="4458" priority="2" stopIfTrue="1" operator="containsText" text="INVIABLE SANITARIAMENTE">
      <formula>NOT(ISERROR(SEARCH("INVIABLE SANITARIAMENTE",S94)))</formula>
    </cfRule>
    <cfRule type="containsText" dxfId="4457" priority="3" stopIfTrue="1" operator="containsText" text="ALTO">
      <formula>NOT(ISERROR(SEARCH("ALTO",S94)))</formula>
    </cfRule>
    <cfRule type="containsText" dxfId="4456" priority="4" stopIfTrue="1" operator="containsText" text="MEDIO">
      <formula>NOT(ISERROR(SEARCH("MEDIO",S94)))</formula>
    </cfRule>
    <cfRule type="containsText" dxfId="4455" priority="5" stopIfTrue="1" operator="containsText" text="BAJO">
      <formula>NOT(ISERROR(SEARCH("BAJO",S94)))</formula>
    </cfRule>
    <cfRule type="containsText" dxfId="4454" priority="6" stopIfTrue="1" operator="containsText" text="SIN RIESGO">
      <formula>NOT(ISERROR(SEARCH("SIN RIESGO",S94)))</formula>
    </cfRule>
  </conditionalFormatting>
  <conditionalFormatting sqref="S94">
    <cfRule type="containsText" dxfId="4453" priority="1" stopIfTrue="1" operator="containsText" text="SIN RIESGO">
      <formula>NOT(ISERROR(SEARCH("SIN RIESGO",S94)))</formula>
    </cfRule>
  </conditionalFormatting>
  <printOptions horizontalCentered="1"/>
  <pageMargins left="0.28999999999999998" right="0.2" top="0.6692913385826772" bottom="0.9055118110236221" header="0.43" footer="0.59055118110236227"/>
  <pageSetup paperSize="14" scale="75" orientation="landscape" r:id="rId5"/>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drawing r:id="rId6"/>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0"/>
  </sheetPr>
  <dimension ref="A1:IV771"/>
  <sheetViews>
    <sheetView zoomScale="70" zoomScaleNormal="70" workbookViewId="0">
      <pane xSplit="3" ySplit="10" topLeftCell="D11" activePane="bottomRight" state="frozenSplit"/>
      <selection pane="topRight" activeCell="D1" sqref="D1"/>
      <selection pane="bottomLeft" activeCell="A11" sqref="A11"/>
      <selection pane="bottomRight" activeCell="A11" sqref="A11"/>
    </sheetView>
  </sheetViews>
  <sheetFormatPr baseColWidth="10" defaultColWidth="0" defaultRowHeight="14.25" zeroHeight="1" x14ac:dyDescent="0.2"/>
  <cols>
    <col min="1" max="1" width="34.140625" style="112" customWidth="1"/>
    <col min="2" max="2" width="44" style="141" customWidth="1"/>
    <col min="3" max="3" width="69.85546875" style="101" customWidth="1"/>
    <col min="4" max="4" width="19" style="125" customWidth="1"/>
    <col min="5" max="18" width="10.7109375" style="13" customWidth="1"/>
    <col min="19" max="19" width="42.28515625" style="13" bestFit="1" customWidth="1"/>
    <col min="20" max="20" width="9.85546875" style="13" hidden="1" customWidth="1"/>
    <col min="21" max="16384" width="11.42578125" style="13" hidden="1"/>
  </cols>
  <sheetData>
    <row r="1" spans="1:256" s="7" customFormat="1" ht="18" customHeight="1" x14ac:dyDescent="0.2">
      <c r="A1" s="108"/>
      <c r="B1" s="326" t="s">
        <v>254</v>
      </c>
      <c r="C1" s="326"/>
      <c r="D1" s="326"/>
      <c r="E1" s="86"/>
      <c r="F1" s="86"/>
      <c r="G1" s="86"/>
      <c r="H1" s="86"/>
      <c r="I1" s="86"/>
      <c r="J1" s="86"/>
      <c r="K1" s="86"/>
      <c r="L1" s="86"/>
      <c r="M1" s="86"/>
      <c r="N1" s="86"/>
      <c r="O1" s="86"/>
      <c r="P1" s="86"/>
      <c r="Q1" s="86"/>
      <c r="R1" s="87"/>
      <c r="S1" s="39" t="s">
        <v>492</v>
      </c>
      <c r="T1" s="3"/>
      <c r="U1" s="5"/>
      <c r="V1" s="6"/>
      <c r="W1" s="6"/>
    </row>
    <row r="2" spans="1:256" s="9" customFormat="1" ht="18" customHeight="1" x14ac:dyDescent="0.2">
      <c r="A2" s="108"/>
      <c r="B2" s="326" t="s">
        <v>4587</v>
      </c>
      <c r="C2" s="326"/>
      <c r="D2" s="326"/>
      <c r="E2" s="310"/>
      <c r="F2" s="310"/>
      <c r="G2" s="310"/>
      <c r="H2" s="310"/>
      <c r="I2" s="310"/>
      <c r="J2" s="310"/>
      <c r="K2" s="310"/>
      <c r="L2" s="310"/>
      <c r="M2" s="310"/>
      <c r="N2" s="310"/>
      <c r="O2" s="310"/>
      <c r="P2" s="310"/>
      <c r="Q2" s="310"/>
      <c r="R2" s="88"/>
      <c r="S2" s="40" t="s">
        <v>255</v>
      </c>
      <c r="T2" s="3"/>
      <c r="U2" s="8"/>
      <c r="V2" s="6"/>
      <c r="W2" s="6"/>
    </row>
    <row r="3" spans="1:256" s="7" customFormat="1" ht="18" customHeight="1" x14ac:dyDescent="0.2">
      <c r="A3" s="108"/>
      <c r="B3" s="327" t="s">
        <v>4588</v>
      </c>
      <c r="C3" s="327"/>
      <c r="D3" s="327"/>
      <c r="E3" s="309"/>
      <c r="F3" s="309"/>
      <c r="G3" s="309"/>
      <c r="H3" s="309"/>
      <c r="I3" s="309"/>
      <c r="J3" s="309"/>
      <c r="K3" s="309"/>
      <c r="L3" s="309"/>
      <c r="M3" s="309"/>
      <c r="N3" s="309"/>
      <c r="O3" s="309"/>
      <c r="P3" s="309"/>
      <c r="Q3" s="309"/>
      <c r="R3" s="89"/>
      <c r="S3" s="40" t="s">
        <v>493</v>
      </c>
      <c r="T3" s="3"/>
      <c r="U3" s="5"/>
      <c r="V3" s="6"/>
      <c r="W3" s="6"/>
    </row>
    <row r="4" spans="1:256" s="7" customFormat="1" ht="18" customHeight="1" x14ac:dyDescent="0.25">
      <c r="A4" s="108"/>
      <c r="B4" s="60" t="s">
        <v>4119</v>
      </c>
      <c r="C4" s="309"/>
      <c r="D4" s="309"/>
      <c r="E4" s="37"/>
      <c r="F4" s="37"/>
      <c r="G4" s="37"/>
      <c r="H4" s="37"/>
      <c r="I4" s="37"/>
      <c r="J4" s="37"/>
      <c r="K4" s="37"/>
      <c r="L4" s="37"/>
      <c r="M4" s="37"/>
      <c r="N4" s="37"/>
      <c r="O4" s="37"/>
      <c r="P4" s="37"/>
      <c r="Q4" s="37"/>
      <c r="R4" s="38"/>
      <c r="S4" s="40" t="s">
        <v>256</v>
      </c>
      <c r="T4" s="3"/>
      <c r="U4" s="5"/>
      <c r="V4" s="6"/>
      <c r="W4" s="6"/>
    </row>
    <row r="5" spans="1:256" s="32" customFormat="1" ht="15" customHeight="1" x14ac:dyDescent="0.2">
      <c r="A5" s="109"/>
      <c r="B5" s="326" t="s">
        <v>4291</v>
      </c>
      <c r="C5" s="326"/>
      <c r="D5" s="326"/>
      <c r="E5" s="319" t="s">
        <v>251</v>
      </c>
      <c r="F5" s="319"/>
      <c r="G5" s="319"/>
      <c r="H5" s="314" t="s">
        <v>258</v>
      </c>
      <c r="I5" s="314"/>
      <c r="J5" s="314"/>
      <c r="K5" s="321" t="s">
        <v>491</v>
      </c>
      <c r="L5" s="321"/>
      <c r="M5" s="321"/>
      <c r="N5" s="318" t="s">
        <v>422</v>
      </c>
      <c r="O5" s="318"/>
      <c r="P5" s="318"/>
      <c r="Q5" s="334" t="s">
        <v>259</v>
      </c>
      <c r="R5" s="334"/>
      <c r="S5" s="313" t="s">
        <v>261</v>
      </c>
    </row>
    <row r="6" spans="1:256" s="32" customFormat="1" ht="16.5" customHeight="1" x14ac:dyDescent="0.2">
      <c r="A6" s="109"/>
      <c r="B6" s="174"/>
      <c r="C6" s="360"/>
      <c r="D6" s="359" t="s">
        <v>260</v>
      </c>
      <c r="E6" s="319"/>
      <c r="F6" s="319"/>
      <c r="G6" s="319"/>
      <c r="H6" s="314"/>
      <c r="I6" s="314"/>
      <c r="J6" s="314"/>
      <c r="K6" s="321"/>
      <c r="L6" s="321"/>
      <c r="M6" s="321"/>
      <c r="N6" s="318"/>
      <c r="O6" s="318"/>
      <c r="P6" s="318"/>
      <c r="Q6" s="334"/>
      <c r="R6" s="334"/>
      <c r="S6" s="313"/>
    </row>
    <row r="7" spans="1:256" s="32" customFormat="1" ht="3.75" customHeight="1" x14ac:dyDescent="0.2">
      <c r="A7" s="329"/>
      <c r="B7" s="329"/>
      <c r="C7" s="42"/>
      <c r="D7" s="106"/>
      <c r="E7" s="43"/>
      <c r="F7" s="43"/>
      <c r="G7" s="43"/>
      <c r="H7" s="43"/>
      <c r="I7" s="43"/>
      <c r="J7" s="43"/>
      <c r="K7" s="43"/>
      <c r="L7" s="43"/>
      <c r="M7" s="43"/>
      <c r="N7" s="43"/>
      <c r="O7" s="43"/>
      <c r="P7" s="43"/>
      <c r="Q7" s="43"/>
      <c r="R7" s="43"/>
      <c r="S7" s="41"/>
    </row>
    <row r="8" spans="1:256" s="32" customFormat="1" ht="27" customHeight="1" x14ac:dyDescent="0.2">
      <c r="A8" s="505" t="s">
        <v>4622</v>
      </c>
      <c r="B8" s="189"/>
      <c r="C8" s="107"/>
      <c r="D8" s="107"/>
      <c r="E8" s="107"/>
      <c r="F8" s="107"/>
      <c r="G8" s="107"/>
      <c r="H8" s="107"/>
      <c r="I8" s="107"/>
      <c r="J8" s="107"/>
      <c r="K8" s="107"/>
      <c r="L8" s="107"/>
      <c r="M8" s="107"/>
      <c r="N8" s="107"/>
      <c r="O8" s="107"/>
      <c r="P8" s="107"/>
      <c r="Q8" s="107"/>
      <c r="R8" s="107"/>
      <c r="S8" s="175"/>
    </row>
    <row r="9" spans="1:256" s="10" customFormat="1" ht="18" customHeight="1" x14ac:dyDescent="0.2">
      <c r="A9" s="330" t="s">
        <v>37</v>
      </c>
      <c r="B9" s="328" t="s">
        <v>38</v>
      </c>
      <c r="C9" s="328" t="s">
        <v>257</v>
      </c>
      <c r="D9" s="337" t="s">
        <v>419</v>
      </c>
      <c r="E9" s="328" t="s">
        <v>33</v>
      </c>
      <c r="F9" s="328"/>
      <c r="G9" s="328"/>
      <c r="H9" s="328"/>
      <c r="I9" s="328"/>
      <c r="J9" s="328"/>
      <c r="K9" s="328"/>
      <c r="L9" s="328"/>
      <c r="M9" s="328"/>
      <c r="N9" s="328"/>
      <c r="O9" s="328"/>
      <c r="P9" s="328"/>
      <c r="Q9" s="335" t="s">
        <v>34</v>
      </c>
      <c r="R9" s="335" t="s">
        <v>36</v>
      </c>
      <c r="S9" s="328" t="s">
        <v>35</v>
      </c>
      <c r="T9" s="11"/>
    </row>
    <row r="10" spans="1:256" s="10" customFormat="1" ht="24" customHeight="1" x14ac:dyDescent="0.2">
      <c r="A10" s="330"/>
      <c r="B10" s="328"/>
      <c r="C10" s="328"/>
      <c r="D10" s="338"/>
      <c r="E10" s="179" t="s">
        <v>21</v>
      </c>
      <c r="F10" s="179" t="s">
        <v>22</v>
      </c>
      <c r="G10" s="179" t="s">
        <v>23</v>
      </c>
      <c r="H10" s="179" t="s">
        <v>24</v>
      </c>
      <c r="I10" s="179" t="s">
        <v>25</v>
      </c>
      <c r="J10" s="179" t="s">
        <v>26</v>
      </c>
      <c r="K10" s="179" t="s">
        <v>27</v>
      </c>
      <c r="L10" s="179" t="s">
        <v>28</v>
      </c>
      <c r="M10" s="179" t="s">
        <v>29</v>
      </c>
      <c r="N10" s="179" t="s">
        <v>30</v>
      </c>
      <c r="O10" s="179" t="s">
        <v>31</v>
      </c>
      <c r="P10" s="179" t="s">
        <v>32</v>
      </c>
      <c r="Q10" s="335"/>
      <c r="R10" s="335"/>
      <c r="S10" s="328"/>
      <c r="T10" s="11"/>
    </row>
    <row r="11" spans="1:256" ht="32.1" customHeight="1" x14ac:dyDescent="0.2">
      <c r="A11" s="412" t="s">
        <v>3943</v>
      </c>
      <c r="B11" s="385" t="s">
        <v>1622</v>
      </c>
      <c r="C11" s="378" t="s">
        <v>1623</v>
      </c>
      <c r="D11" s="413">
        <v>40</v>
      </c>
      <c r="E11" s="414"/>
      <c r="F11" s="414"/>
      <c r="G11" s="414"/>
      <c r="H11" s="414"/>
      <c r="I11" s="414"/>
      <c r="J11" s="415">
        <v>97.9</v>
      </c>
      <c r="K11" s="414"/>
      <c r="L11" s="414"/>
      <c r="M11" s="414"/>
      <c r="N11" s="414"/>
      <c r="O11" s="414"/>
      <c r="P11" s="414"/>
      <c r="Q11" s="416">
        <f t="shared" ref="Q11:Q74" si="0">AVERAGE(E11:P11)</f>
        <v>97.9</v>
      </c>
      <c r="R11" s="375" t="str">
        <f t="shared" ref="R11:R42" si="1">IF(Q11&lt;5,"SI","NO")</f>
        <v>NO</v>
      </c>
      <c r="S11" s="417" t="str">
        <f t="shared" ref="S11:S74" si="2">IF(Q11&lt;5,"Sin Riesgo",IF(Q11 &lt;=14,"Bajo",IF(Q11&lt;=35,"Medio",IF(Q11&lt;=80,"Alto","Inviable Sanitariamente"))))</f>
        <v>Inviable Sanitariamente</v>
      </c>
      <c r="T11" s="139"/>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c r="IR11" s="140"/>
      <c r="IS11" s="140"/>
      <c r="IT11" s="140"/>
      <c r="IU11" s="140"/>
      <c r="IV11" s="140"/>
    </row>
    <row r="12" spans="1:256" ht="32.1" customHeight="1" x14ac:dyDescent="0.2">
      <c r="A12" s="412" t="s">
        <v>3943</v>
      </c>
      <c r="B12" s="385" t="s">
        <v>1624</v>
      </c>
      <c r="C12" s="378" t="s">
        <v>1625</v>
      </c>
      <c r="D12" s="364">
        <v>287</v>
      </c>
      <c r="E12" s="415"/>
      <c r="F12" s="415"/>
      <c r="G12" s="415"/>
      <c r="H12" s="415"/>
      <c r="I12" s="415"/>
      <c r="J12" s="415">
        <v>76.92</v>
      </c>
      <c r="K12" s="415"/>
      <c r="L12" s="415"/>
      <c r="M12" s="415"/>
      <c r="N12" s="415"/>
      <c r="O12" s="415"/>
      <c r="P12" s="415"/>
      <c r="Q12" s="416">
        <f t="shared" si="0"/>
        <v>76.92</v>
      </c>
      <c r="R12" s="375" t="str">
        <f t="shared" si="1"/>
        <v>NO</v>
      </c>
      <c r="S12" s="417" t="str">
        <f t="shared" si="2"/>
        <v>Alto</v>
      </c>
      <c r="T12" s="139"/>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c r="IR12" s="140"/>
      <c r="IS12" s="140"/>
      <c r="IT12" s="140"/>
      <c r="IU12" s="140"/>
      <c r="IV12" s="140"/>
    </row>
    <row r="13" spans="1:256" ht="32.1" customHeight="1" x14ac:dyDescent="0.2">
      <c r="A13" s="412" t="s">
        <v>3943</v>
      </c>
      <c r="B13" s="385" t="s">
        <v>1626</v>
      </c>
      <c r="C13" s="418" t="s">
        <v>1984</v>
      </c>
      <c r="D13" s="364">
        <v>400</v>
      </c>
      <c r="E13" s="415"/>
      <c r="F13" s="415"/>
      <c r="G13" s="415"/>
      <c r="H13" s="415"/>
      <c r="I13" s="415"/>
      <c r="J13" s="415"/>
      <c r="K13" s="415"/>
      <c r="L13" s="415">
        <v>97.35</v>
      </c>
      <c r="M13" s="415"/>
      <c r="N13" s="415"/>
      <c r="O13" s="415"/>
      <c r="P13" s="415"/>
      <c r="Q13" s="416">
        <f t="shared" si="0"/>
        <v>97.35</v>
      </c>
      <c r="R13" s="375" t="str">
        <f t="shared" si="1"/>
        <v>NO</v>
      </c>
      <c r="S13" s="417" t="str">
        <f t="shared" si="2"/>
        <v>Inviable Sanitariamente</v>
      </c>
      <c r="T13" s="139"/>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row>
    <row r="14" spans="1:256" ht="32.1" customHeight="1" x14ac:dyDescent="0.2">
      <c r="A14" s="412" t="s">
        <v>3943</v>
      </c>
      <c r="B14" s="385" t="s">
        <v>1627</v>
      </c>
      <c r="C14" s="378" t="s">
        <v>1628</v>
      </c>
      <c r="D14" s="364">
        <v>301</v>
      </c>
      <c r="E14" s="415"/>
      <c r="F14" s="415">
        <v>0</v>
      </c>
      <c r="G14" s="415"/>
      <c r="H14" s="415">
        <v>41.96</v>
      </c>
      <c r="I14" s="415"/>
      <c r="J14" s="415">
        <v>20.98</v>
      </c>
      <c r="K14" s="415"/>
      <c r="L14" s="415">
        <v>27.1</v>
      </c>
      <c r="M14" s="415">
        <v>80.7</v>
      </c>
      <c r="N14" s="415">
        <v>19.350000000000001</v>
      </c>
      <c r="O14" s="415">
        <v>19.48</v>
      </c>
      <c r="P14" s="415">
        <v>19.3</v>
      </c>
      <c r="Q14" s="416">
        <f t="shared" si="0"/>
        <v>28.608750000000001</v>
      </c>
      <c r="R14" s="375" t="str">
        <f t="shared" si="1"/>
        <v>NO</v>
      </c>
      <c r="S14" s="417" t="str">
        <f t="shared" si="2"/>
        <v>Medio</v>
      </c>
      <c r="T14" s="139"/>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c r="IR14" s="140"/>
      <c r="IS14" s="140"/>
      <c r="IT14" s="140"/>
      <c r="IU14" s="140"/>
      <c r="IV14" s="140"/>
    </row>
    <row r="15" spans="1:256" ht="32.1" customHeight="1" x14ac:dyDescent="0.2">
      <c r="A15" s="412" t="s">
        <v>3943</v>
      </c>
      <c r="B15" s="385" t="s">
        <v>1629</v>
      </c>
      <c r="C15" s="378" t="s">
        <v>1630</v>
      </c>
      <c r="D15" s="364">
        <v>832</v>
      </c>
      <c r="E15" s="415"/>
      <c r="F15" s="415">
        <v>0</v>
      </c>
      <c r="G15" s="415"/>
      <c r="H15" s="415">
        <v>76.92</v>
      </c>
      <c r="I15" s="415"/>
      <c r="J15" s="415">
        <v>97.9</v>
      </c>
      <c r="K15" s="415"/>
      <c r="L15" s="415">
        <v>80.7</v>
      </c>
      <c r="M15" s="415">
        <v>49.08</v>
      </c>
      <c r="N15" s="415">
        <v>38.700000000000003</v>
      </c>
      <c r="O15" s="415">
        <v>19.350000000000001</v>
      </c>
      <c r="P15" s="415">
        <v>18.399999999999999</v>
      </c>
      <c r="Q15" s="416">
        <f t="shared" si="0"/>
        <v>47.631249999999994</v>
      </c>
      <c r="R15" s="375" t="str">
        <f t="shared" si="1"/>
        <v>NO</v>
      </c>
      <c r="S15" s="417" t="str">
        <f t="shared" si="2"/>
        <v>Alto</v>
      </c>
      <c r="T15" s="139"/>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c r="IR15" s="140"/>
      <c r="IS15" s="140"/>
      <c r="IT15" s="140"/>
      <c r="IU15" s="140"/>
      <c r="IV15" s="140"/>
    </row>
    <row r="16" spans="1:256" ht="32.1" customHeight="1" x14ac:dyDescent="0.2">
      <c r="A16" s="412" t="s">
        <v>3943</v>
      </c>
      <c r="B16" s="385" t="s">
        <v>1622</v>
      </c>
      <c r="C16" s="378" t="s">
        <v>1631</v>
      </c>
      <c r="D16" s="364">
        <v>98</v>
      </c>
      <c r="E16" s="415"/>
      <c r="F16" s="415">
        <v>97.9</v>
      </c>
      <c r="G16" s="415"/>
      <c r="H16" s="415">
        <v>20.98</v>
      </c>
      <c r="I16" s="415"/>
      <c r="J16" s="415"/>
      <c r="K16" s="415"/>
      <c r="L16" s="415">
        <v>19.399999999999999</v>
      </c>
      <c r="M16" s="415">
        <v>49.08</v>
      </c>
      <c r="N16" s="415">
        <v>19.350000000000001</v>
      </c>
      <c r="O16" s="415">
        <v>98</v>
      </c>
      <c r="P16" s="415">
        <v>19.350000000000001</v>
      </c>
      <c r="Q16" s="416">
        <f t="shared" si="0"/>
        <v>46.294285714285721</v>
      </c>
      <c r="R16" s="375" t="str">
        <f t="shared" si="1"/>
        <v>NO</v>
      </c>
      <c r="S16" s="417" t="str">
        <f t="shared" si="2"/>
        <v>Alto</v>
      </c>
      <c r="T16" s="139"/>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c r="IR16" s="140"/>
      <c r="IS16" s="140"/>
      <c r="IT16" s="140"/>
      <c r="IU16" s="140"/>
      <c r="IV16" s="140"/>
    </row>
    <row r="17" spans="1:256" ht="32.1" customHeight="1" x14ac:dyDescent="0.2">
      <c r="A17" s="412" t="s">
        <v>3943</v>
      </c>
      <c r="B17" s="385" t="s">
        <v>1632</v>
      </c>
      <c r="C17" s="378" t="s">
        <v>1633</v>
      </c>
      <c r="D17" s="364">
        <v>605</v>
      </c>
      <c r="E17" s="415"/>
      <c r="F17" s="415">
        <v>26.55</v>
      </c>
      <c r="G17" s="415">
        <v>53.1</v>
      </c>
      <c r="H17" s="415"/>
      <c r="I17" s="415"/>
      <c r="J17" s="415">
        <v>97.35</v>
      </c>
      <c r="K17" s="415"/>
      <c r="L17" s="415">
        <v>0</v>
      </c>
      <c r="M17" s="415">
        <v>0</v>
      </c>
      <c r="N17" s="415">
        <v>0</v>
      </c>
      <c r="O17" s="415">
        <v>0</v>
      </c>
      <c r="P17" s="415">
        <v>0</v>
      </c>
      <c r="Q17" s="416">
        <f t="shared" si="0"/>
        <v>22.125</v>
      </c>
      <c r="R17" s="375" t="str">
        <f t="shared" si="1"/>
        <v>NO</v>
      </c>
      <c r="S17" s="417" t="str">
        <f t="shared" si="2"/>
        <v>Medio</v>
      </c>
      <c r="T17" s="139"/>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c r="IR17" s="140"/>
      <c r="IS17" s="140"/>
      <c r="IT17" s="140"/>
      <c r="IU17" s="140"/>
      <c r="IV17" s="140"/>
    </row>
    <row r="18" spans="1:256" ht="32.1" customHeight="1" x14ac:dyDescent="0.2">
      <c r="A18" s="412" t="s">
        <v>3943</v>
      </c>
      <c r="B18" s="385" t="s">
        <v>1634</v>
      </c>
      <c r="C18" s="378" t="s">
        <v>1635</v>
      </c>
      <c r="D18" s="364">
        <v>28</v>
      </c>
      <c r="E18" s="415"/>
      <c r="F18" s="415"/>
      <c r="G18" s="415"/>
      <c r="H18" s="415"/>
      <c r="I18" s="415"/>
      <c r="J18" s="415"/>
      <c r="K18" s="415"/>
      <c r="L18" s="415">
        <v>53.1</v>
      </c>
      <c r="M18" s="415"/>
      <c r="N18" s="415"/>
      <c r="O18" s="415"/>
      <c r="P18" s="415"/>
      <c r="Q18" s="416">
        <f t="shared" si="0"/>
        <v>53.1</v>
      </c>
      <c r="R18" s="375" t="str">
        <f t="shared" si="1"/>
        <v>NO</v>
      </c>
      <c r="S18" s="417" t="str">
        <f t="shared" si="2"/>
        <v>Alto</v>
      </c>
      <c r="T18" s="139"/>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c r="IO18" s="140"/>
      <c r="IP18" s="140"/>
      <c r="IQ18" s="140"/>
      <c r="IR18" s="140"/>
      <c r="IS18" s="140"/>
      <c r="IT18" s="140"/>
      <c r="IU18" s="140"/>
      <c r="IV18" s="140"/>
    </row>
    <row r="19" spans="1:256" ht="32.1" customHeight="1" x14ac:dyDescent="0.2">
      <c r="A19" s="412" t="s">
        <v>3943</v>
      </c>
      <c r="B19" s="385" t="s">
        <v>1636</v>
      </c>
      <c r="C19" s="378" t="s">
        <v>1637</v>
      </c>
      <c r="D19" s="413">
        <v>48</v>
      </c>
      <c r="E19" s="415"/>
      <c r="F19" s="415"/>
      <c r="G19" s="415"/>
      <c r="H19" s="415"/>
      <c r="I19" s="415"/>
      <c r="J19" s="415"/>
      <c r="K19" s="415"/>
      <c r="L19" s="415">
        <v>26.55</v>
      </c>
      <c r="M19" s="415"/>
      <c r="N19" s="415"/>
      <c r="O19" s="415"/>
      <c r="P19" s="415"/>
      <c r="Q19" s="416">
        <f t="shared" si="0"/>
        <v>26.55</v>
      </c>
      <c r="R19" s="375" t="str">
        <f t="shared" si="1"/>
        <v>NO</v>
      </c>
      <c r="S19" s="417" t="str">
        <f t="shared" si="2"/>
        <v>Medio</v>
      </c>
      <c r="T19" s="139"/>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c r="IR19" s="140"/>
      <c r="IS19" s="140"/>
      <c r="IT19" s="140"/>
      <c r="IU19" s="140"/>
      <c r="IV19" s="140"/>
    </row>
    <row r="20" spans="1:256" ht="32.1" customHeight="1" x14ac:dyDescent="0.2">
      <c r="A20" s="412" t="s">
        <v>3943</v>
      </c>
      <c r="B20" s="385" t="s">
        <v>1638</v>
      </c>
      <c r="C20" s="419" t="s">
        <v>1985</v>
      </c>
      <c r="D20" s="364">
        <v>76</v>
      </c>
      <c r="E20" s="415"/>
      <c r="F20" s="415"/>
      <c r="G20" s="415"/>
      <c r="H20" s="415"/>
      <c r="I20" s="415"/>
      <c r="J20" s="415"/>
      <c r="K20" s="415"/>
      <c r="L20" s="415"/>
      <c r="M20" s="415">
        <v>97.35</v>
      </c>
      <c r="N20" s="415"/>
      <c r="O20" s="415"/>
      <c r="P20" s="415"/>
      <c r="Q20" s="416">
        <f t="shared" si="0"/>
        <v>97.35</v>
      </c>
      <c r="R20" s="375" t="str">
        <f t="shared" si="1"/>
        <v>NO</v>
      </c>
      <c r="S20" s="417" t="str">
        <f t="shared" si="2"/>
        <v>Inviable Sanitariamente</v>
      </c>
      <c r="T20" s="139"/>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140"/>
      <c r="HW20" s="140"/>
      <c r="HX20" s="140"/>
      <c r="HY20" s="140"/>
      <c r="HZ20" s="140"/>
      <c r="IA20" s="140"/>
      <c r="IB20" s="140"/>
      <c r="IC20" s="140"/>
      <c r="ID20" s="140"/>
      <c r="IE20" s="140"/>
      <c r="IF20" s="140"/>
      <c r="IG20" s="140"/>
      <c r="IH20" s="140"/>
      <c r="II20" s="140"/>
      <c r="IJ20" s="140"/>
      <c r="IK20" s="140"/>
      <c r="IL20" s="140"/>
      <c r="IM20" s="140"/>
      <c r="IN20" s="140"/>
      <c r="IO20" s="140"/>
      <c r="IP20" s="140"/>
      <c r="IQ20" s="140"/>
      <c r="IR20" s="140"/>
      <c r="IS20" s="140"/>
      <c r="IT20" s="140"/>
      <c r="IU20" s="140"/>
      <c r="IV20" s="140"/>
    </row>
    <row r="21" spans="1:256" ht="32.1" customHeight="1" x14ac:dyDescent="0.2">
      <c r="A21" s="412" t="s">
        <v>3943</v>
      </c>
      <c r="B21" s="385" t="s">
        <v>1639</v>
      </c>
      <c r="C21" s="378" t="s">
        <v>1640</v>
      </c>
      <c r="D21" s="364">
        <v>43</v>
      </c>
      <c r="E21" s="415"/>
      <c r="F21" s="415"/>
      <c r="G21" s="415"/>
      <c r="H21" s="415"/>
      <c r="I21" s="415"/>
      <c r="J21" s="415"/>
      <c r="K21" s="415">
        <v>76.92</v>
      </c>
      <c r="L21" s="415"/>
      <c r="M21" s="415"/>
      <c r="N21" s="415"/>
      <c r="O21" s="415"/>
      <c r="P21" s="415"/>
      <c r="Q21" s="416">
        <f t="shared" si="0"/>
        <v>76.92</v>
      </c>
      <c r="R21" s="375" t="str">
        <f t="shared" si="1"/>
        <v>NO</v>
      </c>
      <c r="S21" s="417" t="str">
        <f t="shared" si="2"/>
        <v>Alto</v>
      </c>
      <c r="T21" s="139"/>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140"/>
      <c r="IH21" s="140"/>
      <c r="II21" s="140"/>
      <c r="IJ21" s="140"/>
      <c r="IK21" s="140"/>
      <c r="IL21" s="140"/>
      <c r="IM21" s="140"/>
      <c r="IN21" s="140"/>
      <c r="IO21" s="140"/>
      <c r="IP21" s="140"/>
      <c r="IQ21" s="140"/>
      <c r="IR21" s="140"/>
      <c r="IS21" s="140"/>
      <c r="IT21" s="140"/>
      <c r="IU21" s="140"/>
      <c r="IV21" s="140"/>
    </row>
    <row r="22" spans="1:256" ht="32.1" customHeight="1" x14ac:dyDescent="0.2">
      <c r="A22" s="412" t="s">
        <v>3943</v>
      </c>
      <c r="B22" s="385" t="s">
        <v>1641</v>
      </c>
      <c r="C22" s="378" t="s">
        <v>1642</v>
      </c>
      <c r="D22" s="364">
        <v>72</v>
      </c>
      <c r="E22" s="415"/>
      <c r="F22" s="415"/>
      <c r="G22" s="415"/>
      <c r="H22" s="415"/>
      <c r="I22" s="415"/>
      <c r="J22" s="415"/>
      <c r="K22" s="415">
        <v>76.92</v>
      </c>
      <c r="L22" s="415"/>
      <c r="M22" s="415"/>
      <c r="N22" s="415"/>
      <c r="O22" s="415"/>
      <c r="P22" s="415"/>
      <c r="Q22" s="416">
        <f t="shared" si="0"/>
        <v>76.92</v>
      </c>
      <c r="R22" s="375" t="str">
        <f t="shared" si="1"/>
        <v>NO</v>
      </c>
      <c r="S22" s="417" t="str">
        <f t="shared" si="2"/>
        <v>Alto</v>
      </c>
      <c r="T22" s="139"/>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c r="IO22" s="140"/>
      <c r="IP22" s="140"/>
      <c r="IQ22" s="140"/>
      <c r="IR22" s="140"/>
      <c r="IS22" s="140"/>
      <c r="IT22" s="140"/>
      <c r="IU22" s="140"/>
      <c r="IV22" s="140"/>
    </row>
    <row r="23" spans="1:256" ht="32.1" customHeight="1" x14ac:dyDescent="0.2">
      <c r="A23" s="412" t="s">
        <v>3943</v>
      </c>
      <c r="B23" s="385" t="s">
        <v>1643</v>
      </c>
      <c r="C23" s="378" t="s">
        <v>1644</v>
      </c>
      <c r="D23" s="364">
        <v>65</v>
      </c>
      <c r="E23" s="415"/>
      <c r="F23" s="415"/>
      <c r="G23" s="415"/>
      <c r="H23" s="415"/>
      <c r="I23" s="415"/>
      <c r="J23" s="415"/>
      <c r="K23" s="415">
        <v>97.9</v>
      </c>
      <c r="L23" s="415"/>
      <c r="M23" s="415"/>
      <c r="N23" s="415"/>
      <c r="O23" s="415"/>
      <c r="P23" s="415"/>
      <c r="Q23" s="416">
        <f t="shared" si="0"/>
        <v>97.9</v>
      </c>
      <c r="R23" s="375" t="str">
        <f t="shared" si="1"/>
        <v>NO</v>
      </c>
      <c r="S23" s="417" t="str">
        <f t="shared" si="2"/>
        <v>Inviable Sanitariamente</v>
      </c>
      <c r="T23" s="139"/>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0"/>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c r="HP23" s="140"/>
      <c r="HQ23" s="140"/>
      <c r="HR23" s="140"/>
      <c r="HS23" s="140"/>
      <c r="HT23" s="140"/>
      <c r="HU23" s="140"/>
      <c r="HV23" s="140"/>
      <c r="HW23" s="140"/>
      <c r="HX23" s="140"/>
      <c r="HY23" s="140"/>
      <c r="HZ23" s="140"/>
      <c r="IA23" s="140"/>
      <c r="IB23" s="140"/>
      <c r="IC23" s="140"/>
      <c r="ID23" s="140"/>
      <c r="IE23" s="140"/>
      <c r="IF23" s="140"/>
      <c r="IG23" s="140"/>
      <c r="IH23" s="140"/>
      <c r="II23" s="140"/>
      <c r="IJ23" s="140"/>
      <c r="IK23" s="140"/>
      <c r="IL23" s="140"/>
      <c r="IM23" s="140"/>
      <c r="IN23" s="140"/>
      <c r="IO23" s="140"/>
      <c r="IP23" s="140"/>
      <c r="IQ23" s="140"/>
      <c r="IR23" s="140"/>
      <c r="IS23" s="140"/>
      <c r="IT23" s="140"/>
      <c r="IU23" s="140"/>
      <c r="IV23" s="140"/>
    </row>
    <row r="24" spans="1:256" ht="32.1" customHeight="1" x14ac:dyDescent="0.2">
      <c r="A24" s="412" t="s">
        <v>3943</v>
      </c>
      <c r="B24" s="385" t="s">
        <v>1645</v>
      </c>
      <c r="C24" s="419" t="s">
        <v>1986</v>
      </c>
      <c r="D24" s="364">
        <v>102</v>
      </c>
      <c r="E24" s="415"/>
      <c r="F24" s="415"/>
      <c r="G24" s="415"/>
      <c r="H24" s="415"/>
      <c r="I24" s="415"/>
      <c r="J24" s="415">
        <v>76.92</v>
      </c>
      <c r="K24" s="415"/>
      <c r="L24" s="415"/>
      <c r="M24" s="415"/>
      <c r="N24" s="415"/>
      <c r="O24" s="415"/>
      <c r="P24" s="415"/>
      <c r="Q24" s="416">
        <f t="shared" si="0"/>
        <v>76.92</v>
      </c>
      <c r="R24" s="375" t="str">
        <f t="shared" si="1"/>
        <v>NO</v>
      </c>
      <c r="S24" s="417" t="str">
        <f t="shared" si="2"/>
        <v>Alto</v>
      </c>
      <c r="T24" s="139"/>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c r="HP24" s="140"/>
      <c r="HQ24" s="140"/>
      <c r="HR24" s="140"/>
      <c r="HS24" s="140"/>
      <c r="HT24" s="140"/>
      <c r="HU24" s="140"/>
      <c r="HV24" s="140"/>
      <c r="HW24" s="140"/>
      <c r="HX24" s="140"/>
      <c r="HY24" s="140"/>
      <c r="HZ24" s="140"/>
      <c r="IA24" s="140"/>
      <c r="IB24" s="140"/>
      <c r="IC24" s="140"/>
      <c r="ID24" s="140"/>
      <c r="IE24" s="140"/>
      <c r="IF24" s="140"/>
      <c r="IG24" s="140"/>
      <c r="IH24" s="140"/>
      <c r="II24" s="140"/>
      <c r="IJ24" s="140"/>
      <c r="IK24" s="140"/>
      <c r="IL24" s="140"/>
      <c r="IM24" s="140"/>
      <c r="IN24" s="140"/>
      <c r="IO24" s="140"/>
      <c r="IP24" s="140"/>
      <c r="IQ24" s="140"/>
      <c r="IR24" s="140"/>
      <c r="IS24" s="140"/>
      <c r="IT24" s="140"/>
      <c r="IU24" s="140"/>
      <c r="IV24" s="140"/>
    </row>
    <row r="25" spans="1:256" ht="32.1" customHeight="1" x14ac:dyDescent="0.2">
      <c r="A25" s="412" t="s">
        <v>3943</v>
      </c>
      <c r="B25" s="385" t="s">
        <v>1646</v>
      </c>
      <c r="C25" s="420" t="s">
        <v>1987</v>
      </c>
      <c r="D25" s="364">
        <v>11</v>
      </c>
      <c r="E25" s="415"/>
      <c r="F25" s="415"/>
      <c r="G25" s="415"/>
      <c r="H25" s="415"/>
      <c r="I25" s="415"/>
      <c r="J25" s="415">
        <v>76.92</v>
      </c>
      <c r="K25" s="415"/>
      <c r="L25" s="415"/>
      <c r="M25" s="415"/>
      <c r="N25" s="415"/>
      <c r="O25" s="415"/>
      <c r="P25" s="415"/>
      <c r="Q25" s="416">
        <f t="shared" si="0"/>
        <v>76.92</v>
      </c>
      <c r="R25" s="375" t="str">
        <f t="shared" si="1"/>
        <v>NO</v>
      </c>
      <c r="S25" s="417" t="str">
        <f t="shared" si="2"/>
        <v>Alto</v>
      </c>
      <c r="T25" s="139"/>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0"/>
      <c r="DZ25" s="140"/>
      <c r="EA25" s="140"/>
      <c r="EB25" s="140"/>
      <c r="EC25" s="140"/>
      <c r="ED25" s="140"/>
      <c r="EE25" s="140"/>
      <c r="EF25" s="140"/>
      <c r="EG25" s="140"/>
      <c r="EH25" s="140"/>
      <c r="EI25" s="140"/>
      <c r="EJ25" s="140"/>
      <c r="EK25" s="140"/>
      <c r="EL25" s="140"/>
      <c r="EM25" s="140"/>
      <c r="EN25" s="140"/>
      <c r="EO25" s="140"/>
      <c r="EP25" s="140"/>
      <c r="EQ25" s="140"/>
      <c r="ER25" s="140"/>
      <c r="ES25" s="140"/>
      <c r="ET25" s="140"/>
      <c r="EU25" s="140"/>
      <c r="EV25" s="140"/>
      <c r="EW25" s="140"/>
      <c r="EX25" s="140"/>
      <c r="EY25" s="140"/>
      <c r="EZ25" s="140"/>
      <c r="FA25" s="140"/>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c r="HP25" s="140"/>
      <c r="HQ25" s="140"/>
      <c r="HR25" s="140"/>
      <c r="HS25" s="140"/>
      <c r="HT25" s="140"/>
      <c r="HU25" s="140"/>
      <c r="HV25" s="140"/>
      <c r="HW25" s="140"/>
      <c r="HX25" s="140"/>
      <c r="HY25" s="140"/>
      <c r="HZ25" s="140"/>
      <c r="IA25" s="140"/>
      <c r="IB25" s="140"/>
      <c r="IC25" s="140"/>
      <c r="ID25" s="140"/>
      <c r="IE25" s="140"/>
      <c r="IF25" s="140"/>
      <c r="IG25" s="140"/>
      <c r="IH25" s="140"/>
      <c r="II25" s="140"/>
      <c r="IJ25" s="140"/>
      <c r="IK25" s="140"/>
      <c r="IL25" s="140"/>
      <c r="IM25" s="140"/>
      <c r="IN25" s="140"/>
      <c r="IO25" s="140"/>
      <c r="IP25" s="140"/>
      <c r="IQ25" s="140"/>
      <c r="IR25" s="140"/>
      <c r="IS25" s="140"/>
      <c r="IT25" s="140"/>
      <c r="IU25" s="140"/>
      <c r="IV25" s="140"/>
    </row>
    <row r="26" spans="1:256" ht="32.1" customHeight="1" x14ac:dyDescent="0.2">
      <c r="A26" s="412" t="s">
        <v>3943</v>
      </c>
      <c r="B26" s="385" t="s">
        <v>1647</v>
      </c>
      <c r="C26" s="419" t="s">
        <v>1988</v>
      </c>
      <c r="D26" s="364">
        <v>34</v>
      </c>
      <c r="E26" s="415"/>
      <c r="F26" s="415"/>
      <c r="G26" s="415"/>
      <c r="H26" s="415"/>
      <c r="I26" s="415"/>
      <c r="J26" s="415">
        <v>76.92</v>
      </c>
      <c r="K26" s="415"/>
      <c r="L26" s="415"/>
      <c r="M26" s="415"/>
      <c r="N26" s="415"/>
      <c r="O26" s="415"/>
      <c r="P26" s="415"/>
      <c r="Q26" s="416">
        <f t="shared" si="0"/>
        <v>76.92</v>
      </c>
      <c r="R26" s="375" t="str">
        <f t="shared" si="1"/>
        <v>NO</v>
      </c>
      <c r="S26" s="417" t="str">
        <f t="shared" si="2"/>
        <v>Alto</v>
      </c>
      <c r="T26" s="139"/>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c r="DX26" s="140"/>
      <c r="DY26" s="140"/>
      <c r="DZ26" s="140"/>
      <c r="EA26" s="140"/>
      <c r="EB26" s="140"/>
      <c r="EC26" s="140"/>
      <c r="ED26" s="140"/>
      <c r="EE26" s="140"/>
      <c r="EF26" s="140"/>
      <c r="EG26" s="140"/>
      <c r="EH26" s="140"/>
      <c r="EI26" s="140"/>
      <c r="EJ26" s="140"/>
      <c r="EK26" s="140"/>
      <c r="EL26" s="140"/>
      <c r="EM26" s="140"/>
      <c r="EN26" s="140"/>
      <c r="EO26" s="140"/>
      <c r="EP26" s="140"/>
      <c r="EQ26" s="140"/>
      <c r="ER26" s="140"/>
      <c r="ES26" s="140"/>
      <c r="ET26" s="140"/>
      <c r="EU26" s="140"/>
      <c r="EV26" s="140"/>
      <c r="EW26" s="140"/>
      <c r="EX26" s="140"/>
      <c r="EY26" s="140"/>
      <c r="EZ26" s="140"/>
      <c r="FA26" s="140"/>
      <c r="FB26" s="140"/>
      <c r="FC26" s="140"/>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c r="GM26" s="140"/>
      <c r="GN26" s="140"/>
      <c r="GO26" s="140"/>
      <c r="GP26" s="140"/>
      <c r="GQ26" s="140"/>
      <c r="GR26" s="140"/>
      <c r="GS26" s="140"/>
      <c r="GT26" s="140"/>
      <c r="GU26" s="140"/>
      <c r="GV26" s="140"/>
      <c r="GW26" s="140"/>
      <c r="GX26" s="140"/>
      <c r="GY26" s="140"/>
      <c r="GZ26" s="140"/>
      <c r="HA26" s="140"/>
      <c r="HB26" s="140"/>
      <c r="HC26" s="140"/>
      <c r="HD26" s="140"/>
      <c r="HE26" s="140"/>
      <c r="HF26" s="140"/>
      <c r="HG26" s="140"/>
      <c r="HH26" s="140"/>
      <c r="HI26" s="140"/>
      <c r="HJ26" s="140"/>
      <c r="HK26" s="140"/>
      <c r="HL26" s="140"/>
      <c r="HM26" s="140"/>
      <c r="HN26" s="140"/>
      <c r="HO26" s="140"/>
      <c r="HP26" s="140"/>
      <c r="HQ26" s="140"/>
      <c r="HR26" s="140"/>
      <c r="HS26" s="140"/>
      <c r="HT26" s="140"/>
      <c r="HU26" s="140"/>
      <c r="HV26" s="140"/>
      <c r="HW26" s="140"/>
      <c r="HX26" s="140"/>
      <c r="HY26" s="140"/>
      <c r="HZ26" s="140"/>
      <c r="IA26" s="140"/>
      <c r="IB26" s="140"/>
      <c r="IC26" s="140"/>
      <c r="ID26" s="140"/>
      <c r="IE26" s="140"/>
      <c r="IF26" s="140"/>
      <c r="IG26" s="140"/>
      <c r="IH26" s="140"/>
      <c r="II26" s="140"/>
      <c r="IJ26" s="140"/>
      <c r="IK26" s="140"/>
      <c r="IL26" s="140"/>
      <c r="IM26" s="140"/>
      <c r="IN26" s="140"/>
      <c r="IO26" s="140"/>
      <c r="IP26" s="140"/>
      <c r="IQ26" s="140"/>
      <c r="IR26" s="140"/>
      <c r="IS26" s="140"/>
      <c r="IT26" s="140"/>
      <c r="IU26" s="140"/>
      <c r="IV26" s="140"/>
    </row>
    <row r="27" spans="1:256" ht="32.1" customHeight="1" x14ac:dyDescent="0.2">
      <c r="A27" s="412" t="s">
        <v>3943</v>
      </c>
      <c r="B27" s="385" t="s">
        <v>1648</v>
      </c>
      <c r="C27" s="419" t="s">
        <v>1989</v>
      </c>
      <c r="D27" s="364">
        <v>188</v>
      </c>
      <c r="E27" s="415"/>
      <c r="F27" s="415"/>
      <c r="G27" s="415"/>
      <c r="H27" s="415"/>
      <c r="I27" s="415"/>
      <c r="J27" s="415"/>
      <c r="K27" s="415"/>
      <c r="L27" s="415"/>
      <c r="M27" s="415">
        <v>97.35</v>
      </c>
      <c r="N27" s="415"/>
      <c r="O27" s="415"/>
      <c r="P27" s="415"/>
      <c r="Q27" s="416">
        <f t="shared" si="0"/>
        <v>97.35</v>
      </c>
      <c r="R27" s="375" t="str">
        <f t="shared" si="1"/>
        <v>NO</v>
      </c>
      <c r="S27" s="417" t="str">
        <f t="shared" si="2"/>
        <v>Inviable Sanitariamente</v>
      </c>
      <c r="T27" s="139"/>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0"/>
      <c r="DX27" s="140"/>
      <c r="DY27" s="140"/>
      <c r="DZ27" s="140"/>
      <c r="EA27" s="140"/>
      <c r="EB27" s="140"/>
      <c r="EC27" s="140"/>
      <c r="ED27" s="140"/>
      <c r="EE27" s="140"/>
      <c r="EF27" s="140"/>
      <c r="EG27" s="140"/>
      <c r="EH27" s="140"/>
      <c r="EI27" s="140"/>
      <c r="EJ27" s="140"/>
      <c r="EK27" s="140"/>
      <c r="EL27" s="140"/>
      <c r="EM27" s="140"/>
      <c r="EN27" s="140"/>
      <c r="EO27" s="140"/>
      <c r="EP27" s="140"/>
      <c r="EQ27" s="140"/>
      <c r="ER27" s="140"/>
      <c r="ES27" s="140"/>
      <c r="ET27" s="140"/>
      <c r="EU27" s="140"/>
      <c r="EV27" s="140"/>
      <c r="EW27" s="140"/>
      <c r="EX27" s="140"/>
      <c r="EY27" s="140"/>
      <c r="EZ27" s="140"/>
      <c r="FA27" s="140"/>
      <c r="FB27" s="140"/>
      <c r="FC27" s="140"/>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c r="GI27" s="140"/>
      <c r="GJ27" s="140"/>
      <c r="GK27" s="140"/>
      <c r="GL27" s="140"/>
      <c r="GM27" s="140"/>
      <c r="GN27" s="140"/>
      <c r="GO27" s="140"/>
      <c r="GP27" s="140"/>
      <c r="GQ27" s="140"/>
      <c r="GR27" s="140"/>
      <c r="GS27" s="140"/>
      <c r="GT27" s="140"/>
      <c r="GU27" s="140"/>
      <c r="GV27" s="140"/>
      <c r="GW27" s="140"/>
      <c r="GX27" s="140"/>
      <c r="GY27" s="140"/>
      <c r="GZ27" s="140"/>
      <c r="HA27" s="140"/>
      <c r="HB27" s="140"/>
      <c r="HC27" s="140"/>
      <c r="HD27" s="140"/>
      <c r="HE27" s="140"/>
      <c r="HF27" s="140"/>
      <c r="HG27" s="140"/>
      <c r="HH27" s="140"/>
      <c r="HI27" s="140"/>
      <c r="HJ27" s="140"/>
      <c r="HK27" s="140"/>
      <c r="HL27" s="140"/>
      <c r="HM27" s="140"/>
      <c r="HN27" s="140"/>
      <c r="HO27" s="140"/>
      <c r="HP27" s="140"/>
      <c r="HQ27" s="140"/>
      <c r="HR27" s="140"/>
      <c r="HS27" s="140"/>
      <c r="HT27" s="140"/>
      <c r="HU27" s="140"/>
      <c r="HV27" s="140"/>
      <c r="HW27" s="140"/>
      <c r="HX27" s="140"/>
      <c r="HY27" s="140"/>
      <c r="HZ27" s="140"/>
      <c r="IA27" s="140"/>
      <c r="IB27" s="140"/>
      <c r="IC27" s="140"/>
      <c r="ID27" s="140"/>
      <c r="IE27" s="140"/>
      <c r="IF27" s="140"/>
      <c r="IG27" s="140"/>
      <c r="IH27" s="140"/>
      <c r="II27" s="140"/>
      <c r="IJ27" s="140"/>
      <c r="IK27" s="140"/>
      <c r="IL27" s="140"/>
      <c r="IM27" s="140"/>
      <c r="IN27" s="140"/>
      <c r="IO27" s="140"/>
      <c r="IP27" s="140"/>
      <c r="IQ27" s="140"/>
      <c r="IR27" s="140"/>
      <c r="IS27" s="140"/>
      <c r="IT27" s="140"/>
      <c r="IU27" s="140"/>
      <c r="IV27" s="140"/>
    </row>
    <row r="28" spans="1:256" ht="32.1" customHeight="1" x14ac:dyDescent="0.2">
      <c r="A28" s="412" t="s">
        <v>3943</v>
      </c>
      <c r="B28" s="385" t="s">
        <v>430</v>
      </c>
      <c r="C28" s="419" t="s">
        <v>1990</v>
      </c>
      <c r="D28" s="413">
        <v>25</v>
      </c>
      <c r="E28" s="415"/>
      <c r="F28" s="415"/>
      <c r="G28" s="415"/>
      <c r="H28" s="415"/>
      <c r="I28" s="415"/>
      <c r="J28" s="415">
        <v>76.92</v>
      </c>
      <c r="K28" s="415"/>
      <c r="L28" s="415"/>
      <c r="M28" s="415"/>
      <c r="N28" s="415"/>
      <c r="O28" s="415"/>
      <c r="P28" s="415"/>
      <c r="Q28" s="416">
        <f t="shared" si="0"/>
        <v>76.92</v>
      </c>
      <c r="R28" s="375" t="str">
        <f t="shared" si="1"/>
        <v>NO</v>
      </c>
      <c r="S28" s="417" t="str">
        <f t="shared" si="2"/>
        <v>Alto</v>
      </c>
      <c r="T28" s="139"/>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0"/>
      <c r="DV28" s="140"/>
      <c r="DW28" s="140"/>
      <c r="DX28" s="140"/>
      <c r="DY28" s="140"/>
      <c r="DZ28" s="140"/>
      <c r="EA28" s="140"/>
      <c r="EB28" s="140"/>
      <c r="EC28" s="140"/>
      <c r="ED28" s="140"/>
      <c r="EE28" s="140"/>
      <c r="EF28" s="140"/>
      <c r="EG28" s="140"/>
      <c r="EH28" s="140"/>
      <c r="EI28" s="140"/>
      <c r="EJ28" s="140"/>
      <c r="EK28" s="140"/>
      <c r="EL28" s="140"/>
      <c r="EM28" s="140"/>
      <c r="EN28" s="140"/>
      <c r="EO28" s="140"/>
      <c r="EP28" s="140"/>
      <c r="EQ28" s="140"/>
      <c r="ER28" s="140"/>
      <c r="ES28" s="140"/>
      <c r="ET28" s="140"/>
      <c r="EU28" s="140"/>
      <c r="EV28" s="140"/>
      <c r="EW28" s="140"/>
      <c r="EX28" s="140"/>
      <c r="EY28" s="140"/>
      <c r="EZ28" s="140"/>
      <c r="FA28" s="140"/>
      <c r="FB28" s="140"/>
      <c r="FC28" s="140"/>
      <c r="FD28" s="140"/>
      <c r="FE28" s="140"/>
      <c r="FF28" s="140"/>
      <c r="FG28" s="140"/>
      <c r="FH28" s="140"/>
      <c r="FI28" s="140"/>
      <c r="FJ28" s="140"/>
      <c r="FK28" s="140"/>
      <c r="FL28" s="140"/>
      <c r="FM28" s="140"/>
      <c r="FN28" s="140"/>
      <c r="FO28" s="140"/>
      <c r="FP28" s="140"/>
      <c r="FQ28" s="140"/>
      <c r="FR28" s="140"/>
      <c r="FS28" s="140"/>
      <c r="FT28" s="140"/>
      <c r="FU28" s="140"/>
      <c r="FV28" s="140"/>
      <c r="FW28" s="140"/>
      <c r="FX28" s="140"/>
      <c r="FY28" s="140"/>
      <c r="FZ28" s="140"/>
      <c r="GA28" s="140"/>
      <c r="GB28" s="140"/>
      <c r="GC28" s="140"/>
      <c r="GD28" s="140"/>
      <c r="GE28" s="140"/>
      <c r="GF28" s="140"/>
      <c r="GG28" s="140"/>
      <c r="GH28" s="140"/>
      <c r="GI28" s="140"/>
      <c r="GJ28" s="140"/>
      <c r="GK28" s="140"/>
      <c r="GL28" s="140"/>
      <c r="GM28" s="140"/>
      <c r="GN28" s="140"/>
      <c r="GO28" s="140"/>
      <c r="GP28" s="140"/>
      <c r="GQ28" s="140"/>
      <c r="GR28" s="140"/>
      <c r="GS28" s="140"/>
      <c r="GT28" s="140"/>
      <c r="GU28" s="140"/>
      <c r="GV28" s="140"/>
      <c r="GW28" s="140"/>
      <c r="GX28" s="140"/>
      <c r="GY28" s="140"/>
      <c r="GZ28" s="140"/>
      <c r="HA28" s="140"/>
      <c r="HB28" s="140"/>
      <c r="HC28" s="140"/>
      <c r="HD28" s="140"/>
      <c r="HE28" s="140"/>
      <c r="HF28" s="140"/>
      <c r="HG28" s="140"/>
      <c r="HH28" s="140"/>
      <c r="HI28" s="140"/>
      <c r="HJ28" s="140"/>
      <c r="HK28" s="140"/>
      <c r="HL28" s="140"/>
      <c r="HM28" s="140"/>
      <c r="HN28" s="140"/>
      <c r="HO28" s="140"/>
      <c r="HP28" s="140"/>
      <c r="HQ28" s="140"/>
      <c r="HR28" s="140"/>
      <c r="HS28" s="140"/>
      <c r="HT28" s="140"/>
      <c r="HU28" s="140"/>
      <c r="HV28" s="140"/>
      <c r="HW28" s="140"/>
      <c r="HX28" s="140"/>
      <c r="HY28" s="140"/>
      <c r="HZ28" s="140"/>
      <c r="IA28" s="140"/>
      <c r="IB28" s="140"/>
      <c r="IC28" s="140"/>
      <c r="ID28" s="140"/>
      <c r="IE28" s="140"/>
      <c r="IF28" s="140"/>
      <c r="IG28" s="140"/>
      <c r="IH28" s="140"/>
      <c r="II28" s="140"/>
      <c r="IJ28" s="140"/>
      <c r="IK28" s="140"/>
      <c r="IL28" s="140"/>
      <c r="IM28" s="140"/>
      <c r="IN28" s="140"/>
      <c r="IO28" s="140"/>
      <c r="IP28" s="140"/>
      <c r="IQ28" s="140"/>
      <c r="IR28" s="140"/>
      <c r="IS28" s="140"/>
      <c r="IT28" s="140"/>
      <c r="IU28" s="140"/>
      <c r="IV28" s="140"/>
    </row>
    <row r="29" spans="1:256" ht="32.1" customHeight="1" x14ac:dyDescent="0.2">
      <c r="A29" s="412" t="s">
        <v>3943</v>
      </c>
      <c r="B29" s="385" t="s">
        <v>1649</v>
      </c>
      <c r="C29" s="419" t="s">
        <v>1991</v>
      </c>
      <c r="D29" s="413">
        <v>138</v>
      </c>
      <c r="E29" s="415"/>
      <c r="F29" s="415"/>
      <c r="G29" s="415"/>
      <c r="H29" s="415"/>
      <c r="I29" s="415"/>
      <c r="J29" s="415">
        <v>97.4</v>
      </c>
      <c r="K29" s="415"/>
      <c r="L29" s="415"/>
      <c r="M29" s="415"/>
      <c r="N29" s="415"/>
      <c r="O29" s="415"/>
      <c r="P29" s="415"/>
      <c r="Q29" s="416">
        <f t="shared" si="0"/>
        <v>97.4</v>
      </c>
      <c r="R29" s="375" t="str">
        <f t="shared" si="1"/>
        <v>NO</v>
      </c>
      <c r="S29" s="417" t="str">
        <f t="shared" si="2"/>
        <v>Inviable Sanitariamente</v>
      </c>
      <c r="T29" s="139"/>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0"/>
      <c r="DX29" s="140"/>
      <c r="DY29" s="140"/>
      <c r="DZ29" s="140"/>
      <c r="EA29" s="140"/>
      <c r="EB29" s="140"/>
      <c r="EC29" s="140"/>
      <c r="ED29" s="140"/>
      <c r="EE29" s="140"/>
      <c r="EF29" s="140"/>
      <c r="EG29" s="140"/>
      <c r="EH29" s="140"/>
      <c r="EI29" s="140"/>
      <c r="EJ29" s="140"/>
      <c r="EK29" s="140"/>
      <c r="EL29" s="140"/>
      <c r="EM29" s="140"/>
      <c r="EN29" s="140"/>
      <c r="EO29" s="140"/>
      <c r="EP29" s="140"/>
      <c r="EQ29" s="140"/>
      <c r="ER29" s="140"/>
      <c r="ES29" s="140"/>
      <c r="ET29" s="140"/>
      <c r="EU29" s="140"/>
      <c r="EV29" s="140"/>
      <c r="EW29" s="140"/>
      <c r="EX29" s="140"/>
      <c r="EY29" s="140"/>
      <c r="EZ29" s="140"/>
      <c r="FA29" s="140"/>
      <c r="FB29" s="140"/>
      <c r="FC29" s="140"/>
      <c r="FD29" s="140"/>
      <c r="FE29" s="140"/>
      <c r="FF29" s="140"/>
      <c r="FG29" s="140"/>
      <c r="FH29" s="140"/>
      <c r="FI29" s="140"/>
      <c r="FJ29" s="140"/>
      <c r="FK29" s="140"/>
      <c r="FL29" s="140"/>
      <c r="FM29" s="140"/>
      <c r="FN29" s="140"/>
      <c r="FO29" s="140"/>
      <c r="FP29" s="140"/>
      <c r="FQ29" s="140"/>
      <c r="FR29" s="140"/>
      <c r="FS29" s="140"/>
      <c r="FT29" s="140"/>
      <c r="FU29" s="140"/>
      <c r="FV29" s="140"/>
      <c r="FW29" s="140"/>
      <c r="FX29" s="140"/>
      <c r="FY29" s="140"/>
      <c r="FZ29" s="140"/>
      <c r="GA29" s="140"/>
      <c r="GB29" s="140"/>
      <c r="GC29" s="140"/>
      <c r="GD29" s="140"/>
      <c r="GE29" s="140"/>
      <c r="GF29" s="140"/>
      <c r="GG29" s="140"/>
      <c r="GH29" s="140"/>
      <c r="GI29" s="140"/>
      <c r="GJ29" s="140"/>
      <c r="GK29" s="140"/>
      <c r="GL29" s="140"/>
      <c r="GM29" s="140"/>
      <c r="GN29" s="140"/>
      <c r="GO29" s="140"/>
      <c r="GP29" s="140"/>
      <c r="GQ29" s="140"/>
      <c r="GR29" s="140"/>
      <c r="GS29" s="140"/>
      <c r="GT29" s="140"/>
      <c r="GU29" s="140"/>
      <c r="GV29" s="140"/>
      <c r="GW29" s="140"/>
      <c r="GX29" s="140"/>
      <c r="GY29" s="140"/>
      <c r="GZ29" s="140"/>
      <c r="HA29" s="140"/>
      <c r="HB29" s="140"/>
      <c r="HC29" s="140"/>
      <c r="HD29" s="140"/>
      <c r="HE29" s="140"/>
      <c r="HF29" s="140"/>
      <c r="HG29" s="140"/>
      <c r="HH29" s="140"/>
      <c r="HI29" s="140"/>
      <c r="HJ29" s="140"/>
      <c r="HK29" s="140"/>
      <c r="HL29" s="140"/>
      <c r="HM29" s="140"/>
      <c r="HN29" s="140"/>
      <c r="HO29" s="140"/>
      <c r="HP29" s="140"/>
      <c r="HQ29" s="140"/>
      <c r="HR29" s="140"/>
      <c r="HS29" s="140"/>
      <c r="HT29" s="140"/>
      <c r="HU29" s="140"/>
      <c r="HV29" s="140"/>
      <c r="HW29" s="140"/>
      <c r="HX29" s="140"/>
      <c r="HY29" s="140"/>
      <c r="HZ29" s="140"/>
      <c r="IA29" s="140"/>
      <c r="IB29" s="140"/>
      <c r="IC29" s="140"/>
      <c r="ID29" s="140"/>
      <c r="IE29" s="140"/>
      <c r="IF29" s="140"/>
      <c r="IG29" s="140"/>
      <c r="IH29" s="140"/>
      <c r="II29" s="140"/>
      <c r="IJ29" s="140"/>
      <c r="IK29" s="140"/>
      <c r="IL29" s="140"/>
      <c r="IM29" s="140"/>
      <c r="IN29" s="140"/>
      <c r="IO29" s="140"/>
      <c r="IP29" s="140"/>
      <c r="IQ29" s="140"/>
      <c r="IR29" s="140"/>
      <c r="IS29" s="140"/>
      <c r="IT29" s="140"/>
      <c r="IU29" s="140"/>
      <c r="IV29" s="140"/>
    </row>
    <row r="30" spans="1:256" ht="32.1" customHeight="1" x14ac:dyDescent="0.2">
      <c r="A30" s="412" t="s">
        <v>3943</v>
      </c>
      <c r="B30" s="385" t="s">
        <v>1649</v>
      </c>
      <c r="C30" s="378" t="s">
        <v>1650</v>
      </c>
      <c r="D30" s="364">
        <v>96</v>
      </c>
      <c r="E30" s="415"/>
      <c r="F30" s="415"/>
      <c r="G30" s="415"/>
      <c r="H30" s="415"/>
      <c r="I30" s="415"/>
      <c r="J30" s="415">
        <v>97.35</v>
      </c>
      <c r="K30" s="415"/>
      <c r="L30" s="415"/>
      <c r="M30" s="415"/>
      <c r="N30" s="415"/>
      <c r="O30" s="415"/>
      <c r="P30" s="415"/>
      <c r="Q30" s="416">
        <f t="shared" si="0"/>
        <v>97.35</v>
      </c>
      <c r="R30" s="375" t="str">
        <f t="shared" si="1"/>
        <v>NO</v>
      </c>
      <c r="S30" s="417" t="str">
        <f t="shared" si="2"/>
        <v>Inviable Sanitariamente</v>
      </c>
      <c r="T30" s="139"/>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V30" s="140"/>
      <c r="DW30" s="140"/>
      <c r="DX30" s="140"/>
      <c r="DY30" s="140"/>
      <c r="DZ30" s="140"/>
      <c r="EA30" s="140"/>
      <c r="EB30" s="140"/>
      <c r="EC30" s="140"/>
      <c r="ED30" s="140"/>
      <c r="EE30" s="140"/>
      <c r="EF30" s="140"/>
      <c r="EG30" s="140"/>
      <c r="EH30" s="140"/>
      <c r="EI30" s="140"/>
      <c r="EJ30" s="140"/>
      <c r="EK30" s="140"/>
      <c r="EL30" s="140"/>
      <c r="EM30" s="140"/>
      <c r="EN30" s="140"/>
      <c r="EO30" s="140"/>
      <c r="EP30" s="140"/>
      <c r="EQ30" s="140"/>
      <c r="ER30" s="140"/>
      <c r="ES30" s="140"/>
      <c r="ET30" s="140"/>
      <c r="EU30" s="140"/>
      <c r="EV30" s="140"/>
      <c r="EW30" s="140"/>
      <c r="EX30" s="140"/>
      <c r="EY30" s="140"/>
      <c r="EZ30" s="140"/>
      <c r="FA30" s="140"/>
      <c r="FB30" s="140"/>
      <c r="FC30" s="140"/>
      <c r="FD30" s="140"/>
      <c r="FE30" s="140"/>
      <c r="FF30" s="140"/>
      <c r="FG30" s="140"/>
      <c r="FH30" s="140"/>
      <c r="FI30" s="140"/>
      <c r="FJ30" s="140"/>
      <c r="FK30" s="140"/>
      <c r="FL30" s="140"/>
      <c r="FM30" s="140"/>
      <c r="FN30" s="140"/>
      <c r="FO30" s="140"/>
      <c r="FP30" s="140"/>
      <c r="FQ30" s="140"/>
      <c r="FR30" s="140"/>
      <c r="FS30" s="140"/>
      <c r="FT30" s="140"/>
      <c r="FU30" s="140"/>
      <c r="FV30" s="140"/>
      <c r="FW30" s="140"/>
      <c r="FX30" s="140"/>
      <c r="FY30" s="140"/>
      <c r="FZ30" s="140"/>
      <c r="GA30" s="140"/>
      <c r="GB30" s="140"/>
      <c r="GC30" s="140"/>
      <c r="GD30" s="140"/>
      <c r="GE30" s="140"/>
      <c r="GF30" s="140"/>
      <c r="GG30" s="140"/>
      <c r="GH30" s="140"/>
      <c r="GI30" s="140"/>
      <c r="GJ30" s="140"/>
      <c r="GK30" s="140"/>
      <c r="GL30" s="140"/>
      <c r="GM30" s="140"/>
      <c r="GN30" s="140"/>
      <c r="GO30" s="140"/>
      <c r="GP30" s="140"/>
      <c r="GQ30" s="140"/>
      <c r="GR30" s="140"/>
      <c r="GS30" s="140"/>
      <c r="GT30" s="140"/>
      <c r="GU30" s="140"/>
      <c r="GV30" s="140"/>
      <c r="GW30" s="140"/>
      <c r="GX30" s="140"/>
      <c r="GY30" s="140"/>
      <c r="GZ30" s="140"/>
      <c r="HA30" s="140"/>
      <c r="HB30" s="140"/>
      <c r="HC30" s="140"/>
      <c r="HD30" s="140"/>
      <c r="HE30" s="140"/>
      <c r="HF30" s="140"/>
      <c r="HG30" s="140"/>
      <c r="HH30" s="140"/>
      <c r="HI30" s="140"/>
      <c r="HJ30" s="140"/>
      <c r="HK30" s="140"/>
      <c r="HL30" s="140"/>
      <c r="HM30" s="140"/>
      <c r="HN30" s="140"/>
      <c r="HO30" s="140"/>
      <c r="HP30" s="140"/>
      <c r="HQ30" s="140"/>
      <c r="HR30" s="140"/>
      <c r="HS30" s="140"/>
      <c r="HT30" s="140"/>
      <c r="HU30" s="140"/>
      <c r="HV30" s="140"/>
      <c r="HW30" s="140"/>
      <c r="HX30" s="140"/>
      <c r="HY30" s="140"/>
      <c r="HZ30" s="140"/>
      <c r="IA30" s="140"/>
      <c r="IB30" s="140"/>
      <c r="IC30" s="140"/>
      <c r="ID30" s="140"/>
      <c r="IE30" s="140"/>
      <c r="IF30" s="140"/>
      <c r="IG30" s="140"/>
      <c r="IH30" s="140"/>
      <c r="II30" s="140"/>
      <c r="IJ30" s="140"/>
      <c r="IK30" s="140"/>
      <c r="IL30" s="140"/>
      <c r="IM30" s="140"/>
      <c r="IN30" s="140"/>
      <c r="IO30" s="140"/>
      <c r="IP30" s="140"/>
      <c r="IQ30" s="140"/>
      <c r="IR30" s="140"/>
      <c r="IS30" s="140"/>
      <c r="IT30" s="140"/>
      <c r="IU30" s="140"/>
      <c r="IV30" s="140"/>
    </row>
    <row r="31" spans="1:256" ht="32.1" customHeight="1" x14ac:dyDescent="0.2">
      <c r="A31" s="412" t="s">
        <v>3943</v>
      </c>
      <c r="B31" s="385" t="s">
        <v>1651</v>
      </c>
      <c r="C31" s="378" t="s">
        <v>1652</v>
      </c>
      <c r="D31" s="364">
        <v>81</v>
      </c>
      <c r="E31" s="415"/>
      <c r="F31" s="415"/>
      <c r="G31" s="415">
        <v>97.9</v>
      </c>
      <c r="H31" s="415"/>
      <c r="I31" s="415">
        <v>97.9</v>
      </c>
      <c r="J31" s="415">
        <v>76.92</v>
      </c>
      <c r="K31" s="415"/>
      <c r="L31" s="415">
        <v>90.32</v>
      </c>
      <c r="M31" s="415"/>
      <c r="N31" s="415">
        <v>19.48</v>
      </c>
      <c r="O31" s="415">
        <v>19.350000000000001</v>
      </c>
      <c r="P31" s="415">
        <v>38.700000000000003</v>
      </c>
      <c r="Q31" s="416">
        <f t="shared" si="0"/>
        <v>62.938571428571436</v>
      </c>
      <c r="R31" s="375" t="str">
        <f t="shared" si="1"/>
        <v>NO</v>
      </c>
      <c r="S31" s="417" t="str">
        <f t="shared" si="2"/>
        <v>Alto</v>
      </c>
      <c r="T31" s="139"/>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40"/>
      <c r="DT31" s="140"/>
      <c r="DU31" s="140"/>
      <c r="DV31" s="140"/>
      <c r="DW31" s="140"/>
      <c r="DX31" s="140"/>
      <c r="DY31" s="140"/>
      <c r="DZ31" s="140"/>
      <c r="EA31" s="140"/>
      <c r="EB31" s="140"/>
      <c r="EC31" s="140"/>
      <c r="ED31" s="140"/>
      <c r="EE31" s="140"/>
      <c r="EF31" s="140"/>
      <c r="EG31" s="140"/>
      <c r="EH31" s="140"/>
      <c r="EI31" s="140"/>
      <c r="EJ31" s="140"/>
      <c r="EK31" s="140"/>
      <c r="EL31" s="140"/>
      <c r="EM31" s="140"/>
      <c r="EN31" s="140"/>
      <c r="EO31" s="140"/>
      <c r="EP31" s="140"/>
      <c r="EQ31" s="140"/>
      <c r="ER31" s="140"/>
      <c r="ES31" s="140"/>
      <c r="ET31" s="140"/>
      <c r="EU31" s="140"/>
      <c r="EV31" s="140"/>
      <c r="EW31" s="140"/>
      <c r="EX31" s="140"/>
      <c r="EY31" s="140"/>
      <c r="EZ31" s="140"/>
      <c r="FA31" s="140"/>
      <c r="FB31" s="140"/>
      <c r="FC31" s="140"/>
      <c r="FD31" s="140"/>
      <c r="FE31" s="140"/>
      <c r="FF31" s="140"/>
      <c r="FG31" s="140"/>
      <c r="FH31" s="140"/>
      <c r="FI31" s="140"/>
      <c r="FJ31" s="140"/>
      <c r="FK31" s="140"/>
      <c r="FL31" s="140"/>
      <c r="FM31" s="140"/>
      <c r="FN31" s="140"/>
      <c r="FO31" s="140"/>
      <c r="FP31" s="140"/>
      <c r="FQ31" s="140"/>
      <c r="FR31" s="140"/>
      <c r="FS31" s="140"/>
      <c r="FT31" s="140"/>
      <c r="FU31" s="140"/>
      <c r="FV31" s="140"/>
      <c r="FW31" s="140"/>
      <c r="FX31" s="140"/>
      <c r="FY31" s="140"/>
      <c r="FZ31" s="140"/>
      <c r="GA31" s="140"/>
      <c r="GB31" s="140"/>
      <c r="GC31" s="140"/>
      <c r="GD31" s="140"/>
      <c r="GE31" s="140"/>
      <c r="GF31" s="140"/>
      <c r="GG31" s="140"/>
      <c r="GH31" s="140"/>
      <c r="GI31" s="140"/>
      <c r="GJ31" s="140"/>
      <c r="GK31" s="140"/>
      <c r="GL31" s="140"/>
      <c r="GM31" s="140"/>
      <c r="GN31" s="140"/>
      <c r="GO31" s="140"/>
      <c r="GP31" s="140"/>
      <c r="GQ31" s="140"/>
      <c r="GR31" s="140"/>
      <c r="GS31" s="140"/>
      <c r="GT31" s="140"/>
      <c r="GU31" s="140"/>
      <c r="GV31" s="140"/>
      <c r="GW31" s="140"/>
      <c r="GX31" s="140"/>
      <c r="GY31" s="140"/>
      <c r="GZ31" s="140"/>
      <c r="HA31" s="140"/>
      <c r="HB31" s="140"/>
      <c r="HC31" s="140"/>
      <c r="HD31" s="140"/>
      <c r="HE31" s="140"/>
      <c r="HF31" s="140"/>
      <c r="HG31" s="140"/>
      <c r="HH31" s="140"/>
      <c r="HI31" s="140"/>
      <c r="HJ31" s="140"/>
      <c r="HK31" s="140"/>
      <c r="HL31" s="140"/>
      <c r="HM31" s="140"/>
      <c r="HN31" s="140"/>
      <c r="HO31" s="140"/>
      <c r="HP31" s="140"/>
      <c r="HQ31" s="140"/>
      <c r="HR31" s="140"/>
      <c r="HS31" s="140"/>
      <c r="HT31" s="140"/>
      <c r="HU31" s="140"/>
      <c r="HV31" s="140"/>
      <c r="HW31" s="140"/>
      <c r="HX31" s="140"/>
      <c r="HY31" s="140"/>
      <c r="HZ31" s="140"/>
      <c r="IA31" s="140"/>
      <c r="IB31" s="140"/>
      <c r="IC31" s="140"/>
      <c r="ID31" s="140"/>
      <c r="IE31" s="140"/>
      <c r="IF31" s="140"/>
      <c r="IG31" s="140"/>
      <c r="IH31" s="140"/>
      <c r="II31" s="140"/>
      <c r="IJ31" s="140"/>
      <c r="IK31" s="140"/>
      <c r="IL31" s="140"/>
      <c r="IM31" s="140"/>
      <c r="IN31" s="140"/>
      <c r="IO31" s="140"/>
      <c r="IP31" s="140"/>
      <c r="IQ31" s="140"/>
      <c r="IR31" s="140"/>
      <c r="IS31" s="140"/>
      <c r="IT31" s="140"/>
      <c r="IU31" s="140"/>
      <c r="IV31" s="140"/>
    </row>
    <row r="32" spans="1:256" ht="32.1" customHeight="1" x14ac:dyDescent="0.2">
      <c r="A32" s="412" t="s">
        <v>3943</v>
      </c>
      <c r="B32" s="385" t="s">
        <v>1653</v>
      </c>
      <c r="C32" s="418" t="s">
        <v>1992</v>
      </c>
      <c r="D32" s="364">
        <v>30</v>
      </c>
      <c r="E32" s="415"/>
      <c r="F32" s="415"/>
      <c r="G32" s="415"/>
      <c r="H32" s="415"/>
      <c r="I32" s="415"/>
      <c r="J32" s="415"/>
      <c r="K32" s="415"/>
      <c r="L32" s="415"/>
      <c r="M32" s="415"/>
      <c r="N32" s="415"/>
      <c r="O32" s="415"/>
      <c r="P32" s="415">
        <v>53.1</v>
      </c>
      <c r="Q32" s="416">
        <f t="shared" si="0"/>
        <v>53.1</v>
      </c>
      <c r="R32" s="375" t="str">
        <f t="shared" si="1"/>
        <v>NO</v>
      </c>
      <c r="S32" s="417" t="str">
        <f t="shared" si="2"/>
        <v>Alto</v>
      </c>
      <c r="T32" s="139"/>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c r="DV32" s="140"/>
      <c r="DW32" s="140"/>
      <c r="DX32" s="140"/>
      <c r="DY32" s="140"/>
      <c r="DZ32" s="140"/>
      <c r="EA32" s="140"/>
      <c r="EB32" s="140"/>
      <c r="EC32" s="140"/>
      <c r="ED32" s="140"/>
      <c r="EE32" s="140"/>
      <c r="EF32" s="140"/>
      <c r="EG32" s="140"/>
      <c r="EH32" s="140"/>
      <c r="EI32" s="140"/>
      <c r="EJ32" s="140"/>
      <c r="EK32" s="140"/>
      <c r="EL32" s="140"/>
      <c r="EM32" s="140"/>
      <c r="EN32" s="140"/>
      <c r="EO32" s="140"/>
      <c r="EP32" s="140"/>
      <c r="EQ32" s="140"/>
      <c r="ER32" s="140"/>
      <c r="ES32" s="140"/>
      <c r="ET32" s="140"/>
      <c r="EU32" s="140"/>
      <c r="EV32" s="140"/>
      <c r="EW32" s="140"/>
      <c r="EX32" s="140"/>
      <c r="EY32" s="140"/>
      <c r="EZ32" s="140"/>
      <c r="FA32" s="140"/>
      <c r="FB32" s="140"/>
      <c r="FC32" s="140"/>
      <c r="FD32" s="140"/>
      <c r="FE32" s="140"/>
      <c r="FF32" s="140"/>
      <c r="FG32" s="140"/>
      <c r="FH32" s="140"/>
      <c r="FI32" s="140"/>
      <c r="FJ32" s="140"/>
      <c r="FK32" s="140"/>
      <c r="FL32" s="140"/>
      <c r="FM32" s="140"/>
      <c r="FN32" s="140"/>
      <c r="FO32" s="140"/>
      <c r="FP32" s="140"/>
      <c r="FQ32" s="140"/>
      <c r="FR32" s="140"/>
      <c r="FS32" s="140"/>
      <c r="FT32" s="140"/>
      <c r="FU32" s="140"/>
      <c r="FV32" s="140"/>
      <c r="FW32" s="140"/>
      <c r="FX32" s="140"/>
      <c r="FY32" s="140"/>
      <c r="FZ32" s="140"/>
      <c r="GA32" s="140"/>
      <c r="GB32" s="140"/>
      <c r="GC32" s="140"/>
      <c r="GD32" s="140"/>
      <c r="GE32" s="140"/>
      <c r="GF32" s="140"/>
      <c r="GG32" s="140"/>
      <c r="GH32" s="140"/>
      <c r="GI32" s="140"/>
      <c r="GJ32" s="140"/>
      <c r="GK32" s="140"/>
      <c r="GL32" s="140"/>
      <c r="GM32" s="140"/>
      <c r="GN32" s="140"/>
      <c r="GO32" s="140"/>
      <c r="GP32" s="140"/>
      <c r="GQ32" s="140"/>
      <c r="GR32" s="140"/>
      <c r="GS32" s="140"/>
      <c r="GT32" s="140"/>
      <c r="GU32" s="140"/>
      <c r="GV32" s="140"/>
      <c r="GW32" s="140"/>
      <c r="GX32" s="140"/>
      <c r="GY32" s="140"/>
      <c r="GZ32" s="140"/>
      <c r="HA32" s="140"/>
      <c r="HB32" s="140"/>
      <c r="HC32" s="140"/>
      <c r="HD32" s="140"/>
      <c r="HE32" s="140"/>
      <c r="HF32" s="140"/>
      <c r="HG32" s="140"/>
      <c r="HH32" s="140"/>
      <c r="HI32" s="140"/>
      <c r="HJ32" s="140"/>
      <c r="HK32" s="140"/>
      <c r="HL32" s="140"/>
      <c r="HM32" s="140"/>
      <c r="HN32" s="140"/>
      <c r="HO32" s="140"/>
      <c r="HP32" s="140"/>
      <c r="HQ32" s="140"/>
      <c r="HR32" s="140"/>
      <c r="HS32" s="140"/>
      <c r="HT32" s="140"/>
      <c r="HU32" s="140"/>
      <c r="HV32" s="140"/>
      <c r="HW32" s="140"/>
      <c r="HX32" s="140"/>
      <c r="HY32" s="140"/>
      <c r="HZ32" s="140"/>
      <c r="IA32" s="140"/>
      <c r="IB32" s="140"/>
      <c r="IC32" s="140"/>
      <c r="ID32" s="140"/>
      <c r="IE32" s="140"/>
      <c r="IF32" s="140"/>
      <c r="IG32" s="140"/>
      <c r="IH32" s="140"/>
      <c r="II32" s="140"/>
      <c r="IJ32" s="140"/>
      <c r="IK32" s="140"/>
      <c r="IL32" s="140"/>
      <c r="IM32" s="140"/>
      <c r="IN32" s="140"/>
      <c r="IO32" s="140"/>
      <c r="IP32" s="140"/>
      <c r="IQ32" s="140"/>
      <c r="IR32" s="140"/>
      <c r="IS32" s="140"/>
      <c r="IT32" s="140"/>
      <c r="IU32" s="140"/>
      <c r="IV32" s="140"/>
    </row>
    <row r="33" spans="1:256" ht="32.1" customHeight="1" x14ac:dyDescent="0.2">
      <c r="A33" s="412" t="s">
        <v>3943</v>
      </c>
      <c r="B33" s="385" t="s">
        <v>1654</v>
      </c>
      <c r="C33" s="418" t="s">
        <v>1993</v>
      </c>
      <c r="D33" s="364">
        <v>32</v>
      </c>
      <c r="E33" s="415"/>
      <c r="F33" s="415"/>
      <c r="G33" s="415"/>
      <c r="H33" s="415"/>
      <c r="I33" s="415"/>
      <c r="J33" s="415"/>
      <c r="K33" s="415"/>
      <c r="L33" s="415"/>
      <c r="M33" s="415"/>
      <c r="N33" s="415"/>
      <c r="O33" s="415"/>
      <c r="P33" s="415">
        <v>97.35</v>
      </c>
      <c r="Q33" s="416">
        <f t="shared" si="0"/>
        <v>97.35</v>
      </c>
      <c r="R33" s="375" t="str">
        <f t="shared" si="1"/>
        <v>NO</v>
      </c>
      <c r="S33" s="417" t="str">
        <f t="shared" si="2"/>
        <v>Inviable Sanitariamente</v>
      </c>
      <c r="T33" s="139"/>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0"/>
      <c r="CT33" s="140"/>
      <c r="CU33" s="140"/>
      <c r="CV33" s="140"/>
      <c r="CW33" s="140"/>
      <c r="CX33" s="140"/>
      <c r="CY33" s="140"/>
      <c r="CZ33" s="140"/>
      <c r="DA33" s="140"/>
      <c r="DB33" s="140"/>
      <c r="DC33" s="140"/>
      <c r="DD33" s="140"/>
      <c r="DE33" s="140"/>
      <c r="DF33" s="140"/>
      <c r="DG33" s="140"/>
      <c r="DH33" s="140"/>
      <c r="DI33" s="140"/>
      <c r="DJ33" s="140"/>
      <c r="DK33" s="140"/>
      <c r="DL33" s="140"/>
      <c r="DM33" s="140"/>
      <c r="DN33" s="140"/>
      <c r="DO33" s="140"/>
      <c r="DP33" s="140"/>
      <c r="DQ33" s="140"/>
      <c r="DR33" s="140"/>
      <c r="DS33" s="140"/>
      <c r="DT33" s="140"/>
      <c r="DU33" s="140"/>
      <c r="DV33" s="140"/>
      <c r="DW33" s="140"/>
      <c r="DX33" s="140"/>
      <c r="DY33" s="140"/>
      <c r="DZ33" s="140"/>
      <c r="EA33" s="140"/>
      <c r="EB33" s="140"/>
      <c r="EC33" s="140"/>
      <c r="ED33" s="140"/>
      <c r="EE33" s="140"/>
      <c r="EF33" s="140"/>
      <c r="EG33" s="140"/>
      <c r="EH33" s="140"/>
      <c r="EI33" s="140"/>
      <c r="EJ33" s="140"/>
      <c r="EK33" s="140"/>
      <c r="EL33" s="140"/>
      <c r="EM33" s="140"/>
      <c r="EN33" s="140"/>
      <c r="EO33" s="140"/>
      <c r="EP33" s="140"/>
      <c r="EQ33" s="140"/>
      <c r="ER33" s="140"/>
      <c r="ES33" s="140"/>
      <c r="ET33" s="140"/>
      <c r="EU33" s="140"/>
      <c r="EV33" s="140"/>
      <c r="EW33" s="140"/>
      <c r="EX33" s="140"/>
      <c r="EY33" s="140"/>
      <c r="EZ33" s="140"/>
      <c r="FA33" s="140"/>
      <c r="FB33" s="140"/>
      <c r="FC33" s="140"/>
      <c r="FD33" s="140"/>
      <c r="FE33" s="140"/>
      <c r="FF33" s="140"/>
      <c r="FG33" s="140"/>
      <c r="FH33" s="140"/>
      <c r="FI33" s="140"/>
      <c r="FJ33" s="140"/>
      <c r="FK33" s="140"/>
      <c r="FL33" s="140"/>
      <c r="FM33" s="140"/>
      <c r="FN33" s="140"/>
      <c r="FO33" s="140"/>
      <c r="FP33" s="140"/>
      <c r="FQ33" s="140"/>
      <c r="FR33" s="140"/>
      <c r="FS33" s="140"/>
      <c r="FT33" s="140"/>
      <c r="FU33" s="140"/>
      <c r="FV33" s="140"/>
      <c r="FW33" s="140"/>
      <c r="FX33" s="140"/>
      <c r="FY33" s="140"/>
      <c r="FZ33" s="140"/>
      <c r="GA33" s="140"/>
      <c r="GB33" s="140"/>
      <c r="GC33" s="140"/>
      <c r="GD33" s="140"/>
      <c r="GE33" s="140"/>
      <c r="GF33" s="140"/>
      <c r="GG33" s="140"/>
      <c r="GH33" s="140"/>
      <c r="GI33" s="140"/>
      <c r="GJ33" s="140"/>
      <c r="GK33" s="140"/>
      <c r="GL33" s="140"/>
      <c r="GM33" s="140"/>
      <c r="GN33" s="140"/>
      <c r="GO33" s="140"/>
      <c r="GP33" s="140"/>
      <c r="GQ33" s="140"/>
      <c r="GR33" s="140"/>
      <c r="GS33" s="140"/>
      <c r="GT33" s="140"/>
      <c r="GU33" s="140"/>
      <c r="GV33" s="140"/>
      <c r="GW33" s="140"/>
      <c r="GX33" s="140"/>
      <c r="GY33" s="140"/>
      <c r="GZ33" s="140"/>
      <c r="HA33" s="140"/>
      <c r="HB33" s="140"/>
      <c r="HC33" s="140"/>
      <c r="HD33" s="140"/>
      <c r="HE33" s="140"/>
      <c r="HF33" s="140"/>
      <c r="HG33" s="140"/>
      <c r="HH33" s="140"/>
      <c r="HI33" s="140"/>
      <c r="HJ33" s="140"/>
      <c r="HK33" s="140"/>
      <c r="HL33" s="140"/>
      <c r="HM33" s="140"/>
      <c r="HN33" s="140"/>
      <c r="HO33" s="140"/>
      <c r="HP33" s="140"/>
      <c r="HQ33" s="140"/>
      <c r="HR33" s="140"/>
      <c r="HS33" s="140"/>
      <c r="HT33" s="140"/>
      <c r="HU33" s="140"/>
      <c r="HV33" s="140"/>
      <c r="HW33" s="140"/>
      <c r="HX33" s="140"/>
      <c r="HY33" s="140"/>
      <c r="HZ33" s="140"/>
      <c r="IA33" s="140"/>
      <c r="IB33" s="140"/>
      <c r="IC33" s="140"/>
      <c r="ID33" s="140"/>
      <c r="IE33" s="140"/>
      <c r="IF33" s="140"/>
      <c r="IG33" s="140"/>
      <c r="IH33" s="140"/>
      <c r="II33" s="140"/>
      <c r="IJ33" s="140"/>
      <c r="IK33" s="140"/>
      <c r="IL33" s="140"/>
      <c r="IM33" s="140"/>
      <c r="IN33" s="140"/>
      <c r="IO33" s="140"/>
      <c r="IP33" s="140"/>
      <c r="IQ33" s="140"/>
      <c r="IR33" s="140"/>
      <c r="IS33" s="140"/>
      <c r="IT33" s="140"/>
      <c r="IU33" s="140"/>
      <c r="IV33" s="140"/>
    </row>
    <row r="34" spans="1:256" ht="32.1" customHeight="1" x14ac:dyDescent="0.2">
      <c r="A34" s="412" t="s">
        <v>3943</v>
      </c>
      <c r="B34" s="385" t="s">
        <v>1655</v>
      </c>
      <c r="C34" s="419" t="s">
        <v>1994</v>
      </c>
      <c r="D34" s="364">
        <v>50</v>
      </c>
      <c r="E34" s="415"/>
      <c r="F34" s="415"/>
      <c r="G34" s="415"/>
      <c r="H34" s="415"/>
      <c r="I34" s="415"/>
      <c r="J34" s="415"/>
      <c r="K34" s="415">
        <v>76.92</v>
      </c>
      <c r="L34" s="415"/>
      <c r="M34" s="415"/>
      <c r="N34" s="415"/>
      <c r="O34" s="415"/>
      <c r="P34" s="415"/>
      <c r="Q34" s="416">
        <f t="shared" si="0"/>
        <v>76.92</v>
      </c>
      <c r="R34" s="375" t="str">
        <f t="shared" si="1"/>
        <v>NO</v>
      </c>
      <c r="S34" s="417" t="str">
        <f t="shared" si="2"/>
        <v>Alto</v>
      </c>
      <c r="T34" s="139"/>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0"/>
      <c r="CN34" s="140"/>
      <c r="CO34" s="140"/>
      <c r="CP34" s="140"/>
      <c r="CQ34" s="140"/>
      <c r="CR34" s="140"/>
      <c r="CS34" s="140"/>
      <c r="CT34" s="140"/>
      <c r="CU34" s="140"/>
      <c r="CV34" s="140"/>
      <c r="CW34" s="140"/>
      <c r="CX34" s="140"/>
      <c r="CY34" s="140"/>
      <c r="CZ34" s="140"/>
      <c r="DA34" s="140"/>
      <c r="DB34" s="140"/>
      <c r="DC34" s="140"/>
      <c r="DD34" s="140"/>
      <c r="DE34" s="140"/>
      <c r="DF34" s="140"/>
      <c r="DG34" s="140"/>
      <c r="DH34" s="140"/>
      <c r="DI34" s="140"/>
      <c r="DJ34" s="140"/>
      <c r="DK34" s="140"/>
      <c r="DL34" s="140"/>
      <c r="DM34" s="140"/>
      <c r="DN34" s="140"/>
      <c r="DO34" s="140"/>
      <c r="DP34" s="140"/>
      <c r="DQ34" s="140"/>
      <c r="DR34" s="140"/>
      <c r="DS34" s="140"/>
      <c r="DT34" s="140"/>
      <c r="DU34" s="140"/>
      <c r="DV34" s="140"/>
      <c r="DW34" s="140"/>
      <c r="DX34" s="140"/>
      <c r="DY34" s="140"/>
      <c r="DZ34" s="140"/>
      <c r="EA34" s="140"/>
      <c r="EB34" s="140"/>
      <c r="EC34" s="140"/>
      <c r="ED34" s="140"/>
      <c r="EE34" s="140"/>
      <c r="EF34" s="140"/>
      <c r="EG34" s="140"/>
      <c r="EH34" s="140"/>
      <c r="EI34" s="140"/>
      <c r="EJ34" s="140"/>
      <c r="EK34" s="140"/>
      <c r="EL34" s="140"/>
      <c r="EM34" s="140"/>
      <c r="EN34" s="140"/>
      <c r="EO34" s="140"/>
      <c r="EP34" s="140"/>
      <c r="EQ34" s="140"/>
      <c r="ER34" s="140"/>
      <c r="ES34" s="140"/>
      <c r="ET34" s="140"/>
      <c r="EU34" s="140"/>
      <c r="EV34" s="140"/>
      <c r="EW34" s="140"/>
      <c r="EX34" s="140"/>
      <c r="EY34" s="140"/>
      <c r="EZ34" s="140"/>
      <c r="FA34" s="140"/>
      <c r="FB34" s="140"/>
      <c r="FC34" s="140"/>
      <c r="FD34" s="140"/>
      <c r="FE34" s="140"/>
      <c r="FF34" s="140"/>
      <c r="FG34" s="140"/>
      <c r="FH34" s="140"/>
      <c r="FI34" s="140"/>
      <c r="FJ34" s="140"/>
      <c r="FK34" s="140"/>
      <c r="FL34" s="140"/>
      <c r="FM34" s="140"/>
      <c r="FN34" s="140"/>
      <c r="FO34" s="140"/>
      <c r="FP34" s="140"/>
      <c r="FQ34" s="140"/>
      <c r="FR34" s="140"/>
      <c r="FS34" s="140"/>
      <c r="FT34" s="140"/>
      <c r="FU34" s="140"/>
      <c r="FV34" s="140"/>
      <c r="FW34" s="140"/>
      <c r="FX34" s="140"/>
      <c r="FY34" s="140"/>
      <c r="FZ34" s="140"/>
      <c r="GA34" s="140"/>
      <c r="GB34" s="140"/>
      <c r="GC34" s="140"/>
      <c r="GD34" s="140"/>
      <c r="GE34" s="140"/>
      <c r="GF34" s="140"/>
      <c r="GG34" s="140"/>
      <c r="GH34" s="140"/>
      <c r="GI34" s="140"/>
      <c r="GJ34" s="140"/>
      <c r="GK34" s="140"/>
      <c r="GL34" s="140"/>
      <c r="GM34" s="140"/>
      <c r="GN34" s="140"/>
      <c r="GO34" s="140"/>
      <c r="GP34" s="140"/>
      <c r="GQ34" s="140"/>
      <c r="GR34" s="140"/>
      <c r="GS34" s="140"/>
      <c r="GT34" s="140"/>
      <c r="GU34" s="140"/>
      <c r="GV34" s="140"/>
      <c r="GW34" s="140"/>
      <c r="GX34" s="140"/>
      <c r="GY34" s="140"/>
      <c r="GZ34" s="140"/>
      <c r="HA34" s="140"/>
      <c r="HB34" s="140"/>
      <c r="HC34" s="140"/>
      <c r="HD34" s="140"/>
      <c r="HE34" s="140"/>
      <c r="HF34" s="140"/>
      <c r="HG34" s="140"/>
      <c r="HH34" s="140"/>
      <c r="HI34" s="140"/>
      <c r="HJ34" s="140"/>
      <c r="HK34" s="140"/>
      <c r="HL34" s="140"/>
      <c r="HM34" s="140"/>
      <c r="HN34" s="140"/>
      <c r="HO34" s="140"/>
      <c r="HP34" s="140"/>
      <c r="HQ34" s="140"/>
      <c r="HR34" s="140"/>
      <c r="HS34" s="140"/>
      <c r="HT34" s="140"/>
      <c r="HU34" s="140"/>
      <c r="HV34" s="140"/>
      <c r="HW34" s="140"/>
      <c r="HX34" s="140"/>
      <c r="HY34" s="140"/>
      <c r="HZ34" s="140"/>
      <c r="IA34" s="140"/>
      <c r="IB34" s="140"/>
      <c r="IC34" s="140"/>
      <c r="ID34" s="140"/>
      <c r="IE34" s="140"/>
      <c r="IF34" s="140"/>
      <c r="IG34" s="140"/>
      <c r="IH34" s="140"/>
      <c r="II34" s="140"/>
      <c r="IJ34" s="140"/>
      <c r="IK34" s="140"/>
      <c r="IL34" s="140"/>
      <c r="IM34" s="140"/>
      <c r="IN34" s="140"/>
      <c r="IO34" s="140"/>
      <c r="IP34" s="140"/>
      <c r="IQ34" s="140"/>
      <c r="IR34" s="140"/>
      <c r="IS34" s="140"/>
      <c r="IT34" s="140"/>
      <c r="IU34" s="140"/>
      <c r="IV34" s="140"/>
    </row>
    <row r="35" spans="1:256" ht="32.1" customHeight="1" x14ac:dyDescent="0.2">
      <c r="A35" s="412" t="s">
        <v>3943</v>
      </c>
      <c r="B35" s="385" t="s">
        <v>1656</v>
      </c>
      <c r="C35" s="420" t="s">
        <v>1995</v>
      </c>
      <c r="D35" s="413">
        <v>24</v>
      </c>
      <c r="E35" s="415"/>
      <c r="F35" s="415"/>
      <c r="G35" s="415"/>
      <c r="H35" s="415"/>
      <c r="I35" s="415"/>
      <c r="J35" s="415">
        <v>53.1</v>
      </c>
      <c r="K35" s="415"/>
      <c r="L35" s="415"/>
      <c r="M35" s="415"/>
      <c r="N35" s="415"/>
      <c r="O35" s="415"/>
      <c r="P35" s="415"/>
      <c r="Q35" s="416">
        <f t="shared" si="0"/>
        <v>53.1</v>
      </c>
      <c r="R35" s="375" t="str">
        <f t="shared" si="1"/>
        <v>NO</v>
      </c>
      <c r="S35" s="417" t="str">
        <f t="shared" si="2"/>
        <v>Alto</v>
      </c>
      <c r="T35" s="139"/>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c r="CX35" s="140"/>
      <c r="CY35" s="140"/>
      <c r="CZ35" s="140"/>
      <c r="DA35" s="140"/>
      <c r="DB35" s="140"/>
      <c r="DC35" s="140"/>
      <c r="DD35" s="140"/>
      <c r="DE35" s="140"/>
      <c r="DF35" s="140"/>
      <c r="DG35" s="140"/>
      <c r="DH35" s="140"/>
      <c r="DI35" s="140"/>
      <c r="DJ35" s="140"/>
      <c r="DK35" s="140"/>
      <c r="DL35" s="140"/>
      <c r="DM35" s="140"/>
      <c r="DN35" s="140"/>
      <c r="DO35" s="140"/>
      <c r="DP35" s="140"/>
      <c r="DQ35" s="140"/>
      <c r="DR35" s="140"/>
      <c r="DS35" s="140"/>
      <c r="DT35" s="140"/>
      <c r="DU35" s="140"/>
      <c r="DV35" s="140"/>
      <c r="DW35" s="140"/>
      <c r="DX35" s="140"/>
      <c r="DY35" s="140"/>
      <c r="DZ35" s="140"/>
      <c r="EA35" s="140"/>
      <c r="EB35" s="140"/>
      <c r="EC35" s="140"/>
      <c r="ED35" s="140"/>
      <c r="EE35" s="140"/>
      <c r="EF35" s="140"/>
      <c r="EG35" s="140"/>
      <c r="EH35" s="140"/>
      <c r="EI35" s="140"/>
      <c r="EJ35" s="140"/>
      <c r="EK35" s="140"/>
      <c r="EL35" s="140"/>
      <c r="EM35" s="140"/>
      <c r="EN35" s="140"/>
      <c r="EO35" s="140"/>
      <c r="EP35" s="140"/>
      <c r="EQ35" s="140"/>
      <c r="ER35" s="140"/>
      <c r="ES35" s="140"/>
      <c r="ET35" s="140"/>
      <c r="EU35" s="140"/>
      <c r="EV35" s="140"/>
      <c r="EW35" s="140"/>
      <c r="EX35" s="140"/>
      <c r="EY35" s="140"/>
      <c r="EZ35" s="140"/>
      <c r="FA35" s="140"/>
      <c r="FB35" s="140"/>
      <c r="FC35" s="140"/>
      <c r="FD35" s="140"/>
      <c r="FE35" s="140"/>
      <c r="FF35" s="140"/>
      <c r="FG35" s="140"/>
      <c r="FH35" s="140"/>
      <c r="FI35" s="140"/>
      <c r="FJ35" s="140"/>
      <c r="FK35" s="140"/>
      <c r="FL35" s="140"/>
      <c r="FM35" s="140"/>
      <c r="FN35" s="140"/>
      <c r="FO35" s="140"/>
      <c r="FP35" s="140"/>
      <c r="FQ35" s="140"/>
      <c r="FR35" s="140"/>
      <c r="FS35" s="140"/>
      <c r="FT35" s="140"/>
      <c r="FU35" s="140"/>
      <c r="FV35" s="140"/>
      <c r="FW35" s="140"/>
      <c r="FX35" s="140"/>
      <c r="FY35" s="140"/>
      <c r="FZ35" s="140"/>
      <c r="GA35" s="140"/>
      <c r="GB35" s="140"/>
      <c r="GC35" s="140"/>
      <c r="GD35" s="140"/>
      <c r="GE35" s="140"/>
      <c r="GF35" s="140"/>
      <c r="GG35" s="140"/>
      <c r="GH35" s="140"/>
      <c r="GI35" s="140"/>
      <c r="GJ35" s="140"/>
      <c r="GK35" s="140"/>
      <c r="GL35" s="140"/>
      <c r="GM35" s="140"/>
      <c r="GN35" s="140"/>
      <c r="GO35" s="140"/>
      <c r="GP35" s="140"/>
      <c r="GQ35" s="140"/>
      <c r="GR35" s="140"/>
      <c r="GS35" s="140"/>
      <c r="GT35" s="140"/>
      <c r="GU35" s="140"/>
      <c r="GV35" s="140"/>
      <c r="GW35" s="140"/>
      <c r="GX35" s="140"/>
      <c r="GY35" s="140"/>
      <c r="GZ35" s="140"/>
      <c r="HA35" s="140"/>
      <c r="HB35" s="140"/>
      <c r="HC35" s="140"/>
      <c r="HD35" s="140"/>
      <c r="HE35" s="140"/>
      <c r="HF35" s="140"/>
      <c r="HG35" s="140"/>
      <c r="HH35" s="140"/>
      <c r="HI35" s="140"/>
      <c r="HJ35" s="140"/>
      <c r="HK35" s="140"/>
      <c r="HL35" s="140"/>
      <c r="HM35" s="140"/>
      <c r="HN35" s="140"/>
      <c r="HO35" s="140"/>
      <c r="HP35" s="140"/>
      <c r="HQ35" s="140"/>
      <c r="HR35" s="140"/>
      <c r="HS35" s="140"/>
      <c r="HT35" s="140"/>
      <c r="HU35" s="140"/>
      <c r="HV35" s="140"/>
      <c r="HW35" s="140"/>
      <c r="HX35" s="140"/>
      <c r="HY35" s="140"/>
      <c r="HZ35" s="140"/>
      <c r="IA35" s="140"/>
      <c r="IB35" s="140"/>
      <c r="IC35" s="140"/>
      <c r="ID35" s="140"/>
      <c r="IE35" s="140"/>
      <c r="IF35" s="140"/>
      <c r="IG35" s="140"/>
      <c r="IH35" s="140"/>
      <c r="II35" s="140"/>
      <c r="IJ35" s="140"/>
      <c r="IK35" s="140"/>
      <c r="IL35" s="140"/>
      <c r="IM35" s="140"/>
      <c r="IN35" s="140"/>
      <c r="IO35" s="140"/>
      <c r="IP35" s="140"/>
      <c r="IQ35" s="140"/>
      <c r="IR35" s="140"/>
      <c r="IS35" s="140"/>
      <c r="IT35" s="140"/>
      <c r="IU35" s="140"/>
      <c r="IV35" s="140"/>
    </row>
    <row r="36" spans="1:256" ht="32.1" customHeight="1" x14ac:dyDescent="0.2">
      <c r="A36" s="412" t="s">
        <v>3943</v>
      </c>
      <c r="B36" s="385" t="s">
        <v>1657</v>
      </c>
      <c r="C36" s="420" t="s">
        <v>1996</v>
      </c>
      <c r="D36" s="413">
        <v>636</v>
      </c>
      <c r="E36" s="415"/>
      <c r="F36" s="415"/>
      <c r="G36" s="415"/>
      <c r="H36" s="415"/>
      <c r="I36" s="415"/>
      <c r="J36" s="415"/>
      <c r="K36" s="415"/>
      <c r="L36" s="415"/>
      <c r="M36" s="415"/>
      <c r="N36" s="415"/>
      <c r="O36" s="415"/>
      <c r="P36" s="415">
        <v>97.35</v>
      </c>
      <c r="Q36" s="416">
        <f t="shared" si="0"/>
        <v>97.35</v>
      </c>
      <c r="R36" s="375" t="str">
        <f t="shared" si="1"/>
        <v>NO</v>
      </c>
      <c r="S36" s="417" t="str">
        <f t="shared" si="2"/>
        <v>Inviable Sanitariamente</v>
      </c>
      <c r="T36" s="139"/>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c r="FG36" s="140"/>
      <c r="FH36" s="140"/>
      <c r="FI36" s="140"/>
      <c r="FJ36" s="140"/>
      <c r="FK36" s="140"/>
      <c r="FL36" s="140"/>
      <c r="FM36" s="140"/>
      <c r="FN36" s="140"/>
      <c r="FO36" s="140"/>
      <c r="FP36" s="140"/>
      <c r="FQ36" s="140"/>
      <c r="FR36" s="140"/>
      <c r="FS36" s="140"/>
      <c r="FT36" s="140"/>
      <c r="FU36" s="140"/>
      <c r="FV36" s="140"/>
      <c r="FW36" s="140"/>
      <c r="FX36" s="140"/>
      <c r="FY36" s="140"/>
      <c r="FZ36" s="140"/>
      <c r="GA36" s="140"/>
      <c r="GB36" s="140"/>
      <c r="GC36" s="140"/>
      <c r="GD36" s="140"/>
      <c r="GE36" s="140"/>
      <c r="GF36" s="140"/>
      <c r="GG36" s="140"/>
      <c r="GH36" s="140"/>
      <c r="GI36" s="140"/>
      <c r="GJ36" s="140"/>
      <c r="GK36" s="140"/>
      <c r="GL36" s="140"/>
      <c r="GM36" s="140"/>
      <c r="GN36" s="140"/>
      <c r="GO36" s="140"/>
      <c r="GP36" s="140"/>
      <c r="GQ36" s="140"/>
      <c r="GR36" s="140"/>
      <c r="GS36" s="140"/>
      <c r="GT36" s="140"/>
      <c r="GU36" s="140"/>
      <c r="GV36" s="140"/>
      <c r="GW36" s="140"/>
      <c r="GX36" s="140"/>
      <c r="GY36" s="140"/>
      <c r="GZ36" s="140"/>
      <c r="HA36" s="140"/>
      <c r="HB36" s="140"/>
      <c r="HC36" s="140"/>
      <c r="HD36" s="140"/>
      <c r="HE36" s="140"/>
      <c r="HF36" s="140"/>
      <c r="HG36" s="140"/>
      <c r="HH36" s="140"/>
      <c r="HI36" s="140"/>
      <c r="HJ36" s="140"/>
      <c r="HK36" s="140"/>
      <c r="HL36" s="140"/>
      <c r="HM36" s="140"/>
      <c r="HN36" s="140"/>
      <c r="HO36" s="140"/>
      <c r="HP36" s="140"/>
      <c r="HQ36" s="140"/>
      <c r="HR36" s="140"/>
      <c r="HS36" s="140"/>
      <c r="HT36" s="140"/>
      <c r="HU36" s="140"/>
      <c r="HV36" s="140"/>
      <c r="HW36" s="140"/>
      <c r="HX36" s="140"/>
      <c r="HY36" s="140"/>
      <c r="HZ36" s="140"/>
      <c r="IA36" s="140"/>
      <c r="IB36" s="140"/>
      <c r="IC36" s="140"/>
      <c r="ID36" s="140"/>
      <c r="IE36" s="140"/>
      <c r="IF36" s="140"/>
      <c r="IG36" s="140"/>
      <c r="IH36" s="140"/>
      <c r="II36" s="140"/>
      <c r="IJ36" s="140"/>
      <c r="IK36" s="140"/>
      <c r="IL36" s="140"/>
      <c r="IM36" s="140"/>
      <c r="IN36" s="140"/>
      <c r="IO36" s="140"/>
      <c r="IP36" s="140"/>
      <c r="IQ36" s="140"/>
      <c r="IR36" s="140"/>
      <c r="IS36" s="140"/>
      <c r="IT36" s="140"/>
      <c r="IU36" s="140"/>
      <c r="IV36" s="140"/>
    </row>
    <row r="37" spans="1:256" ht="32.1" customHeight="1" x14ac:dyDescent="0.2">
      <c r="A37" s="412" t="s">
        <v>3943</v>
      </c>
      <c r="B37" s="385" t="s">
        <v>1658</v>
      </c>
      <c r="C37" s="378" t="s">
        <v>1997</v>
      </c>
      <c r="D37" s="364">
        <v>366</v>
      </c>
      <c r="E37" s="415"/>
      <c r="F37" s="415"/>
      <c r="G37" s="415"/>
      <c r="H37" s="415"/>
      <c r="I37" s="415"/>
      <c r="J37" s="415"/>
      <c r="K37" s="415"/>
      <c r="L37" s="415"/>
      <c r="M37" s="415"/>
      <c r="N37" s="415"/>
      <c r="O37" s="415"/>
      <c r="P37" s="415">
        <v>97.35</v>
      </c>
      <c r="Q37" s="416">
        <f t="shared" si="0"/>
        <v>97.35</v>
      </c>
      <c r="R37" s="375" t="str">
        <f t="shared" si="1"/>
        <v>NO</v>
      </c>
      <c r="S37" s="417" t="str">
        <f t="shared" si="2"/>
        <v>Inviable Sanitariamente</v>
      </c>
      <c r="T37" s="139"/>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c r="DR37" s="140"/>
      <c r="DS37" s="140"/>
      <c r="DT37" s="140"/>
      <c r="DU37" s="140"/>
      <c r="DV37" s="140"/>
      <c r="DW37" s="140"/>
      <c r="DX37" s="140"/>
      <c r="DY37" s="140"/>
      <c r="DZ37" s="140"/>
      <c r="EA37" s="140"/>
      <c r="EB37" s="140"/>
      <c r="EC37" s="140"/>
      <c r="ED37" s="140"/>
      <c r="EE37" s="140"/>
      <c r="EF37" s="140"/>
      <c r="EG37" s="140"/>
      <c r="EH37" s="140"/>
      <c r="EI37" s="140"/>
      <c r="EJ37" s="140"/>
      <c r="EK37" s="140"/>
      <c r="EL37" s="140"/>
      <c r="EM37" s="140"/>
      <c r="EN37" s="140"/>
      <c r="EO37" s="140"/>
      <c r="EP37" s="140"/>
      <c r="EQ37" s="140"/>
      <c r="ER37" s="140"/>
      <c r="ES37" s="140"/>
      <c r="ET37" s="140"/>
      <c r="EU37" s="140"/>
      <c r="EV37" s="140"/>
      <c r="EW37" s="140"/>
      <c r="EX37" s="140"/>
      <c r="EY37" s="140"/>
      <c r="EZ37" s="140"/>
      <c r="FA37" s="140"/>
      <c r="FB37" s="140"/>
      <c r="FC37" s="140"/>
      <c r="FD37" s="140"/>
      <c r="FE37" s="140"/>
      <c r="FF37" s="140"/>
      <c r="FG37" s="140"/>
      <c r="FH37" s="140"/>
      <c r="FI37" s="140"/>
      <c r="FJ37" s="140"/>
      <c r="FK37" s="140"/>
      <c r="FL37" s="140"/>
      <c r="FM37" s="140"/>
      <c r="FN37" s="140"/>
      <c r="FO37" s="140"/>
      <c r="FP37" s="140"/>
      <c r="FQ37" s="140"/>
      <c r="FR37" s="140"/>
      <c r="FS37" s="140"/>
      <c r="FT37" s="140"/>
      <c r="FU37" s="140"/>
      <c r="FV37" s="140"/>
      <c r="FW37" s="140"/>
      <c r="FX37" s="140"/>
      <c r="FY37" s="140"/>
      <c r="FZ37" s="140"/>
      <c r="GA37" s="140"/>
      <c r="GB37" s="140"/>
      <c r="GC37" s="140"/>
      <c r="GD37" s="140"/>
      <c r="GE37" s="140"/>
      <c r="GF37" s="140"/>
      <c r="GG37" s="140"/>
      <c r="GH37" s="140"/>
      <c r="GI37" s="140"/>
      <c r="GJ37" s="140"/>
      <c r="GK37" s="140"/>
      <c r="GL37" s="140"/>
      <c r="GM37" s="140"/>
      <c r="GN37" s="140"/>
      <c r="GO37" s="140"/>
      <c r="GP37" s="140"/>
      <c r="GQ37" s="140"/>
      <c r="GR37" s="140"/>
      <c r="GS37" s="140"/>
      <c r="GT37" s="140"/>
      <c r="GU37" s="140"/>
      <c r="GV37" s="140"/>
      <c r="GW37" s="140"/>
      <c r="GX37" s="140"/>
      <c r="GY37" s="140"/>
      <c r="GZ37" s="140"/>
      <c r="HA37" s="140"/>
      <c r="HB37" s="140"/>
      <c r="HC37" s="140"/>
      <c r="HD37" s="140"/>
      <c r="HE37" s="140"/>
      <c r="HF37" s="140"/>
      <c r="HG37" s="140"/>
      <c r="HH37" s="140"/>
      <c r="HI37" s="140"/>
      <c r="HJ37" s="140"/>
      <c r="HK37" s="140"/>
      <c r="HL37" s="140"/>
      <c r="HM37" s="140"/>
      <c r="HN37" s="140"/>
      <c r="HO37" s="140"/>
      <c r="HP37" s="140"/>
      <c r="HQ37" s="140"/>
      <c r="HR37" s="140"/>
      <c r="HS37" s="140"/>
      <c r="HT37" s="140"/>
      <c r="HU37" s="140"/>
      <c r="HV37" s="140"/>
      <c r="HW37" s="140"/>
      <c r="HX37" s="140"/>
      <c r="HY37" s="140"/>
      <c r="HZ37" s="140"/>
      <c r="IA37" s="140"/>
      <c r="IB37" s="140"/>
      <c r="IC37" s="140"/>
      <c r="ID37" s="140"/>
      <c r="IE37" s="140"/>
      <c r="IF37" s="140"/>
      <c r="IG37" s="140"/>
      <c r="IH37" s="140"/>
      <c r="II37" s="140"/>
      <c r="IJ37" s="140"/>
      <c r="IK37" s="140"/>
      <c r="IL37" s="140"/>
      <c r="IM37" s="140"/>
      <c r="IN37" s="140"/>
      <c r="IO37" s="140"/>
      <c r="IP37" s="140"/>
      <c r="IQ37" s="140"/>
      <c r="IR37" s="140"/>
      <c r="IS37" s="140"/>
      <c r="IT37" s="140"/>
      <c r="IU37" s="140"/>
      <c r="IV37" s="140"/>
    </row>
    <row r="38" spans="1:256" ht="32.1" customHeight="1" x14ac:dyDescent="0.2">
      <c r="A38" s="412" t="s">
        <v>3943</v>
      </c>
      <c r="B38" s="385" t="s">
        <v>2</v>
      </c>
      <c r="C38" s="378" t="s">
        <v>1998</v>
      </c>
      <c r="D38" s="364">
        <v>90</v>
      </c>
      <c r="E38" s="415"/>
      <c r="F38" s="415"/>
      <c r="G38" s="415"/>
      <c r="H38" s="415"/>
      <c r="I38" s="415"/>
      <c r="J38" s="415"/>
      <c r="K38" s="415"/>
      <c r="L38" s="415"/>
      <c r="M38" s="415"/>
      <c r="N38" s="415"/>
      <c r="O38" s="415"/>
      <c r="P38" s="415">
        <v>97.35</v>
      </c>
      <c r="Q38" s="416">
        <f t="shared" si="0"/>
        <v>97.35</v>
      </c>
      <c r="R38" s="375" t="str">
        <f t="shared" si="1"/>
        <v>NO</v>
      </c>
      <c r="S38" s="417" t="str">
        <f t="shared" si="2"/>
        <v>Inviable Sanitariamente</v>
      </c>
      <c r="T38" s="139"/>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c r="DV38" s="140"/>
      <c r="DW38" s="140"/>
      <c r="DX38" s="140"/>
      <c r="DY38" s="140"/>
      <c r="DZ38" s="140"/>
      <c r="EA38" s="140"/>
      <c r="EB38" s="140"/>
      <c r="EC38" s="140"/>
      <c r="ED38" s="140"/>
      <c r="EE38" s="140"/>
      <c r="EF38" s="140"/>
      <c r="EG38" s="140"/>
      <c r="EH38" s="140"/>
      <c r="EI38" s="140"/>
      <c r="EJ38" s="140"/>
      <c r="EK38" s="140"/>
      <c r="EL38" s="140"/>
      <c r="EM38" s="140"/>
      <c r="EN38" s="140"/>
      <c r="EO38" s="140"/>
      <c r="EP38" s="140"/>
      <c r="EQ38" s="140"/>
      <c r="ER38" s="140"/>
      <c r="ES38" s="140"/>
      <c r="ET38" s="140"/>
      <c r="EU38" s="140"/>
      <c r="EV38" s="140"/>
      <c r="EW38" s="140"/>
      <c r="EX38" s="140"/>
      <c r="EY38" s="140"/>
      <c r="EZ38" s="140"/>
      <c r="FA38" s="140"/>
      <c r="FB38" s="140"/>
      <c r="FC38" s="140"/>
      <c r="FD38" s="140"/>
      <c r="FE38" s="140"/>
      <c r="FF38" s="140"/>
      <c r="FG38" s="140"/>
      <c r="FH38" s="140"/>
      <c r="FI38" s="140"/>
      <c r="FJ38" s="140"/>
      <c r="FK38" s="140"/>
      <c r="FL38" s="140"/>
      <c r="FM38" s="140"/>
      <c r="FN38" s="140"/>
      <c r="FO38" s="140"/>
      <c r="FP38" s="140"/>
      <c r="FQ38" s="140"/>
      <c r="FR38" s="140"/>
      <c r="FS38" s="140"/>
      <c r="FT38" s="140"/>
      <c r="FU38" s="140"/>
      <c r="FV38" s="140"/>
      <c r="FW38" s="140"/>
      <c r="FX38" s="140"/>
      <c r="FY38" s="140"/>
      <c r="FZ38" s="140"/>
      <c r="GA38" s="140"/>
      <c r="GB38" s="140"/>
      <c r="GC38" s="140"/>
      <c r="GD38" s="140"/>
      <c r="GE38" s="140"/>
      <c r="GF38" s="140"/>
      <c r="GG38" s="140"/>
      <c r="GH38" s="140"/>
      <c r="GI38" s="140"/>
      <c r="GJ38" s="140"/>
      <c r="GK38" s="140"/>
      <c r="GL38" s="140"/>
      <c r="GM38" s="140"/>
      <c r="GN38" s="140"/>
      <c r="GO38" s="140"/>
      <c r="GP38" s="140"/>
      <c r="GQ38" s="140"/>
      <c r="GR38" s="140"/>
      <c r="GS38" s="140"/>
      <c r="GT38" s="140"/>
      <c r="GU38" s="140"/>
      <c r="GV38" s="140"/>
      <c r="GW38" s="140"/>
      <c r="GX38" s="140"/>
      <c r="GY38" s="140"/>
      <c r="GZ38" s="140"/>
      <c r="HA38" s="140"/>
      <c r="HB38" s="140"/>
      <c r="HC38" s="140"/>
      <c r="HD38" s="140"/>
      <c r="HE38" s="140"/>
      <c r="HF38" s="140"/>
      <c r="HG38" s="140"/>
      <c r="HH38" s="140"/>
      <c r="HI38" s="140"/>
      <c r="HJ38" s="140"/>
      <c r="HK38" s="140"/>
      <c r="HL38" s="140"/>
      <c r="HM38" s="140"/>
      <c r="HN38" s="140"/>
      <c r="HO38" s="140"/>
      <c r="HP38" s="140"/>
      <c r="HQ38" s="140"/>
      <c r="HR38" s="140"/>
      <c r="HS38" s="140"/>
      <c r="HT38" s="140"/>
      <c r="HU38" s="140"/>
      <c r="HV38" s="140"/>
      <c r="HW38" s="140"/>
      <c r="HX38" s="140"/>
      <c r="HY38" s="140"/>
      <c r="HZ38" s="140"/>
      <c r="IA38" s="140"/>
      <c r="IB38" s="140"/>
      <c r="IC38" s="140"/>
      <c r="ID38" s="140"/>
      <c r="IE38" s="140"/>
      <c r="IF38" s="140"/>
      <c r="IG38" s="140"/>
      <c r="IH38" s="140"/>
      <c r="II38" s="140"/>
      <c r="IJ38" s="140"/>
      <c r="IK38" s="140"/>
      <c r="IL38" s="140"/>
      <c r="IM38" s="140"/>
      <c r="IN38" s="140"/>
      <c r="IO38" s="140"/>
      <c r="IP38" s="140"/>
      <c r="IQ38" s="140"/>
      <c r="IR38" s="140"/>
      <c r="IS38" s="140"/>
      <c r="IT38" s="140"/>
      <c r="IU38" s="140"/>
      <c r="IV38" s="140"/>
    </row>
    <row r="39" spans="1:256" ht="32.1" customHeight="1" x14ac:dyDescent="0.2">
      <c r="A39" s="412" t="s">
        <v>3943</v>
      </c>
      <c r="B39" s="385" t="s">
        <v>2</v>
      </c>
      <c r="C39" s="419" t="s">
        <v>1999</v>
      </c>
      <c r="D39" s="364">
        <v>256</v>
      </c>
      <c r="E39" s="415"/>
      <c r="F39" s="415"/>
      <c r="G39" s="415"/>
      <c r="H39" s="415"/>
      <c r="I39" s="415"/>
      <c r="J39" s="415"/>
      <c r="K39" s="415"/>
      <c r="L39" s="415"/>
      <c r="M39" s="415"/>
      <c r="N39" s="415"/>
      <c r="O39" s="415"/>
      <c r="P39" s="415">
        <v>97.35</v>
      </c>
      <c r="Q39" s="416">
        <f t="shared" si="0"/>
        <v>97.35</v>
      </c>
      <c r="R39" s="375" t="str">
        <f t="shared" si="1"/>
        <v>NO</v>
      </c>
      <c r="S39" s="417" t="str">
        <f t="shared" si="2"/>
        <v>Inviable Sanitariamente</v>
      </c>
      <c r="T39" s="139"/>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40"/>
      <c r="CM39" s="140"/>
      <c r="CN39" s="140"/>
      <c r="CO39" s="140"/>
      <c r="CP39" s="140"/>
      <c r="CQ39" s="140"/>
      <c r="CR39" s="140"/>
      <c r="CS39" s="140"/>
      <c r="CT39" s="140"/>
      <c r="CU39" s="140"/>
      <c r="CV39" s="140"/>
      <c r="CW39" s="140"/>
      <c r="CX39" s="140"/>
      <c r="CY39" s="140"/>
      <c r="CZ39" s="140"/>
      <c r="DA39" s="140"/>
      <c r="DB39" s="140"/>
      <c r="DC39" s="140"/>
      <c r="DD39" s="140"/>
      <c r="DE39" s="140"/>
      <c r="DF39" s="140"/>
      <c r="DG39" s="140"/>
      <c r="DH39" s="140"/>
      <c r="DI39" s="140"/>
      <c r="DJ39" s="140"/>
      <c r="DK39" s="140"/>
      <c r="DL39" s="140"/>
      <c r="DM39" s="140"/>
      <c r="DN39" s="140"/>
      <c r="DO39" s="140"/>
      <c r="DP39" s="140"/>
      <c r="DQ39" s="140"/>
      <c r="DR39" s="140"/>
      <c r="DS39" s="140"/>
      <c r="DT39" s="140"/>
      <c r="DU39" s="140"/>
      <c r="DV39" s="140"/>
      <c r="DW39" s="140"/>
      <c r="DX39" s="140"/>
      <c r="DY39" s="140"/>
      <c r="DZ39" s="140"/>
      <c r="EA39" s="140"/>
      <c r="EB39" s="140"/>
      <c r="EC39" s="140"/>
      <c r="ED39" s="140"/>
      <c r="EE39" s="140"/>
      <c r="EF39" s="140"/>
      <c r="EG39" s="140"/>
      <c r="EH39" s="140"/>
      <c r="EI39" s="140"/>
      <c r="EJ39" s="140"/>
      <c r="EK39" s="140"/>
      <c r="EL39" s="140"/>
      <c r="EM39" s="140"/>
      <c r="EN39" s="140"/>
      <c r="EO39" s="140"/>
      <c r="EP39" s="140"/>
      <c r="EQ39" s="140"/>
      <c r="ER39" s="140"/>
      <c r="ES39" s="140"/>
      <c r="ET39" s="140"/>
      <c r="EU39" s="140"/>
      <c r="EV39" s="140"/>
      <c r="EW39" s="140"/>
      <c r="EX39" s="140"/>
      <c r="EY39" s="140"/>
      <c r="EZ39" s="140"/>
      <c r="FA39" s="140"/>
      <c r="FB39" s="140"/>
      <c r="FC39" s="140"/>
      <c r="FD39" s="140"/>
      <c r="FE39" s="140"/>
      <c r="FF39" s="140"/>
      <c r="FG39" s="140"/>
      <c r="FH39" s="140"/>
      <c r="FI39" s="140"/>
      <c r="FJ39" s="140"/>
      <c r="FK39" s="140"/>
      <c r="FL39" s="140"/>
      <c r="FM39" s="140"/>
      <c r="FN39" s="140"/>
      <c r="FO39" s="140"/>
      <c r="FP39" s="140"/>
      <c r="FQ39" s="140"/>
      <c r="FR39" s="140"/>
      <c r="FS39" s="140"/>
      <c r="FT39" s="140"/>
      <c r="FU39" s="140"/>
      <c r="FV39" s="140"/>
      <c r="FW39" s="140"/>
      <c r="FX39" s="140"/>
      <c r="FY39" s="140"/>
      <c r="FZ39" s="140"/>
      <c r="GA39" s="140"/>
      <c r="GB39" s="140"/>
      <c r="GC39" s="140"/>
      <c r="GD39" s="140"/>
      <c r="GE39" s="140"/>
      <c r="GF39" s="140"/>
      <c r="GG39" s="140"/>
      <c r="GH39" s="140"/>
      <c r="GI39" s="140"/>
      <c r="GJ39" s="140"/>
      <c r="GK39" s="140"/>
      <c r="GL39" s="140"/>
      <c r="GM39" s="140"/>
      <c r="GN39" s="140"/>
      <c r="GO39" s="140"/>
      <c r="GP39" s="140"/>
      <c r="GQ39" s="140"/>
      <c r="GR39" s="140"/>
      <c r="GS39" s="140"/>
      <c r="GT39" s="140"/>
      <c r="GU39" s="140"/>
      <c r="GV39" s="140"/>
      <c r="GW39" s="140"/>
      <c r="GX39" s="140"/>
      <c r="GY39" s="140"/>
      <c r="GZ39" s="140"/>
      <c r="HA39" s="140"/>
      <c r="HB39" s="140"/>
      <c r="HC39" s="140"/>
      <c r="HD39" s="140"/>
      <c r="HE39" s="140"/>
      <c r="HF39" s="140"/>
      <c r="HG39" s="140"/>
      <c r="HH39" s="140"/>
      <c r="HI39" s="140"/>
      <c r="HJ39" s="140"/>
      <c r="HK39" s="140"/>
      <c r="HL39" s="140"/>
      <c r="HM39" s="140"/>
      <c r="HN39" s="140"/>
      <c r="HO39" s="140"/>
      <c r="HP39" s="140"/>
      <c r="HQ39" s="140"/>
      <c r="HR39" s="140"/>
      <c r="HS39" s="140"/>
      <c r="HT39" s="140"/>
      <c r="HU39" s="140"/>
      <c r="HV39" s="140"/>
      <c r="HW39" s="140"/>
      <c r="HX39" s="140"/>
      <c r="HY39" s="140"/>
      <c r="HZ39" s="140"/>
      <c r="IA39" s="140"/>
      <c r="IB39" s="140"/>
      <c r="IC39" s="140"/>
      <c r="ID39" s="140"/>
      <c r="IE39" s="140"/>
      <c r="IF39" s="140"/>
      <c r="IG39" s="140"/>
      <c r="IH39" s="140"/>
      <c r="II39" s="140"/>
      <c r="IJ39" s="140"/>
      <c r="IK39" s="140"/>
      <c r="IL39" s="140"/>
      <c r="IM39" s="140"/>
      <c r="IN39" s="140"/>
      <c r="IO39" s="140"/>
      <c r="IP39" s="140"/>
      <c r="IQ39" s="140"/>
      <c r="IR39" s="140"/>
      <c r="IS39" s="140"/>
      <c r="IT39" s="140"/>
      <c r="IU39" s="140"/>
      <c r="IV39" s="140"/>
    </row>
    <row r="40" spans="1:256" ht="32.1" customHeight="1" x14ac:dyDescent="0.2">
      <c r="A40" s="412" t="s">
        <v>3943</v>
      </c>
      <c r="B40" s="385" t="s">
        <v>1659</v>
      </c>
      <c r="C40" s="419" t="s">
        <v>2000</v>
      </c>
      <c r="D40" s="364">
        <v>208</v>
      </c>
      <c r="E40" s="415"/>
      <c r="F40" s="415"/>
      <c r="G40" s="415"/>
      <c r="H40" s="415"/>
      <c r="I40" s="415"/>
      <c r="J40" s="415"/>
      <c r="K40" s="415"/>
      <c r="L40" s="415"/>
      <c r="M40" s="415"/>
      <c r="N40" s="415"/>
      <c r="O40" s="415"/>
      <c r="P40" s="415">
        <v>97.35</v>
      </c>
      <c r="Q40" s="416">
        <f t="shared" si="0"/>
        <v>97.35</v>
      </c>
      <c r="R40" s="375" t="str">
        <f t="shared" si="1"/>
        <v>NO</v>
      </c>
      <c r="S40" s="417" t="str">
        <f t="shared" si="2"/>
        <v>Inviable Sanitariamente</v>
      </c>
      <c r="T40" s="139"/>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40"/>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c r="DT40" s="140"/>
      <c r="DU40" s="140"/>
      <c r="DV40" s="140"/>
      <c r="DW40" s="140"/>
      <c r="DX40" s="140"/>
      <c r="DY40" s="140"/>
      <c r="DZ40" s="140"/>
      <c r="EA40" s="140"/>
      <c r="EB40" s="140"/>
      <c r="EC40" s="140"/>
      <c r="ED40" s="140"/>
      <c r="EE40" s="140"/>
      <c r="EF40" s="140"/>
      <c r="EG40" s="140"/>
      <c r="EH40" s="140"/>
      <c r="EI40" s="140"/>
      <c r="EJ40" s="140"/>
      <c r="EK40" s="140"/>
      <c r="EL40" s="140"/>
      <c r="EM40" s="140"/>
      <c r="EN40" s="140"/>
      <c r="EO40" s="140"/>
      <c r="EP40" s="140"/>
      <c r="EQ40" s="140"/>
      <c r="ER40" s="140"/>
      <c r="ES40" s="140"/>
      <c r="ET40" s="140"/>
      <c r="EU40" s="140"/>
      <c r="EV40" s="140"/>
      <c r="EW40" s="140"/>
      <c r="EX40" s="140"/>
      <c r="EY40" s="140"/>
      <c r="EZ40" s="140"/>
      <c r="FA40" s="140"/>
      <c r="FB40" s="140"/>
      <c r="FC40" s="140"/>
      <c r="FD40" s="140"/>
      <c r="FE40" s="140"/>
      <c r="FF40" s="140"/>
      <c r="FG40" s="140"/>
      <c r="FH40" s="140"/>
      <c r="FI40" s="140"/>
      <c r="FJ40" s="140"/>
      <c r="FK40" s="140"/>
      <c r="FL40" s="140"/>
      <c r="FM40" s="140"/>
      <c r="FN40" s="140"/>
      <c r="FO40" s="140"/>
      <c r="FP40" s="140"/>
      <c r="FQ40" s="140"/>
      <c r="FR40" s="140"/>
      <c r="FS40" s="140"/>
      <c r="FT40" s="140"/>
      <c r="FU40" s="140"/>
      <c r="FV40" s="140"/>
      <c r="FW40" s="140"/>
      <c r="FX40" s="140"/>
      <c r="FY40" s="140"/>
      <c r="FZ40" s="140"/>
      <c r="GA40" s="140"/>
      <c r="GB40" s="140"/>
      <c r="GC40" s="140"/>
      <c r="GD40" s="140"/>
      <c r="GE40" s="140"/>
      <c r="GF40" s="140"/>
      <c r="GG40" s="140"/>
      <c r="GH40" s="140"/>
      <c r="GI40" s="140"/>
      <c r="GJ40" s="140"/>
      <c r="GK40" s="140"/>
      <c r="GL40" s="140"/>
      <c r="GM40" s="140"/>
      <c r="GN40" s="140"/>
      <c r="GO40" s="140"/>
      <c r="GP40" s="140"/>
      <c r="GQ40" s="140"/>
      <c r="GR40" s="140"/>
      <c r="GS40" s="140"/>
      <c r="GT40" s="140"/>
      <c r="GU40" s="140"/>
      <c r="GV40" s="140"/>
      <c r="GW40" s="140"/>
      <c r="GX40" s="140"/>
      <c r="GY40" s="140"/>
      <c r="GZ40" s="140"/>
      <c r="HA40" s="140"/>
      <c r="HB40" s="140"/>
      <c r="HC40" s="140"/>
      <c r="HD40" s="140"/>
      <c r="HE40" s="140"/>
      <c r="HF40" s="140"/>
      <c r="HG40" s="140"/>
      <c r="HH40" s="140"/>
      <c r="HI40" s="140"/>
      <c r="HJ40" s="140"/>
      <c r="HK40" s="140"/>
      <c r="HL40" s="140"/>
      <c r="HM40" s="140"/>
      <c r="HN40" s="140"/>
      <c r="HO40" s="140"/>
      <c r="HP40" s="140"/>
      <c r="HQ40" s="140"/>
      <c r="HR40" s="140"/>
      <c r="HS40" s="140"/>
      <c r="HT40" s="140"/>
      <c r="HU40" s="140"/>
      <c r="HV40" s="140"/>
      <c r="HW40" s="140"/>
      <c r="HX40" s="140"/>
      <c r="HY40" s="140"/>
      <c r="HZ40" s="140"/>
      <c r="IA40" s="140"/>
      <c r="IB40" s="140"/>
      <c r="IC40" s="140"/>
      <c r="ID40" s="140"/>
      <c r="IE40" s="140"/>
      <c r="IF40" s="140"/>
      <c r="IG40" s="140"/>
      <c r="IH40" s="140"/>
      <c r="II40" s="140"/>
      <c r="IJ40" s="140"/>
      <c r="IK40" s="140"/>
      <c r="IL40" s="140"/>
      <c r="IM40" s="140"/>
      <c r="IN40" s="140"/>
      <c r="IO40" s="140"/>
      <c r="IP40" s="140"/>
      <c r="IQ40" s="140"/>
      <c r="IR40" s="140"/>
      <c r="IS40" s="140"/>
      <c r="IT40" s="140"/>
      <c r="IU40" s="140"/>
      <c r="IV40" s="140"/>
    </row>
    <row r="41" spans="1:256" ht="32.1" customHeight="1" x14ac:dyDescent="0.2">
      <c r="A41" s="412" t="s">
        <v>3943</v>
      </c>
      <c r="B41" s="385" t="s">
        <v>1660</v>
      </c>
      <c r="C41" s="378" t="s">
        <v>1661</v>
      </c>
      <c r="D41" s="364">
        <v>35</v>
      </c>
      <c r="E41" s="415"/>
      <c r="F41" s="415"/>
      <c r="G41" s="415"/>
      <c r="H41" s="415"/>
      <c r="I41" s="415"/>
      <c r="J41" s="415"/>
      <c r="K41" s="415"/>
      <c r="L41" s="415"/>
      <c r="M41" s="415">
        <v>97.35</v>
      </c>
      <c r="N41" s="415"/>
      <c r="O41" s="415"/>
      <c r="P41" s="415"/>
      <c r="Q41" s="416">
        <f t="shared" si="0"/>
        <v>97.35</v>
      </c>
      <c r="R41" s="375" t="str">
        <f t="shared" si="1"/>
        <v>NO</v>
      </c>
      <c r="S41" s="417" t="str">
        <f t="shared" si="2"/>
        <v>Inviable Sanitariamente</v>
      </c>
      <c r="T41" s="139"/>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140"/>
      <c r="CS41" s="140"/>
      <c r="CT41" s="140"/>
      <c r="CU41" s="140"/>
      <c r="CV41" s="140"/>
      <c r="CW41" s="140"/>
      <c r="CX41" s="140"/>
      <c r="CY41" s="140"/>
      <c r="CZ41" s="140"/>
      <c r="DA41" s="140"/>
      <c r="DB41" s="140"/>
      <c r="DC41" s="140"/>
      <c r="DD41" s="140"/>
      <c r="DE41" s="140"/>
      <c r="DF41" s="140"/>
      <c r="DG41" s="140"/>
      <c r="DH41" s="140"/>
      <c r="DI41" s="140"/>
      <c r="DJ41" s="140"/>
      <c r="DK41" s="140"/>
      <c r="DL41" s="140"/>
      <c r="DM41" s="140"/>
      <c r="DN41" s="140"/>
      <c r="DO41" s="140"/>
      <c r="DP41" s="140"/>
      <c r="DQ41" s="140"/>
      <c r="DR41" s="140"/>
      <c r="DS41" s="140"/>
      <c r="DT41" s="140"/>
      <c r="DU41" s="140"/>
      <c r="DV41" s="140"/>
      <c r="DW41" s="140"/>
      <c r="DX41" s="140"/>
      <c r="DY41" s="140"/>
      <c r="DZ41" s="140"/>
      <c r="EA41" s="140"/>
      <c r="EB41" s="140"/>
      <c r="EC41" s="140"/>
      <c r="ED41" s="140"/>
      <c r="EE41" s="140"/>
      <c r="EF41" s="140"/>
      <c r="EG41" s="140"/>
      <c r="EH41" s="140"/>
      <c r="EI41" s="140"/>
      <c r="EJ41" s="140"/>
      <c r="EK41" s="140"/>
      <c r="EL41" s="140"/>
      <c r="EM41" s="140"/>
      <c r="EN41" s="140"/>
      <c r="EO41" s="140"/>
      <c r="EP41" s="140"/>
      <c r="EQ41" s="140"/>
      <c r="ER41" s="140"/>
      <c r="ES41" s="140"/>
      <c r="ET41" s="140"/>
      <c r="EU41" s="140"/>
      <c r="EV41" s="140"/>
      <c r="EW41" s="140"/>
      <c r="EX41" s="140"/>
      <c r="EY41" s="140"/>
      <c r="EZ41" s="140"/>
      <c r="FA41" s="140"/>
      <c r="FB41" s="140"/>
      <c r="FC41" s="140"/>
      <c r="FD41" s="140"/>
      <c r="FE41" s="140"/>
      <c r="FF41" s="140"/>
      <c r="FG41" s="140"/>
      <c r="FH41" s="140"/>
      <c r="FI41" s="140"/>
      <c r="FJ41" s="140"/>
      <c r="FK41" s="140"/>
      <c r="FL41" s="140"/>
      <c r="FM41" s="140"/>
      <c r="FN41" s="140"/>
      <c r="FO41" s="140"/>
      <c r="FP41" s="140"/>
      <c r="FQ41" s="140"/>
      <c r="FR41" s="140"/>
      <c r="FS41" s="140"/>
      <c r="FT41" s="140"/>
      <c r="FU41" s="140"/>
      <c r="FV41" s="140"/>
      <c r="FW41" s="140"/>
      <c r="FX41" s="140"/>
      <c r="FY41" s="140"/>
      <c r="FZ41" s="140"/>
      <c r="GA41" s="140"/>
      <c r="GB41" s="140"/>
      <c r="GC41" s="140"/>
      <c r="GD41" s="140"/>
      <c r="GE41" s="140"/>
      <c r="GF41" s="140"/>
      <c r="GG41" s="140"/>
      <c r="GH41" s="140"/>
      <c r="GI41" s="140"/>
      <c r="GJ41" s="140"/>
      <c r="GK41" s="140"/>
      <c r="GL41" s="140"/>
      <c r="GM41" s="140"/>
      <c r="GN41" s="140"/>
      <c r="GO41" s="140"/>
      <c r="GP41" s="140"/>
      <c r="GQ41" s="140"/>
      <c r="GR41" s="140"/>
      <c r="GS41" s="140"/>
      <c r="GT41" s="140"/>
      <c r="GU41" s="140"/>
      <c r="GV41" s="140"/>
      <c r="GW41" s="140"/>
      <c r="GX41" s="140"/>
      <c r="GY41" s="140"/>
      <c r="GZ41" s="140"/>
      <c r="HA41" s="140"/>
      <c r="HB41" s="140"/>
      <c r="HC41" s="140"/>
      <c r="HD41" s="140"/>
      <c r="HE41" s="140"/>
      <c r="HF41" s="140"/>
      <c r="HG41" s="140"/>
      <c r="HH41" s="140"/>
      <c r="HI41" s="140"/>
      <c r="HJ41" s="140"/>
      <c r="HK41" s="140"/>
      <c r="HL41" s="140"/>
      <c r="HM41" s="140"/>
      <c r="HN41" s="140"/>
      <c r="HO41" s="140"/>
      <c r="HP41" s="140"/>
      <c r="HQ41" s="140"/>
      <c r="HR41" s="140"/>
      <c r="HS41" s="140"/>
      <c r="HT41" s="140"/>
      <c r="HU41" s="140"/>
      <c r="HV41" s="140"/>
      <c r="HW41" s="140"/>
      <c r="HX41" s="140"/>
      <c r="HY41" s="140"/>
      <c r="HZ41" s="140"/>
      <c r="IA41" s="140"/>
      <c r="IB41" s="140"/>
      <c r="IC41" s="140"/>
      <c r="ID41" s="140"/>
      <c r="IE41" s="140"/>
      <c r="IF41" s="140"/>
      <c r="IG41" s="140"/>
      <c r="IH41" s="140"/>
      <c r="II41" s="140"/>
      <c r="IJ41" s="140"/>
      <c r="IK41" s="140"/>
      <c r="IL41" s="140"/>
      <c r="IM41" s="140"/>
      <c r="IN41" s="140"/>
      <c r="IO41" s="140"/>
      <c r="IP41" s="140"/>
      <c r="IQ41" s="140"/>
      <c r="IR41" s="140"/>
      <c r="IS41" s="140"/>
      <c r="IT41" s="140"/>
      <c r="IU41" s="140"/>
      <c r="IV41" s="140"/>
    </row>
    <row r="42" spans="1:256" ht="32.1" customHeight="1" x14ac:dyDescent="0.2">
      <c r="A42" s="412" t="s">
        <v>3943</v>
      </c>
      <c r="B42" s="385" t="s">
        <v>1662</v>
      </c>
      <c r="C42" s="419" t="s">
        <v>4618</v>
      </c>
      <c r="D42" s="364">
        <v>90</v>
      </c>
      <c r="E42" s="415"/>
      <c r="F42" s="415"/>
      <c r="G42" s="415"/>
      <c r="H42" s="415"/>
      <c r="I42" s="415"/>
      <c r="J42" s="415"/>
      <c r="K42" s="415"/>
      <c r="L42" s="415">
        <v>55.75</v>
      </c>
      <c r="M42" s="415"/>
      <c r="N42" s="415"/>
      <c r="O42" s="415"/>
      <c r="P42" s="415"/>
      <c r="Q42" s="416">
        <f t="shared" si="0"/>
        <v>55.75</v>
      </c>
      <c r="R42" s="375" t="str">
        <f t="shared" si="1"/>
        <v>NO</v>
      </c>
      <c r="S42" s="417" t="str">
        <f t="shared" si="2"/>
        <v>Alto</v>
      </c>
      <c r="T42" s="139"/>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c r="DP42" s="140"/>
      <c r="DQ42" s="140"/>
      <c r="DR42" s="140"/>
      <c r="DS42" s="140"/>
      <c r="DT42" s="140"/>
      <c r="DU42" s="140"/>
      <c r="DV42" s="140"/>
      <c r="DW42" s="140"/>
      <c r="DX42" s="140"/>
      <c r="DY42" s="140"/>
      <c r="DZ42" s="140"/>
      <c r="EA42" s="140"/>
      <c r="EB42" s="140"/>
      <c r="EC42" s="140"/>
      <c r="ED42" s="140"/>
      <c r="EE42" s="140"/>
      <c r="EF42" s="140"/>
      <c r="EG42" s="140"/>
      <c r="EH42" s="140"/>
      <c r="EI42" s="140"/>
      <c r="EJ42" s="140"/>
      <c r="EK42" s="140"/>
      <c r="EL42" s="140"/>
      <c r="EM42" s="140"/>
      <c r="EN42" s="140"/>
      <c r="EO42" s="140"/>
      <c r="EP42" s="140"/>
      <c r="EQ42" s="140"/>
      <c r="ER42" s="140"/>
      <c r="ES42" s="140"/>
      <c r="ET42" s="140"/>
      <c r="EU42" s="140"/>
      <c r="EV42" s="140"/>
      <c r="EW42" s="140"/>
      <c r="EX42" s="140"/>
      <c r="EY42" s="140"/>
      <c r="EZ42" s="140"/>
      <c r="FA42" s="140"/>
      <c r="FB42" s="140"/>
      <c r="FC42" s="140"/>
      <c r="FD42" s="140"/>
      <c r="FE42" s="140"/>
      <c r="FF42" s="140"/>
      <c r="FG42" s="140"/>
      <c r="FH42" s="140"/>
      <c r="FI42" s="140"/>
      <c r="FJ42" s="140"/>
      <c r="FK42" s="140"/>
      <c r="FL42" s="140"/>
      <c r="FM42" s="140"/>
      <c r="FN42" s="140"/>
      <c r="FO42" s="140"/>
      <c r="FP42" s="140"/>
      <c r="FQ42" s="140"/>
      <c r="FR42" s="140"/>
      <c r="FS42" s="140"/>
      <c r="FT42" s="140"/>
      <c r="FU42" s="140"/>
      <c r="FV42" s="140"/>
      <c r="FW42" s="140"/>
      <c r="FX42" s="140"/>
      <c r="FY42" s="140"/>
      <c r="FZ42" s="140"/>
      <c r="GA42" s="140"/>
      <c r="GB42" s="140"/>
      <c r="GC42" s="140"/>
      <c r="GD42" s="140"/>
      <c r="GE42" s="140"/>
      <c r="GF42" s="140"/>
      <c r="GG42" s="140"/>
      <c r="GH42" s="140"/>
      <c r="GI42" s="140"/>
      <c r="GJ42" s="140"/>
      <c r="GK42" s="140"/>
      <c r="GL42" s="140"/>
      <c r="GM42" s="140"/>
      <c r="GN42" s="140"/>
      <c r="GO42" s="140"/>
      <c r="GP42" s="140"/>
      <c r="GQ42" s="140"/>
      <c r="GR42" s="140"/>
      <c r="GS42" s="140"/>
      <c r="GT42" s="140"/>
      <c r="GU42" s="140"/>
      <c r="GV42" s="140"/>
      <c r="GW42" s="140"/>
      <c r="GX42" s="140"/>
      <c r="GY42" s="140"/>
      <c r="GZ42" s="140"/>
      <c r="HA42" s="140"/>
      <c r="HB42" s="140"/>
      <c r="HC42" s="140"/>
      <c r="HD42" s="140"/>
      <c r="HE42" s="140"/>
      <c r="HF42" s="140"/>
      <c r="HG42" s="140"/>
      <c r="HH42" s="140"/>
      <c r="HI42" s="140"/>
      <c r="HJ42" s="140"/>
      <c r="HK42" s="140"/>
      <c r="HL42" s="140"/>
      <c r="HM42" s="140"/>
      <c r="HN42" s="140"/>
      <c r="HO42" s="140"/>
      <c r="HP42" s="140"/>
      <c r="HQ42" s="140"/>
      <c r="HR42" s="140"/>
      <c r="HS42" s="140"/>
      <c r="HT42" s="140"/>
      <c r="HU42" s="140"/>
      <c r="HV42" s="140"/>
      <c r="HW42" s="140"/>
      <c r="HX42" s="140"/>
      <c r="HY42" s="140"/>
      <c r="HZ42" s="140"/>
      <c r="IA42" s="140"/>
      <c r="IB42" s="140"/>
      <c r="IC42" s="140"/>
      <c r="ID42" s="140"/>
      <c r="IE42" s="140"/>
      <c r="IF42" s="140"/>
      <c r="IG42" s="140"/>
      <c r="IH42" s="140"/>
      <c r="II42" s="140"/>
      <c r="IJ42" s="140"/>
      <c r="IK42" s="140"/>
      <c r="IL42" s="140"/>
      <c r="IM42" s="140"/>
      <c r="IN42" s="140"/>
      <c r="IO42" s="140"/>
      <c r="IP42" s="140"/>
      <c r="IQ42" s="140"/>
      <c r="IR42" s="140"/>
      <c r="IS42" s="140"/>
      <c r="IT42" s="140"/>
      <c r="IU42" s="140"/>
      <c r="IV42" s="140"/>
    </row>
    <row r="43" spans="1:256" ht="32.1" customHeight="1" x14ac:dyDescent="0.2">
      <c r="A43" s="412" t="s">
        <v>3943</v>
      </c>
      <c r="B43" s="385" t="s">
        <v>1663</v>
      </c>
      <c r="C43" s="419" t="s">
        <v>2001</v>
      </c>
      <c r="D43" s="364">
        <v>40</v>
      </c>
      <c r="E43" s="415"/>
      <c r="F43" s="415"/>
      <c r="G43" s="415"/>
      <c r="H43" s="415"/>
      <c r="I43" s="415"/>
      <c r="J43" s="415"/>
      <c r="K43" s="415"/>
      <c r="L43" s="415">
        <v>97.35</v>
      </c>
      <c r="M43" s="415"/>
      <c r="N43" s="415"/>
      <c r="O43" s="415"/>
      <c r="P43" s="415"/>
      <c r="Q43" s="416">
        <f t="shared" si="0"/>
        <v>97.35</v>
      </c>
      <c r="R43" s="375" t="str">
        <f t="shared" ref="R43:R74" si="3">IF(Q43&lt;5,"SI","NO")</f>
        <v>NO</v>
      </c>
      <c r="S43" s="417" t="str">
        <f t="shared" si="2"/>
        <v>Inviable Sanitariamente</v>
      </c>
      <c r="T43" s="139"/>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c r="DP43" s="140"/>
      <c r="DQ43" s="140"/>
      <c r="DR43" s="140"/>
      <c r="DS43" s="140"/>
      <c r="DT43" s="140"/>
      <c r="DU43" s="140"/>
      <c r="DV43" s="140"/>
      <c r="DW43" s="140"/>
      <c r="DX43" s="140"/>
      <c r="DY43" s="140"/>
      <c r="DZ43" s="140"/>
      <c r="EA43" s="140"/>
      <c r="EB43" s="140"/>
      <c r="EC43" s="140"/>
      <c r="ED43" s="140"/>
      <c r="EE43" s="140"/>
      <c r="EF43" s="140"/>
      <c r="EG43" s="140"/>
      <c r="EH43" s="140"/>
      <c r="EI43" s="140"/>
      <c r="EJ43" s="140"/>
      <c r="EK43" s="140"/>
      <c r="EL43" s="140"/>
      <c r="EM43" s="140"/>
      <c r="EN43" s="140"/>
      <c r="EO43" s="140"/>
      <c r="EP43" s="140"/>
      <c r="EQ43" s="140"/>
      <c r="ER43" s="140"/>
      <c r="ES43" s="140"/>
      <c r="ET43" s="140"/>
      <c r="EU43" s="140"/>
      <c r="EV43" s="140"/>
      <c r="EW43" s="140"/>
      <c r="EX43" s="140"/>
      <c r="EY43" s="140"/>
      <c r="EZ43" s="140"/>
      <c r="FA43" s="140"/>
      <c r="FB43" s="140"/>
      <c r="FC43" s="140"/>
      <c r="FD43" s="140"/>
      <c r="FE43" s="140"/>
      <c r="FF43" s="140"/>
      <c r="FG43" s="140"/>
      <c r="FH43" s="140"/>
      <c r="FI43" s="140"/>
      <c r="FJ43" s="140"/>
      <c r="FK43" s="140"/>
      <c r="FL43" s="140"/>
      <c r="FM43" s="140"/>
      <c r="FN43" s="140"/>
      <c r="FO43" s="140"/>
      <c r="FP43" s="140"/>
      <c r="FQ43" s="140"/>
      <c r="FR43" s="140"/>
      <c r="FS43" s="140"/>
      <c r="FT43" s="140"/>
      <c r="FU43" s="140"/>
      <c r="FV43" s="140"/>
      <c r="FW43" s="140"/>
      <c r="FX43" s="140"/>
      <c r="FY43" s="140"/>
      <c r="FZ43" s="140"/>
      <c r="GA43" s="140"/>
      <c r="GB43" s="140"/>
      <c r="GC43" s="140"/>
      <c r="GD43" s="140"/>
      <c r="GE43" s="140"/>
      <c r="GF43" s="140"/>
      <c r="GG43" s="140"/>
      <c r="GH43" s="140"/>
      <c r="GI43" s="140"/>
      <c r="GJ43" s="140"/>
      <c r="GK43" s="140"/>
      <c r="GL43" s="140"/>
      <c r="GM43" s="140"/>
      <c r="GN43" s="140"/>
      <c r="GO43" s="140"/>
      <c r="GP43" s="140"/>
      <c r="GQ43" s="140"/>
      <c r="GR43" s="140"/>
      <c r="GS43" s="140"/>
      <c r="GT43" s="140"/>
      <c r="GU43" s="140"/>
      <c r="GV43" s="140"/>
      <c r="GW43" s="140"/>
      <c r="GX43" s="140"/>
      <c r="GY43" s="140"/>
      <c r="GZ43" s="140"/>
      <c r="HA43" s="140"/>
      <c r="HB43" s="140"/>
      <c r="HC43" s="140"/>
      <c r="HD43" s="140"/>
      <c r="HE43" s="140"/>
      <c r="HF43" s="140"/>
      <c r="HG43" s="140"/>
      <c r="HH43" s="140"/>
      <c r="HI43" s="140"/>
      <c r="HJ43" s="140"/>
      <c r="HK43" s="140"/>
      <c r="HL43" s="140"/>
      <c r="HM43" s="140"/>
      <c r="HN43" s="140"/>
      <c r="HO43" s="140"/>
      <c r="HP43" s="140"/>
      <c r="HQ43" s="140"/>
      <c r="HR43" s="140"/>
      <c r="HS43" s="140"/>
      <c r="HT43" s="140"/>
      <c r="HU43" s="140"/>
      <c r="HV43" s="140"/>
      <c r="HW43" s="140"/>
      <c r="HX43" s="140"/>
      <c r="HY43" s="140"/>
      <c r="HZ43" s="140"/>
      <c r="IA43" s="140"/>
      <c r="IB43" s="140"/>
      <c r="IC43" s="140"/>
      <c r="ID43" s="140"/>
      <c r="IE43" s="140"/>
      <c r="IF43" s="140"/>
      <c r="IG43" s="140"/>
      <c r="IH43" s="140"/>
      <c r="II43" s="140"/>
      <c r="IJ43" s="140"/>
      <c r="IK43" s="140"/>
      <c r="IL43" s="140"/>
      <c r="IM43" s="140"/>
      <c r="IN43" s="140"/>
      <c r="IO43" s="140"/>
      <c r="IP43" s="140"/>
      <c r="IQ43" s="140"/>
      <c r="IR43" s="140"/>
      <c r="IS43" s="140"/>
      <c r="IT43" s="140"/>
      <c r="IU43" s="140"/>
      <c r="IV43" s="140"/>
    </row>
    <row r="44" spans="1:256" ht="32.1" customHeight="1" x14ac:dyDescent="0.2">
      <c r="A44" s="412" t="s">
        <v>3943</v>
      </c>
      <c r="B44" s="385" t="s">
        <v>1664</v>
      </c>
      <c r="C44" s="378" t="s">
        <v>1665</v>
      </c>
      <c r="D44" s="413">
        <v>128</v>
      </c>
      <c r="E44" s="415"/>
      <c r="F44" s="415"/>
      <c r="G44" s="415"/>
      <c r="H44" s="415"/>
      <c r="I44" s="415"/>
      <c r="J44" s="415">
        <v>76.92</v>
      </c>
      <c r="K44" s="415"/>
      <c r="L44" s="415"/>
      <c r="M44" s="415"/>
      <c r="N44" s="415"/>
      <c r="O44" s="415"/>
      <c r="P44" s="415"/>
      <c r="Q44" s="416">
        <f t="shared" si="0"/>
        <v>76.92</v>
      </c>
      <c r="R44" s="375" t="str">
        <f t="shared" si="3"/>
        <v>NO</v>
      </c>
      <c r="S44" s="417" t="str">
        <f t="shared" si="2"/>
        <v>Alto</v>
      </c>
      <c r="T44" s="139"/>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c r="DP44" s="140"/>
      <c r="DQ44" s="140"/>
      <c r="DR44" s="140"/>
      <c r="DS44" s="140"/>
      <c r="DT44" s="140"/>
      <c r="DU44" s="140"/>
      <c r="DV44" s="140"/>
      <c r="DW44" s="140"/>
      <c r="DX44" s="140"/>
      <c r="DY44" s="140"/>
      <c r="DZ44" s="140"/>
      <c r="EA44" s="140"/>
      <c r="EB44" s="140"/>
      <c r="EC44" s="140"/>
      <c r="ED44" s="140"/>
      <c r="EE44" s="140"/>
      <c r="EF44" s="140"/>
      <c r="EG44" s="140"/>
      <c r="EH44" s="140"/>
      <c r="EI44" s="140"/>
      <c r="EJ44" s="140"/>
      <c r="EK44" s="140"/>
      <c r="EL44" s="140"/>
      <c r="EM44" s="140"/>
      <c r="EN44" s="140"/>
      <c r="EO44" s="140"/>
      <c r="EP44" s="140"/>
      <c r="EQ44" s="140"/>
      <c r="ER44" s="140"/>
      <c r="ES44" s="140"/>
      <c r="ET44" s="140"/>
      <c r="EU44" s="140"/>
      <c r="EV44" s="140"/>
      <c r="EW44" s="140"/>
      <c r="EX44" s="140"/>
      <c r="EY44" s="140"/>
      <c r="EZ44" s="140"/>
      <c r="FA44" s="140"/>
      <c r="FB44" s="140"/>
      <c r="FC44" s="140"/>
      <c r="FD44" s="140"/>
      <c r="FE44" s="140"/>
      <c r="FF44" s="140"/>
      <c r="FG44" s="140"/>
      <c r="FH44" s="140"/>
      <c r="FI44" s="140"/>
      <c r="FJ44" s="140"/>
      <c r="FK44" s="140"/>
      <c r="FL44" s="140"/>
      <c r="FM44" s="140"/>
      <c r="FN44" s="140"/>
      <c r="FO44" s="140"/>
      <c r="FP44" s="140"/>
      <c r="FQ44" s="140"/>
      <c r="FR44" s="140"/>
      <c r="FS44" s="140"/>
      <c r="FT44" s="140"/>
      <c r="FU44" s="140"/>
      <c r="FV44" s="140"/>
      <c r="FW44" s="140"/>
      <c r="FX44" s="140"/>
      <c r="FY44" s="140"/>
      <c r="FZ44" s="140"/>
      <c r="GA44" s="140"/>
      <c r="GB44" s="140"/>
      <c r="GC44" s="140"/>
      <c r="GD44" s="140"/>
      <c r="GE44" s="140"/>
      <c r="GF44" s="140"/>
      <c r="GG44" s="140"/>
      <c r="GH44" s="140"/>
      <c r="GI44" s="140"/>
      <c r="GJ44" s="140"/>
      <c r="GK44" s="140"/>
      <c r="GL44" s="140"/>
      <c r="GM44" s="140"/>
      <c r="GN44" s="140"/>
      <c r="GO44" s="140"/>
      <c r="GP44" s="140"/>
      <c r="GQ44" s="140"/>
      <c r="GR44" s="140"/>
      <c r="GS44" s="140"/>
      <c r="GT44" s="140"/>
      <c r="GU44" s="140"/>
      <c r="GV44" s="140"/>
      <c r="GW44" s="140"/>
      <c r="GX44" s="140"/>
      <c r="GY44" s="140"/>
      <c r="GZ44" s="140"/>
      <c r="HA44" s="140"/>
      <c r="HB44" s="140"/>
      <c r="HC44" s="140"/>
      <c r="HD44" s="140"/>
      <c r="HE44" s="140"/>
      <c r="HF44" s="140"/>
      <c r="HG44" s="140"/>
      <c r="HH44" s="140"/>
      <c r="HI44" s="140"/>
      <c r="HJ44" s="140"/>
      <c r="HK44" s="140"/>
      <c r="HL44" s="140"/>
      <c r="HM44" s="140"/>
      <c r="HN44" s="140"/>
      <c r="HO44" s="140"/>
      <c r="HP44" s="140"/>
      <c r="HQ44" s="140"/>
      <c r="HR44" s="140"/>
      <c r="HS44" s="140"/>
      <c r="HT44" s="140"/>
      <c r="HU44" s="140"/>
      <c r="HV44" s="140"/>
      <c r="HW44" s="140"/>
      <c r="HX44" s="140"/>
      <c r="HY44" s="140"/>
      <c r="HZ44" s="140"/>
      <c r="IA44" s="140"/>
      <c r="IB44" s="140"/>
      <c r="IC44" s="140"/>
      <c r="ID44" s="140"/>
      <c r="IE44" s="140"/>
      <c r="IF44" s="140"/>
      <c r="IG44" s="140"/>
      <c r="IH44" s="140"/>
      <c r="II44" s="140"/>
      <c r="IJ44" s="140"/>
      <c r="IK44" s="140"/>
      <c r="IL44" s="140"/>
      <c r="IM44" s="140"/>
      <c r="IN44" s="140"/>
      <c r="IO44" s="140"/>
      <c r="IP44" s="140"/>
      <c r="IQ44" s="140"/>
      <c r="IR44" s="140"/>
      <c r="IS44" s="140"/>
      <c r="IT44" s="140"/>
      <c r="IU44" s="140"/>
      <c r="IV44" s="140"/>
    </row>
    <row r="45" spans="1:256" ht="32.1" customHeight="1" x14ac:dyDescent="0.2">
      <c r="A45" s="412" t="s">
        <v>161</v>
      </c>
      <c r="B45" s="385" t="s">
        <v>57</v>
      </c>
      <c r="C45" s="378" t="s">
        <v>1666</v>
      </c>
      <c r="D45" s="364">
        <v>940</v>
      </c>
      <c r="E45" s="415"/>
      <c r="F45" s="415"/>
      <c r="G45" s="415">
        <v>86.57</v>
      </c>
      <c r="H45" s="415"/>
      <c r="I45" s="415"/>
      <c r="J45" s="415"/>
      <c r="K45" s="415"/>
      <c r="L45" s="415"/>
      <c r="M45" s="415"/>
      <c r="N45" s="415"/>
      <c r="O45" s="415"/>
      <c r="P45" s="415"/>
      <c r="Q45" s="416">
        <f t="shared" si="0"/>
        <v>86.57</v>
      </c>
      <c r="R45" s="375" t="str">
        <f t="shared" si="3"/>
        <v>NO</v>
      </c>
      <c r="S45" s="417" t="str">
        <f t="shared" si="2"/>
        <v>Inviable Sanitariamente</v>
      </c>
      <c r="T45" s="15"/>
    </row>
    <row r="46" spans="1:256" ht="32.1" customHeight="1" x14ac:dyDescent="0.2">
      <c r="A46" s="412" t="s">
        <v>161</v>
      </c>
      <c r="B46" s="385" t="s">
        <v>1667</v>
      </c>
      <c r="C46" s="378" t="s">
        <v>1668</v>
      </c>
      <c r="D46" s="364">
        <v>960</v>
      </c>
      <c r="E46" s="415"/>
      <c r="F46" s="415">
        <v>87.3</v>
      </c>
      <c r="G46" s="415"/>
      <c r="H46" s="415"/>
      <c r="I46" s="415"/>
      <c r="J46" s="415"/>
      <c r="K46" s="415"/>
      <c r="L46" s="415"/>
      <c r="M46" s="415"/>
      <c r="N46" s="415"/>
      <c r="O46" s="415"/>
      <c r="P46" s="415"/>
      <c r="Q46" s="416">
        <f t="shared" si="0"/>
        <v>87.3</v>
      </c>
      <c r="R46" s="375" t="str">
        <f t="shared" si="3"/>
        <v>NO</v>
      </c>
      <c r="S46" s="417" t="str">
        <f t="shared" si="2"/>
        <v>Inviable Sanitariamente</v>
      </c>
      <c r="T46" s="15"/>
    </row>
    <row r="47" spans="1:256" ht="32.1" customHeight="1" x14ac:dyDescent="0.2">
      <c r="A47" s="412" t="s">
        <v>161</v>
      </c>
      <c r="B47" s="421" t="s">
        <v>1669</v>
      </c>
      <c r="C47" s="420" t="s">
        <v>1670</v>
      </c>
      <c r="D47" s="372">
        <v>680</v>
      </c>
      <c r="E47" s="415"/>
      <c r="F47" s="415">
        <v>72.22</v>
      </c>
      <c r="G47" s="415"/>
      <c r="H47" s="415"/>
      <c r="I47" s="415"/>
      <c r="J47" s="415"/>
      <c r="K47" s="415"/>
      <c r="L47" s="415"/>
      <c r="M47" s="415"/>
      <c r="N47" s="415"/>
      <c r="O47" s="415"/>
      <c r="P47" s="415"/>
      <c r="Q47" s="416">
        <f t="shared" si="0"/>
        <v>72.22</v>
      </c>
      <c r="R47" s="375" t="str">
        <f t="shared" si="3"/>
        <v>NO</v>
      </c>
      <c r="S47" s="417" t="str">
        <f t="shared" si="2"/>
        <v>Alto</v>
      </c>
      <c r="T47" s="15"/>
    </row>
    <row r="48" spans="1:256" ht="32.1" customHeight="1" x14ac:dyDescent="0.2">
      <c r="A48" s="412" t="s">
        <v>161</v>
      </c>
      <c r="B48" s="412" t="s">
        <v>1671</v>
      </c>
      <c r="C48" s="419" t="s">
        <v>1672</v>
      </c>
      <c r="D48" s="413">
        <v>160</v>
      </c>
      <c r="E48" s="415"/>
      <c r="F48" s="415">
        <v>62.05</v>
      </c>
      <c r="G48" s="415"/>
      <c r="H48" s="415"/>
      <c r="I48" s="415"/>
      <c r="J48" s="415"/>
      <c r="K48" s="415"/>
      <c r="L48" s="415"/>
      <c r="M48" s="415"/>
      <c r="N48" s="415"/>
      <c r="O48" s="422"/>
      <c r="P48" s="415"/>
      <c r="Q48" s="423">
        <f>AVERAGE(E48:P48)</f>
        <v>62.05</v>
      </c>
      <c r="R48" s="375" t="str">
        <f t="shared" si="3"/>
        <v>NO</v>
      </c>
      <c r="S48" s="417" t="str">
        <f t="shared" si="2"/>
        <v>Alto</v>
      </c>
      <c r="T48" s="15"/>
    </row>
    <row r="49" spans="1:20" ht="32.1" customHeight="1" x14ac:dyDescent="0.2">
      <c r="A49" s="412" t="s">
        <v>161</v>
      </c>
      <c r="B49" s="412" t="s">
        <v>1673</v>
      </c>
      <c r="C49" s="419" t="s">
        <v>1674</v>
      </c>
      <c r="D49" s="364"/>
      <c r="E49" s="415"/>
      <c r="F49" s="415"/>
      <c r="G49" s="415"/>
      <c r="H49" s="415"/>
      <c r="I49" s="415"/>
      <c r="J49" s="415"/>
      <c r="K49" s="415"/>
      <c r="L49" s="415"/>
      <c r="M49" s="415"/>
      <c r="N49" s="415"/>
      <c r="O49" s="415"/>
      <c r="P49" s="415"/>
      <c r="Q49" s="423" t="e">
        <f t="shared" si="0"/>
        <v>#DIV/0!</v>
      </c>
      <c r="R49" s="375" t="e">
        <f t="shared" si="3"/>
        <v>#DIV/0!</v>
      </c>
      <c r="S49" s="417" t="e">
        <f t="shared" si="2"/>
        <v>#DIV/0!</v>
      </c>
      <c r="T49" s="15"/>
    </row>
    <row r="50" spans="1:20" ht="32.1" customHeight="1" x14ac:dyDescent="0.2">
      <c r="A50" s="412" t="s">
        <v>161</v>
      </c>
      <c r="B50" s="412" t="s">
        <v>1675</v>
      </c>
      <c r="C50" s="419" t="s">
        <v>1676</v>
      </c>
      <c r="D50" s="413">
        <v>1350</v>
      </c>
      <c r="E50" s="415"/>
      <c r="F50" s="415"/>
      <c r="G50" s="415"/>
      <c r="H50" s="415"/>
      <c r="I50" s="415"/>
      <c r="J50" s="415">
        <v>53.1</v>
      </c>
      <c r="K50" s="415"/>
      <c r="L50" s="424"/>
      <c r="M50" s="415"/>
      <c r="N50" s="415"/>
      <c r="O50" s="415"/>
      <c r="P50" s="415"/>
      <c r="Q50" s="423">
        <f>AVERAGE(E50:P50)</f>
        <v>53.1</v>
      </c>
      <c r="R50" s="375" t="str">
        <f t="shared" si="3"/>
        <v>NO</v>
      </c>
      <c r="S50" s="417" t="str">
        <f t="shared" si="2"/>
        <v>Alto</v>
      </c>
      <c r="T50" s="15"/>
    </row>
    <row r="51" spans="1:20" ht="32.1" customHeight="1" x14ac:dyDescent="0.2">
      <c r="A51" s="412" t="s">
        <v>161</v>
      </c>
      <c r="B51" s="406" t="s">
        <v>1679</v>
      </c>
      <c r="C51" s="420" t="s">
        <v>1969</v>
      </c>
      <c r="D51" s="364">
        <v>102</v>
      </c>
      <c r="E51" s="415"/>
      <c r="F51" s="415"/>
      <c r="G51" s="415"/>
      <c r="H51" s="415"/>
      <c r="I51" s="415"/>
      <c r="J51" s="415"/>
      <c r="K51" s="415">
        <v>88.67</v>
      </c>
      <c r="L51" s="415"/>
      <c r="M51" s="415"/>
      <c r="N51" s="422"/>
      <c r="O51" s="415"/>
      <c r="P51" s="415"/>
      <c r="Q51" s="423">
        <f>AVERAGE(E51:P51)</f>
        <v>88.67</v>
      </c>
      <c r="R51" s="375" t="str">
        <f t="shared" si="3"/>
        <v>NO</v>
      </c>
      <c r="S51" s="417" t="str">
        <f t="shared" si="2"/>
        <v>Inviable Sanitariamente</v>
      </c>
      <c r="T51" s="15"/>
    </row>
    <row r="52" spans="1:20" ht="32.1" customHeight="1" x14ac:dyDescent="0.2">
      <c r="A52" s="412" t="s">
        <v>161</v>
      </c>
      <c r="B52" s="412" t="s">
        <v>1680</v>
      </c>
      <c r="C52" s="420" t="s">
        <v>1970</v>
      </c>
      <c r="D52" s="364"/>
      <c r="E52" s="415"/>
      <c r="F52" s="415"/>
      <c r="G52" s="415"/>
      <c r="H52" s="415"/>
      <c r="I52" s="415"/>
      <c r="J52" s="415"/>
      <c r="K52" s="415"/>
      <c r="L52" s="415"/>
      <c r="M52" s="415"/>
      <c r="N52" s="415"/>
      <c r="O52" s="415"/>
      <c r="P52" s="415"/>
      <c r="Q52" s="423" t="e">
        <f t="shared" si="0"/>
        <v>#DIV/0!</v>
      </c>
      <c r="R52" s="375" t="e">
        <f t="shared" si="3"/>
        <v>#DIV/0!</v>
      </c>
      <c r="S52" s="417" t="e">
        <f t="shared" si="2"/>
        <v>#DIV/0!</v>
      </c>
      <c r="T52" s="15"/>
    </row>
    <row r="53" spans="1:20" ht="32.1" customHeight="1" x14ac:dyDescent="0.2">
      <c r="A53" s="412" t="s">
        <v>161</v>
      </c>
      <c r="B53" s="412" t="s">
        <v>674</v>
      </c>
      <c r="C53" s="419" t="s">
        <v>1971</v>
      </c>
      <c r="D53" s="364">
        <v>98</v>
      </c>
      <c r="E53" s="415"/>
      <c r="F53" s="415"/>
      <c r="G53" s="415"/>
      <c r="H53" s="415">
        <v>53.1</v>
      </c>
      <c r="I53" s="415"/>
      <c r="J53" s="415"/>
      <c r="K53" s="415"/>
      <c r="L53" s="415"/>
      <c r="M53" s="415"/>
      <c r="N53" s="422"/>
      <c r="O53" s="415"/>
      <c r="P53" s="415"/>
      <c r="Q53" s="423">
        <f>AVERAGE(E53:P53)</f>
        <v>53.1</v>
      </c>
      <c r="R53" s="375" t="str">
        <f t="shared" si="3"/>
        <v>NO</v>
      </c>
      <c r="S53" s="417" t="str">
        <f t="shared" si="2"/>
        <v>Alto</v>
      </c>
      <c r="T53" s="15"/>
    </row>
    <row r="54" spans="1:20" ht="32.1" customHeight="1" x14ac:dyDescent="0.2">
      <c r="A54" s="412" t="s">
        <v>161</v>
      </c>
      <c r="B54" s="412" t="s">
        <v>1681</v>
      </c>
      <c r="C54" s="419" t="s">
        <v>1682</v>
      </c>
      <c r="D54" s="364">
        <v>1350</v>
      </c>
      <c r="E54" s="415"/>
      <c r="F54" s="415"/>
      <c r="G54" s="415"/>
      <c r="H54" s="415"/>
      <c r="I54" s="415">
        <v>26.55</v>
      </c>
      <c r="J54" s="415"/>
      <c r="K54" s="415"/>
      <c r="L54" s="424"/>
      <c r="M54" s="415"/>
      <c r="N54" s="415"/>
      <c r="O54" s="415"/>
      <c r="P54" s="415"/>
      <c r="Q54" s="423">
        <f>AVERAGE(E54:P54)</f>
        <v>26.55</v>
      </c>
      <c r="R54" s="375" t="str">
        <f t="shared" si="3"/>
        <v>NO</v>
      </c>
      <c r="S54" s="417" t="str">
        <f t="shared" si="2"/>
        <v>Medio</v>
      </c>
      <c r="T54" s="15"/>
    </row>
    <row r="55" spans="1:20" ht="32.1" customHeight="1" x14ac:dyDescent="0.2">
      <c r="A55" s="412" t="s">
        <v>161</v>
      </c>
      <c r="B55" s="412" t="s">
        <v>1142</v>
      </c>
      <c r="C55" s="419" t="s">
        <v>1972</v>
      </c>
      <c r="D55" s="364">
        <v>45</v>
      </c>
      <c r="E55" s="415"/>
      <c r="F55" s="415"/>
      <c r="G55" s="415"/>
      <c r="H55" s="415"/>
      <c r="I55" s="415"/>
      <c r="J55" s="415"/>
      <c r="K55" s="415">
        <v>88.4</v>
      </c>
      <c r="L55" s="415"/>
      <c r="M55" s="415"/>
      <c r="N55" s="422"/>
      <c r="O55" s="415"/>
      <c r="P55" s="415"/>
      <c r="Q55" s="423">
        <f>AVERAGE(E55:P55)</f>
        <v>88.4</v>
      </c>
      <c r="R55" s="375" t="str">
        <f t="shared" si="3"/>
        <v>NO</v>
      </c>
      <c r="S55" s="417" t="str">
        <f t="shared" si="2"/>
        <v>Inviable Sanitariamente</v>
      </c>
      <c r="T55" s="15"/>
    </row>
    <row r="56" spans="1:20" ht="32.1" customHeight="1" x14ac:dyDescent="0.2">
      <c r="A56" s="412" t="s">
        <v>161</v>
      </c>
      <c r="B56" s="412" t="s">
        <v>1683</v>
      </c>
      <c r="C56" s="419" t="s">
        <v>1684</v>
      </c>
      <c r="D56" s="364">
        <v>99</v>
      </c>
      <c r="E56" s="415"/>
      <c r="F56" s="415"/>
      <c r="G56" s="415">
        <v>43.8</v>
      </c>
      <c r="H56" s="415"/>
      <c r="I56" s="415"/>
      <c r="J56" s="415"/>
      <c r="K56" s="424"/>
      <c r="L56" s="415"/>
      <c r="M56" s="415"/>
      <c r="N56" s="415"/>
      <c r="O56" s="415"/>
      <c r="P56" s="415"/>
      <c r="Q56" s="423">
        <f>AVERAGE(E56:P56)</f>
        <v>43.8</v>
      </c>
      <c r="R56" s="375" t="str">
        <f t="shared" si="3"/>
        <v>NO</v>
      </c>
      <c r="S56" s="417" t="str">
        <f t="shared" si="2"/>
        <v>Alto</v>
      </c>
      <c r="T56" s="15"/>
    </row>
    <row r="57" spans="1:20" ht="32.1" customHeight="1" x14ac:dyDescent="0.2">
      <c r="A57" s="412" t="s">
        <v>161</v>
      </c>
      <c r="B57" s="412" t="s">
        <v>1686</v>
      </c>
      <c r="C57" s="419" t="s">
        <v>1687</v>
      </c>
      <c r="D57" s="364">
        <v>1350</v>
      </c>
      <c r="E57" s="415"/>
      <c r="F57" s="415"/>
      <c r="G57" s="415"/>
      <c r="H57" s="415"/>
      <c r="I57" s="415"/>
      <c r="J57" s="415"/>
      <c r="K57" s="415">
        <v>23.2</v>
      </c>
      <c r="L57" s="415"/>
      <c r="M57" s="415"/>
      <c r="N57" s="425"/>
      <c r="O57" s="415"/>
      <c r="P57" s="415"/>
      <c r="Q57" s="423">
        <v>32.17</v>
      </c>
      <c r="R57" s="375" t="str">
        <f t="shared" si="3"/>
        <v>NO</v>
      </c>
      <c r="S57" s="417" t="str">
        <f t="shared" si="2"/>
        <v>Medio</v>
      </c>
      <c r="T57" s="15"/>
    </row>
    <row r="58" spans="1:20" ht="32.1" customHeight="1" x14ac:dyDescent="0.2">
      <c r="A58" s="412" t="s">
        <v>161</v>
      </c>
      <c r="B58" s="412" t="s">
        <v>1688</v>
      </c>
      <c r="C58" s="419" t="s">
        <v>1689</v>
      </c>
      <c r="D58" s="364">
        <v>89</v>
      </c>
      <c r="E58" s="415"/>
      <c r="F58" s="415"/>
      <c r="G58" s="415">
        <v>88.7</v>
      </c>
      <c r="H58" s="415"/>
      <c r="I58" s="415"/>
      <c r="J58" s="415"/>
      <c r="K58" s="415"/>
      <c r="L58" s="415"/>
      <c r="M58" s="415"/>
      <c r="N58" s="415"/>
      <c r="O58" s="415"/>
      <c r="P58" s="415"/>
      <c r="Q58" s="416">
        <f t="shared" si="0"/>
        <v>88.7</v>
      </c>
      <c r="R58" s="375" t="str">
        <f t="shared" si="3"/>
        <v>NO</v>
      </c>
      <c r="S58" s="417" t="str">
        <f t="shared" si="2"/>
        <v>Inviable Sanitariamente</v>
      </c>
      <c r="T58" s="15"/>
    </row>
    <row r="59" spans="1:20" ht="32.1" customHeight="1" x14ac:dyDescent="0.2">
      <c r="A59" s="412" t="s">
        <v>161</v>
      </c>
      <c r="B59" s="412" t="s">
        <v>1690</v>
      </c>
      <c r="C59" s="419" t="s">
        <v>1691</v>
      </c>
      <c r="D59" s="413">
        <v>230</v>
      </c>
      <c r="E59" s="415"/>
      <c r="F59" s="415"/>
      <c r="G59" s="415"/>
      <c r="H59" s="415"/>
      <c r="I59" s="415"/>
      <c r="J59" s="415">
        <v>53.1</v>
      </c>
      <c r="K59" s="415"/>
      <c r="L59" s="415"/>
      <c r="M59" s="415"/>
      <c r="N59" s="415"/>
      <c r="O59" s="415"/>
      <c r="P59" s="415"/>
      <c r="Q59" s="416">
        <f t="shared" si="0"/>
        <v>53.1</v>
      </c>
      <c r="R59" s="375" t="str">
        <f t="shared" si="3"/>
        <v>NO</v>
      </c>
      <c r="S59" s="417" t="str">
        <f t="shared" si="2"/>
        <v>Alto</v>
      </c>
      <c r="T59" s="15"/>
    </row>
    <row r="60" spans="1:20" ht="32.1" customHeight="1" x14ac:dyDescent="0.2">
      <c r="A60" s="412" t="s">
        <v>161</v>
      </c>
      <c r="B60" s="412" t="s">
        <v>1692</v>
      </c>
      <c r="C60" s="426" t="s">
        <v>1693</v>
      </c>
      <c r="D60" s="364">
        <v>72</v>
      </c>
      <c r="E60" s="415"/>
      <c r="F60" s="415"/>
      <c r="G60" s="415"/>
      <c r="H60" s="415"/>
      <c r="I60" s="415">
        <v>53.1</v>
      </c>
      <c r="J60" s="415">
        <v>53.1</v>
      </c>
      <c r="K60" s="422"/>
      <c r="L60" s="415"/>
      <c r="M60" s="415"/>
      <c r="N60" s="415"/>
      <c r="O60" s="415"/>
      <c r="P60" s="415"/>
      <c r="Q60" s="416">
        <f>AVERAGE(E60:P60)</f>
        <v>53.1</v>
      </c>
      <c r="R60" s="375" t="str">
        <f t="shared" si="3"/>
        <v>NO</v>
      </c>
      <c r="S60" s="417" t="str">
        <f t="shared" si="2"/>
        <v>Alto</v>
      </c>
      <c r="T60" s="15"/>
    </row>
    <row r="61" spans="1:20" ht="32.1" customHeight="1" x14ac:dyDescent="0.2">
      <c r="A61" s="412" t="s">
        <v>161</v>
      </c>
      <c r="B61" s="412" t="s">
        <v>631</v>
      </c>
      <c r="C61" s="419" t="s">
        <v>1694</v>
      </c>
      <c r="D61" s="364"/>
      <c r="E61" s="415"/>
      <c r="F61" s="415"/>
      <c r="G61" s="415"/>
      <c r="H61" s="415"/>
      <c r="I61" s="415"/>
      <c r="J61" s="415"/>
      <c r="K61" s="415"/>
      <c r="L61" s="425"/>
      <c r="M61" s="415"/>
      <c r="N61" s="415"/>
      <c r="O61" s="415"/>
      <c r="P61" s="415"/>
      <c r="Q61" s="416" t="e">
        <f>AVERAGE(E61:P61)</f>
        <v>#DIV/0!</v>
      </c>
      <c r="R61" s="375" t="e">
        <f t="shared" si="3"/>
        <v>#DIV/0!</v>
      </c>
      <c r="S61" s="417" t="e">
        <f t="shared" si="2"/>
        <v>#DIV/0!</v>
      </c>
      <c r="T61" s="15"/>
    </row>
    <row r="62" spans="1:20" ht="32.1" customHeight="1" x14ac:dyDescent="0.2">
      <c r="A62" s="412" t="s">
        <v>161</v>
      </c>
      <c r="B62" s="412" t="s">
        <v>57</v>
      </c>
      <c r="C62" s="419" t="s">
        <v>1695</v>
      </c>
      <c r="D62" s="364"/>
      <c r="E62" s="415"/>
      <c r="F62" s="415"/>
      <c r="G62" s="415"/>
      <c r="H62" s="415"/>
      <c r="I62" s="415"/>
      <c r="J62" s="415"/>
      <c r="K62" s="415"/>
      <c r="L62" s="415"/>
      <c r="M62" s="415"/>
      <c r="N62" s="415"/>
      <c r="O62" s="415"/>
      <c r="P62" s="415"/>
      <c r="Q62" s="416" t="e">
        <f t="shared" si="0"/>
        <v>#DIV/0!</v>
      </c>
      <c r="R62" s="375" t="e">
        <f t="shared" si="3"/>
        <v>#DIV/0!</v>
      </c>
      <c r="S62" s="417" t="e">
        <f t="shared" si="2"/>
        <v>#DIV/0!</v>
      </c>
      <c r="T62" s="15"/>
    </row>
    <row r="63" spans="1:20" ht="32.1" customHeight="1" x14ac:dyDescent="0.2">
      <c r="A63" s="412" t="s">
        <v>161</v>
      </c>
      <c r="B63" s="412" t="s">
        <v>1696</v>
      </c>
      <c r="C63" s="419" t="s">
        <v>1697</v>
      </c>
      <c r="D63" s="364"/>
      <c r="E63" s="415"/>
      <c r="F63" s="415"/>
      <c r="G63" s="415"/>
      <c r="H63" s="415"/>
      <c r="I63" s="415"/>
      <c r="J63" s="415"/>
      <c r="K63" s="415"/>
      <c r="L63" s="415"/>
      <c r="M63" s="415"/>
      <c r="N63" s="415"/>
      <c r="O63" s="415"/>
      <c r="P63" s="415"/>
      <c r="Q63" s="416" t="e">
        <f t="shared" si="0"/>
        <v>#DIV/0!</v>
      </c>
      <c r="R63" s="375" t="e">
        <f t="shared" si="3"/>
        <v>#DIV/0!</v>
      </c>
      <c r="S63" s="417" t="e">
        <f t="shared" si="2"/>
        <v>#DIV/0!</v>
      </c>
      <c r="T63" s="15"/>
    </row>
    <row r="64" spans="1:20" ht="32.1" customHeight="1" x14ac:dyDescent="0.2">
      <c r="A64" s="412" t="s">
        <v>161</v>
      </c>
      <c r="B64" s="412" t="s">
        <v>1698</v>
      </c>
      <c r="C64" s="419" t="s">
        <v>1699</v>
      </c>
      <c r="D64" s="364">
        <v>1350</v>
      </c>
      <c r="E64" s="415"/>
      <c r="F64" s="415"/>
      <c r="G64" s="415"/>
      <c r="H64" s="415"/>
      <c r="I64" s="415"/>
      <c r="J64" s="415"/>
      <c r="K64" s="415">
        <v>24.4</v>
      </c>
      <c r="L64" s="415"/>
      <c r="M64" s="415"/>
      <c r="N64" s="424"/>
      <c r="O64" s="415"/>
      <c r="P64" s="415"/>
      <c r="Q64" s="416">
        <f>AVERAGE(E64:P64)</f>
        <v>24.4</v>
      </c>
      <c r="R64" s="375" t="str">
        <f t="shared" si="3"/>
        <v>NO</v>
      </c>
      <c r="S64" s="417" t="str">
        <f t="shared" si="2"/>
        <v>Medio</v>
      </c>
      <c r="T64" s="15"/>
    </row>
    <row r="65" spans="1:20" ht="32.1" customHeight="1" x14ac:dyDescent="0.2">
      <c r="A65" s="412" t="s">
        <v>161</v>
      </c>
      <c r="B65" s="412" t="s">
        <v>1681</v>
      </c>
      <c r="C65" s="419" t="s">
        <v>1700</v>
      </c>
      <c r="D65" s="364">
        <v>110</v>
      </c>
      <c r="E65" s="415"/>
      <c r="F65" s="415"/>
      <c r="G65" s="415"/>
      <c r="H65" s="415"/>
      <c r="I65" s="415">
        <v>26.55</v>
      </c>
      <c r="J65" s="415"/>
      <c r="K65" s="415"/>
      <c r="L65" s="415"/>
      <c r="M65" s="415"/>
      <c r="N65" s="415"/>
      <c r="O65" s="415"/>
      <c r="P65" s="415"/>
      <c r="Q65" s="416">
        <f t="shared" si="0"/>
        <v>26.55</v>
      </c>
      <c r="R65" s="375" t="str">
        <f t="shared" si="3"/>
        <v>NO</v>
      </c>
      <c r="S65" s="417" t="str">
        <f t="shared" si="2"/>
        <v>Medio</v>
      </c>
      <c r="T65" s="15"/>
    </row>
    <row r="66" spans="1:20" ht="32.1" customHeight="1" x14ac:dyDescent="0.2">
      <c r="A66" s="412" t="s">
        <v>161</v>
      </c>
      <c r="B66" s="412" t="s">
        <v>1701</v>
      </c>
      <c r="C66" s="419" t="s">
        <v>1702</v>
      </c>
      <c r="D66" s="364"/>
      <c r="E66" s="415"/>
      <c r="F66" s="415"/>
      <c r="G66" s="415"/>
      <c r="H66" s="415"/>
      <c r="I66" s="415"/>
      <c r="J66" s="415"/>
      <c r="K66" s="415"/>
      <c r="L66" s="415"/>
      <c r="M66" s="415"/>
      <c r="N66" s="424"/>
      <c r="O66" s="415"/>
      <c r="P66" s="415"/>
      <c r="Q66" s="416" t="e">
        <f>AVERAGE(E66:P66)</f>
        <v>#DIV/0!</v>
      </c>
      <c r="R66" s="375" t="e">
        <f t="shared" si="3"/>
        <v>#DIV/0!</v>
      </c>
      <c r="S66" s="417" t="e">
        <f t="shared" si="2"/>
        <v>#DIV/0!</v>
      </c>
      <c r="T66" s="15"/>
    </row>
    <row r="67" spans="1:20" ht="32.1" customHeight="1" x14ac:dyDescent="0.2">
      <c r="A67" s="412" t="s">
        <v>161</v>
      </c>
      <c r="B67" s="412" t="s">
        <v>1703</v>
      </c>
      <c r="C67" s="419" t="s">
        <v>1973</v>
      </c>
      <c r="D67" s="364">
        <v>60</v>
      </c>
      <c r="E67" s="415"/>
      <c r="F67" s="415"/>
      <c r="G67" s="415"/>
      <c r="H67" s="415"/>
      <c r="I67" s="415"/>
      <c r="J67" s="415"/>
      <c r="K67" s="415">
        <v>90.19</v>
      </c>
      <c r="L67" s="415"/>
      <c r="M67" s="415"/>
      <c r="N67" s="422"/>
      <c r="O67" s="415"/>
      <c r="P67" s="415"/>
      <c r="Q67" s="416">
        <f>AVERAGE(E67:P67)</f>
        <v>90.19</v>
      </c>
      <c r="R67" s="375" t="str">
        <f t="shared" si="3"/>
        <v>NO</v>
      </c>
      <c r="S67" s="417" t="str">
        <f t="shared" si="2"/>
        <v>Inviable Sanitariamente</v>
      </c>
      <c r="T67" s="15"/>
    </row>
    <row r="68" spans="1:20" ht="32.1" customHeight="1" x14ac:dyDescent="0.2">
      <c r="A68" s="412" t="s">
        <v>161</v>
      </c>
      <c r="B68" s="412" t="s">
        <v>1705</v>
      </c>
      <c r="C68" s="419" t="s">
        <v>1706</v>
      </c>
      <c r="D68" s="364">
        <v>960</v>
      </c>
      <c r="E68" s="415"/>
      <c r="F68" s="415">
        <v>88.6</v>
      </c>
      <c r="G68" s="415"/>
      <c r="H68" s="415"/>
      <c r="I68" s="415"/>
      <c r="J68" s="415"/>
      <c r="K68" s="415"/>
      <c r="L68" s="415"/>
      <c r="M68" s="415"/>
      <c r="N68" s="415"/>
      <c r="O68" s="415"/>
      <c r="P68" s="415"/>
      <c r="Q68" s="416">
        <f t="shared" si="0"/>
        <v>88.6</v>
      </c>
      <c r="R68" s="375" t="str">
        <f t="shared" si="3"/>
        <v>NO</v>
      </c>
      <c r="S68" s="417" t="str">
        <f t="shared" si="2"/>
        <v>Inviable Sanitariamente</v>
      </c>
      <c r="T68" s="15"/>
    </row>
    <row r="69" spans="1:20" ht="32.1" customHeight="1" x14ac:dyDescent="0.2">
      <c r="A69" s="412" t="s">
        <v>161</v>
      </c>
      <c r="B69" s="412" t="s">
        <v>1707</v>
      </c>
      <c r="C69" s="419" t="s">
        <v>1708</v>
      </c>
      <c r="D69" s="413"/>
      <c r="E69" s="415"/>
      <c r="F69" s="415"/>
      <c r="G69" s="415"/>
      <c r="H69" s="415"/>
      <c r="I69" s="415"/>
      <c r="J69" s="415"/>
      <c r="K69" s="415"/>
      <c r="L69" s="415"/>
      <c r="M69" s="415"/>
      <c r="N69" s="415"/>
      <c r="O69" s="415"/>
      <c r="P69" s="415"/>
      <c r="Q69" s="416" t="e">
        <f t="shared" si="0"/>
        <v>#DIV/0!</v>
      </c>
      <c r="R69" s="375" t="e">
        <f t="shared" si="3"/>
        <v>#DIV/0!</v>
      </c>
      <c r="S69" s="417" t="e">
        <f t="shared" si="2"/>
        <v>#DIV/0!</v>
      </c>
      <c r="T69" s="15"/>
    </row>
    <row r="70" spans="1:20" ht="32.1" customHeight="1" x14ac:dyDescent="0.2">
      <c r="A70" s="412" t="s">
        <v>161</v>
      </c>
      <c r="B70" s="412" t="s">
        <v>1709</v>
      </c>
      <c r="C70" s="419" t="s">
        <v>1974</v>
      </c>
      <c r="D70" s="364">
        <v>24</v>
      </c>
      <c r="E70" s="415"/>
      <c r="F70" s="415"/>
      <c r="G70" s="415">
        <v>49.7</v>
      </c>
      <c r="H70" s="415"/>
      <c r="I70" s="415"/>
      <c r="J70" s="415"/>
      <c r="K70" s="424"/>
      <c r="L70" s="415"/>
      <c r="M70" s="415"/>
      <c r="N70" s="415"/>
      <c r="O70" s="415"/>
      <c r="P70" s="415"/>
      <c r="Q70" s="423">
        <f>AVERAGE(E70:P70)</f>
        <v>49.7</v>
      </c>
      <c r="R70" s="375" t="str">
        <f t="shared" si="3"/>
        <v>NO</v>
      </c>
      <c r="S70" s="417" t="str">
        <f t="shared" si="2"/>
        <v>Alto</v>
      </c>
      <c r="T70" s="15"/>
    </row>
    <row r="71" spans="1:20" ht="32.1" customHeight="1" x14ac:dyDescent="0.2">
      <c r="A71" s="412" t="s">
        <v>161</v>
      </c>
      <c r="B71" s="412" t="s">
        <v>1053</v>
      </c>
      <c r="C71" s="419" t="s">
        <v>1710</v>
      </c>
      <c r="D71" s="364">
        <v>28</v>
      </c>
      <c r="E71" s="415"/>
      <c r="F71" s="415"/>
      <c r="G71" s="415"/>
      <c r="H71" s="415"/>
      <c r="I71" s="415"/>
      <c r="J71" s="415"/>
      <c r="K71" s="415">
        <v>85.37</v>
      </c>
      <c r="L71" s="415"/>
      <c r="M71" s="415"/>
      <c r="N71" s="422"/>
      <c r="O71" s="415"/>
      <c r="P71" s="415"/>
      <c r="Q71" s="423">
        <f>AVERAGE(E71:P71)</f>
        <v>85.37</v>
      </c>
      <c r="R71" s="375" t="str">
        <f t="shared" si="3"/>
        <v>NO</v>
      </c>
      <c r="S71" s="417" t="str">
        <f t="shared" si="2"/>
        <v>Inviable Sanitariamente</v>
      </c>
      <c r="T71" s="15"/>
    </row>
    <row r="72" spans="1:20" ht="32.1" customHeight="1" x14ac:dyDescent="0.2">
      <c r="A72" s="412" t="s">
        <v>161</v>
      </c>
      <c r="B72" s="412" t="s">
        <v>1711</v>
      </c>
      <c r="C72" s="419" t="s">
        <v>1712</v>
      </c>
      <c r="D72" s="364">
        <v>1350</v>
      </c>
      <c r="E72" s="415"/>
      <c r="F72" s="415"/>
      <c r="G72" s="415"/>
      <c r="H72" s="415"/>
      <c r="I72" s="415"/>
      <c r="J72" s="415">
        <v>19.7</v>
      </c>
      <c r="K72" s="415"/>
      <c r="L72" s="424"/>
      <c r="M72" s="415"/>
      <c r="N72" s="415"/>
      <c r="O72" s="415"/>
      <c r="P72" s="415"/>
      <c r="Q72" s="423">
        <f>AVERAGE(E72:P72)</f>
        <v>19.7</v>
      </c>
      <c r="R72" s="375" t="str">
        <f t="shared" si="3"/>
        <v>NO</v>
      </c>
      <c r="S72" s="417" t="str">
        <f t="shared" si="2"/>
        <v>Medio</v>
      </c>
      <c r="T72" s="15"/>
    </row>
    <row r="73" spans="1:20" ht="32.1" customHeight="1" x14ac:dyDescent="0.2">
      <c r="A73" s="412" t="s">
        <v>161</v>
      </c>
      <c r="B73" s="412" t="s">
        <v>1713</v>
      </c>
      <c r="C73" s="419" t="s">
        <v>1714</v>
      </c>
      <c r="D73" s="364"/>
      <c r="E73" s="415"/>
      <c r="F73" s="415"/>
      <c r="G73" s="415"/>
      <c r="H73" s="415"/>
      <c r="I73" s="415"/>
      <c r="J73" s="415"/>
      <c r="K73" s="415"/>
      <c r="L73" s="415"/>
      <c r="M73" s="415"/>
      <c r="N73" s="415"/>
      <c r="O73" s="415"/>
      <c r="P73" s="415"/>
      <c r="Q73" s="423" t="e">
        <f t="shared" si="0"/>
        <v>#DIV/0!</v>
      </c>
      <c r="R73" s="375" t="e">
        <f t="shared" si="3"/>
        <v>#DIV/0!</v>
      </c>
      <c r="S73" s="417" t="e">
        <f t="shared" si="2"/>
        <v>#DIV/0!</v>
      </c>
      <c r="T73" s="15"/>
    </row>
    <row r="74" spans="1:20" ht="32.1" customHeight="1" x14ac:dyDescent="0.2">
      <c r="A74" s="412" t="s">
        <v>161</v>
      </c>
      <c r="B74" s="406" t="s">
        <v>1715</v>
      </c>
      <c r="C74" s="420" t="s">
        <v>1716</v>
      </c>
      <c r="D74" s="413"/>
      <c r="E74" s="415"/>
      <c r="F74" s="415">
        <v>74.900000000000006</v>
      </c>
      <c r="G74" s="415"/>
      <c r="H74" s="415"/>
      <c r="I74" s="415"/>
      <c r="J74" s="415"/>
      <c r="K74" s="415"/>
      <c r="L74" s="415"/>
      <c r="M74" s="415"/>
      <c r="N74" s="415"/>
      <c r="O74" s="415"/>
      <c r="P74" s="415"/>
      <c r="Q74" s="423">
        <f t="shared" si="0"/>
        <v>74.900000000000006</v>
      </c>
      <c r="R74" s="375" t="str">
        <f t="shared" si="3"/>
        <v>NO</v>
      </c>
      <c r="S74" s="417" t="str">
        <f t="shared" si="2"/>
        <v>Alto</v>
      </c>
      <c r="T74" s="15"/>
    </row>
    <row r="75" spans="1:20" ht="32.1" customHeight="1" x14ac:dyDescent="0.2">
      <c r="A75" s="412" t="s">
        <v>161</v>
      </c>
      <c r="B75" s="412" t="s">
        <v>1717</v>
      </c>
      <c r="C75" s="419" t="s">
        <v>1718</v>
      </c>
      <c r="D75" s="364"/>
      <c r="E75" s="415"/>
      <c r="F75" s="415"/>
      <c r="G75" s="415"/>
      <c r="H75" s="415"/>
      <c r="I75" s="415"/>
      <c r="J75" s="415"/>
      <c r="K75" s="415"/>
      <c r="L75" s="415"/>
      <c r="M75" s="415"/>
      <c r="N75" s="415"/>
      <c r="O75" s="415"/>
      <c r="P75" s="415"/>
      <c r="Q75" s="423" t="e">
        <f t="shared" ref="Q75:Q138" si="4">AVERAGE(E75:P75)</f>
        <v>#DIV/0!</v>
      </c>
      <c r="R75" s="375" t="e">
        <f t="shared" ref="R75:R110" si="5">IF(Q75&lt;5,"SI","NO")</f>
        <v>#DIV/0!</v>
      </c>
      <c r="S75" s="417" t="e">
        <f t="shared" ref="S75:S138" si="6">IF(Q75&lt;5,"Sin Riesgo",IF(Q75 &lt;=14,"Bajo",IF(Q75&lt;=35,"Medio",IF(Q75&lt;=80,"Alto","Inviable Sanitariamente"))))</f>
        <v>#DIV/0!</v>
      </c>
      <c r="T75" s="15"/>
    </row>
    <row r="76" spans="1:20" ht="42.75" customHeight="1" x14ac:dyDescent="0.2">
      <c r="A76" s="412" t="s">
        <v>161</v>
      </c>
      <c r="B76" s="412" t="s">
        <v>1719</v>
      </c>
      <c r="C76" s="419" t="s">
        <v>1720</v>
      </c>
      <c r="D76" s="364">
        <v>1350</v>
      </c>
      <c r="E76" s="415"/>
      <c r="F76" s="415"/>
      <c r="G76" s="415"/>
      <c r="H76" s="415"/>
      <c r="I76" s="415">
        <v>20.6</v>
      </c>
      <c r="J76" s="415">
        <v>26.6</v>
      </c>
      <c r="K76" s="415"/>
      <c r="L76" s="424"/>
      <c r="M76" s="415"/>
      <c r="N76" s="415"/>
      <c r="O76" s="415"/>
      <c r="P76" s="415"/>
      <c r="Q76" s="423">
        <f>AVERAGE(E76:P76)</f>
        <v>23.6</v>
      </c>
      <c r="R76" s="375" t="str">
        <f t="shared" si="5"/>
        <v>NO</v>
      </c>
      <c r="S76" s="417" t="str">
        <f t="shared" si="6"/>
        <v>Medio</v>
      </c>
      <c r="T76" s="15"/>
    </row>
    <row r="77" spans="1:20" ht="32.1" customHeight="1" x14ac:dyDescent="0.2">
      <c r="A77" s="412" t="s">
        <v>161</v>
      </c>
      <c r="B77" s="412" t="s">
        <v>631</v>
      </c>
      <c r="C77" s="419" t="s">
        <v>1721</v>
      </c>
      <c r="D77" s="364"/>
      <c r="E77" s="415"/>
      <c r="F77" s="415"/>
      <c r="G77" s="415"/>
      <c r="H77" s="415"/>
      <c r="I77" s="415"/>
      <c r="J77" s="415"/>
      <c r="K77" s="415"/>
      <c r="L77" s="415"/>
      <c r="M77" s="415"/>
      <c r="N77" s="415"/>
      <c r="O77" s="415"/>
      <c r="P77" s="415"/>
      <c r="Q77" s="423" t="e">
        <f t="shared" si="4"/>
        <v>#DIV/0!</v>
      </c>
      <c r="R77" s="375" t="e">
        <f t="shared" si="5"/>
        <v>#DIV/0!</v>
      </c>
      <c r="S77" s="417" t="e">
        <f t="shared" si="6"/>
        <v>#DIV/0!</v>
      </c>
      <c r="T77" s="15"/>
    </row>
    <row r="78" spans="1:20" ht="32.1" customHeight="1" x14ac:dyDescent="0.2">
      <c r="A78" s="412" t="s">
        <v>161</v>
      </c>
      <c r="B78" s="412" t="s">
        <v>1722</v>
      </c>
      <c r="C78" s="419" t="s">
        <v>1723</v>
      </c>
      <c r="D78" s="364"/>
      <c r="E78" s="415"/>
      <c r="F78" s="415"/>
      <c r="G78" s="415"/>
      <c r="H78" s="415"/>
      <c r="I78" s="415"/>
      <c r="J78" s="415"/>
      <c r="K78" s="415"/>
      <c r="L78" s="415"/>
      <c r="M78" s="415"/>
      <c r="N78" s="415"/>
      <c r="O78" s="415"/>
      <c r="P78" s="415"/>
      <c r="Q78" s="423" t="e">
        <f t="shared" si="4"/>
        <v>#DIV/0!</v>
      </c>
      <c r="R78" s="375" t="e">
        <f t="shared" si="5"/>
        <v>#DIV/0!</v>
      </c>
      <c r="S78" s="417" t="e">
        <f t="shared" si="6"/>
        <v>#DIV/0!</v>
      </c>
      <c r="T78" s="15"/>
    </row>
    <row r="79" spans="1:20" ht="32.1" customHeight="1" x14ac:dyDescent="0.2">
      <c r="A79" s="412" t="s">
        <v>161</v>
      </c>
      <c r="B79" s="412" t="s">
        <v>1724</v>
      </c>
      <c r="C79" s="419" t="s">
        <v>1725</v>
      </c>
      <c r="D79" s="427"/>
      <c r="E79" s="415"/>
      <c r="F79" s="415"/>
      <c r="G79" s="415"/>
      <c r="H79" s="415"/>
      <c r="I79" s="415"/>
      <c r="J79" s="415"/>
      <c r="K79" s="415"/>
      <c r="L79" s="415"/>
      <c r="M79" s="415"/>
      <c r="N79" s="415"/>
      <c r="O79" s="415"/>
      <c r="P79" s="415"/>
      <c r="Q79" s="416" t="e">
        <f t="shared" si="4"/>
        <v>#DIV/0!</v>
      </c>
      <c r="R79" s="375" t="e">
        <f t="shared" si="5"/>
        <v>#DIV/0!</v>
      </c>
      <c r="S79" s="417" t="e">
        <f t="shared" si="6"/>
        <v>#DIV/0!</v>
      </c>
      <c r="T79" s="36"/>
    </row>
    <row r="80" spans="1:20" ht="32.1" customHeight="1" x14ac:dyDescent="0.2">
      <c r="A80" s="412" t="s">
        <v>161</v>
      </c>
      <c r="B80" s="412" t="s">
        <v>1726</v>
      </c>
      <c r="C80" s="419" t="s">
        <v>1727</v>
      </c>
      <c r="D80" s="364">
        <v>1350</v>
      </c>
      <c r="E80" s="415"/>
      <c r="F80" s="415"/>
      <c r="G80" s="415"/>
      <c r="H80" s="415"/>
      <c r="I80" s="415"/>
      <c r="J80" s="415">
        <v>20.6</v>
      </c>
      <c r="K80" s="415"/>
      <c r="L80" s="415"/>
      <c r="M80" s="415"/>
      <c r="N80" s="424"/>
      <c r="O80" s="415"/>
      <c r="P80" s="415"/>
      <c r="Q80" s="423">
        <f>AVERAGE(E80:P80)</f>
        <v>20.6</v>
      </c>
      <c r="R80" s="375" t="str">
        <f t="shared" si="5"/>
        <v>NO</v>
      </c>
      <c r="S80" s="417" t="str">
        <f>IF(Q80&lt;5,"Sin Riesgo",IF(Q80 &lt;=14,"Bajo",IF(Q80&lt;=35,"Medio",IF(Q80&lt;=80,"Alto","Inviable Sanitariamente"))))</f>
        <v>Medio</v>
      </c>
      <c r="T80" s="36"/>
    </row>
    <row r="81" spans="1:20" ht="32.1" customHeight="1" x14ac:dyDescent="0.2">
      <c r="A81" s="412" t="s">
        <v>161</v>
      </c>
      <c r="B81" s="412" t="s">
        <v>1728</v>
      </c>
      <c r="C81" s="419" t="s">
        <v>1729</v>
      </c>
      <c r="D81" s="413">
        <v>50</v>
      </c>
      <c r="E81" s="415"/>
      <c r="F81" s="415"/>
      <c r="G81" s="415"/>
      <c r="H81" s="415"/>
      <c r="I81" s="415">
        <v>56.3</v>
      </c>
      <c r="J81" s="415"/>
      <c r="K81" s="415"/>
      <c r="L81" s="415"/>
      <c r="M81" s="415"/>
      <c r="N81" s="422"/>
      <c r="O81" s="415"/>
      <c r="P81" s="415"/>
      <c r="Q81" s="423">
        <f>AVERAGE(E81:P81)</f>
        <v>56.3</v>
      </c>
      <c r="R81" s="375" t="str">
        <f t="shared" si="5"/>
        <v>NO</v>
      </c>
      <c r="S81" s="417" t="str">
        <f t="shared" si="6"/>
        <v>Alto</v>
      </c>
      <c r="T81" s="36"/>
    </row>
    <row r="82" spans="1:20" ht="32.1" customHeight="1" x14ac:dyDescent="0.2">
      <c r="A82" s="412" t="s">
        <v>161</v>
      </c>
      <c r="B82" s="412" t="s">
        <v>715</v>
      </c>
      <c r="C82" s="419" t="s">
        <v>1730</v>
      </c>
      <c r="D82" s="364">
        <v>1350</v>
      </c>
      <c r="E82" s="415"/>
      <c r="F82" s="415"/>
      <c r="G82" s="415"/>
      <c r="H82" s="415"/>
      <c r="I82" s="415"/>
      <c r="J82" s="415">
        <v>0</v>
      </c>
      <c r="K82" s="415"/>
      <c r="L82" s="424"/>
      <c r="M82" s="415"/>
      <c r="N82" s="415"/>
      <c r="O82" s="415"/>
      <c r="P82" s="415"/>
      <c r="Q82" s="423">
        <f>AVERAGE(E82:P82)</f>
        <v>0</v>
      </c>
      <c r="R82" s="375" t="str">
        <f t="shared" si="5"/>
        <v>SI</v>
      </c>
      <c r="S82" s="417" t="str">
        <f t="shared" si="6"/>
        <v>Sin Riesgo</v>
      </c>
      <c r="T82" s="36"/>
    </row>
    <row r="83" spans="1:20" ht="44.25" customHeight="1" x14ac:dyDescent="0.2">
      <c r="A83" s="412" t="s">
        <v>161</v>
      </c>
      <c r="B83" s="412" t="s">
        <v>1731</v>
      </c>
      <c r="C83" s="419" t="s">
        <v>1732</v>
      </c>
      <c r="D83" s="428">
        <v>1350</v>
      </c>
      <c r="E83" s="415"/>
      <c r="F83" s="415"/>
      <c r="G83" s="415"/>
      <c r="H83" s="415">
        <v>22.4</v>
      </c>
      <c r="I83" s="415"/>
      <c r="J83" s="415"/>
      <c r="K83" s="415"/>
      <c r="L83" s="424"/>
      <c r="M83" s="415"/>
      <c r="N83" s="415"/>
      <c r="O83" s="425"/>
      <c r="P83" s="415"/>
      <c r="Q83" s="423">
        <v>45.65</v>
      </c>
      <c r="R83" s="375" t="str">
        <f t="shared" si="5"/>
        <v>NO</v>
      </c>
      <c r="S83" s="417" t="str">
        <f t="shared" si="6"/>
        <v>Alto</v>
      </c>
      <c r="T83" s="15"/>
    </row>
    <row r="84" spans="1:20" ht="32.1" customHeight="1" x14ac:dyDescent="0.2">
      <c r="A84" s="412" t="s">
        <v>161</v>
      </c>
      <c r="B84" s="412" t="s">
        <v>1733</v>
      </c>
      <c r="C84" s="419" t="s">
        <v>1734</v>
      </c>
      <c r="D84" s="427">
        <v>1350</v>
      </c>
      <c r="E84" s="415"/>
      <c r="F84" s="415"/>
      <c r="G84" s="415"/>
      <c r="H84" s="415"/>
      <c r="I84" s="415">
        <v>21.5</v>
      </c>
      <c r="J84" s="415"/>
      <c r="K84" s="415"/>
      <c r="L84" s="415"/>
      <c r="M84" s="415"/>
      <c r="N84" s="415"/>
      <c r="O84" s="425"/>
      <c r="P84" s="415"/>
      <c r="Q84" s="423">
        <v>46.8</v>
      </c>
      <c r="R84" s="375" t="str">
        <f t="shared" si="5"/>
        <v>NO</v>
      </c>
      <c r="S84" s="417" t="str">
        <f t="shared" si="6"/>
        <v>Alto</v>
      </c>
      <c r="T84" s="15"/>
    </row>
    <row r="85" spans="1:20" ht="32.1" customHeight="1" x14ac:dyDescent="0.2">
      <c r="A85" s="412" t="s">
        <v>161</v>
      </c>
      <c r="B85" s="412" t="s">
        <v>1975</v>
      </c>
      <c r="C85" s="419" t="s">
        <v>1735</v>
      </c>
      <c r="D85" s="364"/>
      <c r="E85" s="415"/>
      <c r="F85" s="415"/>
      <c r="G85" s="415"/>
      <c r="H85" s="415">
        <v>35.97</v>
      </c>
      <c r="I85" s="415"/>
      <c r="J85" s="415"/>
      <c r="K85" s="415"/>
      <c r="L85" s="415"/>
      <c r="M85" s="415"/>
      <c r="N85" s="415"/>
      <c r="O85" s="415"/>
      <c r="P85" s="415"/>
      <c r="Q85" s="423">
        <f t="shared" si="4"/>
        <v>35.97</v>
      </c>
      <c r="R85" s="375" t="str">
        <f t="shared" si="5"/>
        <v>NO</v>
      </c>
      <c r="S85" s="417" t="str">
        <f t="shared" si="6"/>
        <v>Alto</v>
      </c>
      <c r="T85" s="15"/>
    </row>
    <row r="86" spans="1:20" ht="32.1" customHeight="1" x14ac:dyDescent="0.2">
      <c r="A86" s="412" t="s">
        <v>161</v>
      </c>
      <c r="B86" s="406" t="s">
        <v>1736</v>
      </c>
      <c r="C86" s="420" t="s">
        <v>1737</v>
      </c>
      <c r="D86" s="364">
        <v>1350</v>
      </c>
      <c r="E86" s="415"/>
      <c r="F86" s="415"/>
      <c r="G86" s="415"/>
      <c r="H86" s="415"/>
      <c r="I86" s="415"/>
      <c r="J86" s="415">
        <v>26.55</v>
      </c>
      <c r="K86" s="415"/>
      <c r="L86" s="429"/>
      <c r="M86" s="415"/>
      <c r="N86" s="415"/>
      <c r="O86" s="415"/>
      <c r="P86" s="415"/>
      <c r="Q86" s="423">
        <f>AVERAGE(E86:P86)</f>
        <v>26.55</v>
      </c>
      <c r="R86" s="375" t="str">
        <f t="shared" si="5"/>
        <v>NO</v>
      </c>
      <c r="S86" s="417" t="str">
        <f t="shared" si="6"/>
        <v>Medio</v>
      </c>
      <c r="T86" s="15"/>
    </row>
    <row r="87" spans="1:20" ht="32.1" customHeight="1" x14ac:dyDescent="0.2">
      <c r="A87" s="412" t="s">
        <v>161</v>
      </c>
      <c r="B87" s="406" t="s">
        <v>1738</v>
      </c>
      <c r="C87" s="420" t="s">
        <v>1739</v>
      </c>
      <c r="D87" s="364">
        <v>1350</v>
      </c>
      <c r="E87" s="415"/>
      <c r="F87" s="415"/>
      <c r="G87" s="415"/>
      <c r="H87" s="415"/>
      <c r="I87" s="415">
        <v>20.3</v>
      </c>
      <c r="J87" s="415"/>
      <c r="K87" s="415"/>
      <c r="L87" s="424"/>
      <c r="M87" s="415"/>
      <c r="N87" s="415"/>
      <c r="O87" s="415"/>
      <c r="P87" s="415"/>
      <c r="Q87" s="423">
        <f>AVERAGE(E87:P87)</f>
        <v>20.3</v>
      </c>
      <c r="R87" s="375" t="str">
        <f t="shared" si="5"/>
        <v>NO</v>
      </c>
      <c r="S87" s="417" t="str">
        <f t="shared" si="6"/>
        <v>Medio</v>
      </c>
      <c r="T87" s="15"/>
    </row>
    <row r="88" spans="1:20" ht="32.1" customHeight="1" x14ac:dyDescent="0.2">
      <c r="A88" s="412" t="s">
        <v>161</v>
      </c>
      <c r="B88" s="406" t="s">
        <v>1740</v>
      </c>
      <c r="C88" s="420" t="s">
        <v>1741</v>
      </c>
      <c r="D88" s="364">
        <v>1350</v>
      </c>
      <c r="E88" s="415"/>
      <c r="F88" s="415"/>
      <c r="G88" s="415"/>
      <c r="H88" s="415"/>
      <c r="I88" s="415"/>
      <c r="J88" s="415">
        <v>26.6</v>
      </c>
      <c r="K88" s="415"/>
      <c r="L88" s="424"/>
      <c r="M88" s="415"/>
      <c r="N88" s="415"/>
      <c r="O88" s="415"/>
      <c r="P88" s="415"/>
      <c r="Q88" s="423">
        <v>70.77</v>
      </c>
      <c r="R88" s="375" t="str">
        <f t="shared" si="5"/>
        <v>NO</v>
      </c>
      <c r="S88" s="417" t="str">
        <f t="shared" si="6"/>
        <v>Alto</v>
      </c>
      <c r="T88" s="15"/>
    </row>
    <row r="89" spans="1:20" ht="32.1" customHeight="1" x14ac:dyDescent="0.2">
      <c r="A89" s="412" t="s">
        <v>161</v>
      </c>
      <c r="B89" s="406" t="s">
        <v>1742</v>
      </c>
      <c r="C89" s="420" t="s">
        <v>1743</v>
      </c>
      <c r="D89" s="364">
        <v>1350</v>
      </c>
      <c r="E89" s="415"/>
      <c r="F89" s="415">
        <v>50.05</v>
      </c>
      <c r="G89" s="415"/>
      <c r="H89" s="415"/>
      <c r="I89" s="415"/>
      <c r="J89" s="415"/>
      <c r="K89" s="415"/>
      <c r="L89" s="415"/>
      <c r="M89" s="415"/>
      <c r="N89" s="415"/>
      <c r="O89" s="415"/>
      <c r="P89" s="415"/>
      <c r="Q89" s="423">
        <f t="shared" si="4"/>
        <v>50.05</v>
      </c>
      <c r="R89" s="375" t="str">
        <f t="shared" si="5"/>
        <v>NO</v>
      </c>
      <c r="S89" s="417" t="str">
        <f t="shared" si="6"/>
        <v>Alto</v>
      </c>
      <c r="T89" s="15"/>
    </row>
    <row r="90" spans="1:20" ht="32.1" customHeight="1" x14ac:dyDescent="0.2">
      <c r="A90" s="412" t="s">
        <v>161</v>
      </c>
      <c r="B90" s="406" t="s">
        <v>1744</v>
      </c>
      <c r="C90" s="420" t="s">
        <v>1745</v>
      </c>
      <c r="D90" s="427">
        <v>8100</v>
      </c>
      <c r="E90" s="415"/>
      <c r="F90" s="415"/>
      <c r="G90" s="415"/>
      <c r="H90" s="415"/>
      <c r="I90" s="415">
        <v>58.7</v>
      </c>
      <c r="J90" s="415"/>
      <c r="K90" s="415"/>
      <c r="L90" s="415"/>
      <c r="M90" s="415"/>
      <c r="N90" s="415"/>
      <c r="O90" s="415"/>
      <c r="P90" s="415"/>
      <c r="Q90" s="423">
        <f t="shared" si="4"/>
        <v>58.7</v>
      </c>
      <c r="R90" s="375" t="str">
        <f t="shared" si="5"/>
        <v>NO</v>
      </c>
      <c r="S90" s="417" t="str">
        <f t="shared" si="6"/>
        <v>Alto</v>
      </c>
      <c r="T90" s="15"/>
    </row>
    <row r="91" spans="1:20" ht="32.1" customHeight="1" x14ac:dyDescent="0.2">
      <c r="A91" s="412" t="s">
        <v>161</v>
      </c>
      <c r="B91" s="406" t="s">
        <v>1976</v>
      </c>
      <c r="C91" s="420" t="s">
        <v>1977</v>
      </c>
      <c r="D91" s="364">
        <v>50</v>
      </c>
      <c r="E91" s="415"/>
      <c r="F91" s="415"/>
      <c r="G91" s="415"/>
      <c r="H91" s="415"/>
      <c r="I91" s="415"/>
      <c r="J91" s="415"/>
      <c r="K91" s="415">
        <v>65.95</v>
      </c>
      <c r="L91" s="415"/>
      <c r="M91" s="415"/>
      <c r="N91" s="415"/>
      <c r="O91" s="422"/>
      <c r="P91" s="415"/>
      <c r="Q91" s="423">
        <f>AVERAGE(E91:P91)</f>
        <v>65.95</v>
      </c>
      <c r="R91" s="375" t="str">
        <f t="shared" si="5"/>
        <v>NO</v>
      </c>
      <c r="S91" s="417" t="str">
        <f t="shared" si="6"/>
        <v>Alto</v>
      </c>
      <c r="T91" s="15"/>
    </row>
    <row r="92" spans="1:20" ht="32.1" customHeight="1" x14ac:dyDescent="0.2">
      <c r="A92" s="412" t="s">
        <v>161</v>
      </c>
      <c r="B92" s="406" t="s">
        <v>1978</v>
      </c>
      <c r="C92" s="420" t="s">
        <v>1979</v>
      </c>
      <c r="D92" s="430">
        <v>68</v>
      </c>
      <c r="E92" s="415"/>
      <c r="F92" s="415"/>
      <c r="G92" s="415"/>
      <c r="H92" s="415"/>
      <c r="I92" s="415"/>
      <c r="J92" s="415"/>
      <c r="K92" s="415">
        <v>75.099999999999994</v>
      </c>
      <c r="L92" s="415"/>
      <c r="M92" s="415"/>
      <c r="N92" s="415"/>
      <c r="O92" s="422"/>
      <c r="P92" s="415"/>
      <c r="Q92" s="423">
        <f>AVERAGE(E91:P91)</f>
        <v>65.95</v>
      </c>
      <c r="R92" s="375" t="str">
        <f t="shared" si="5"/>
        <v>NO</v>
      </c>
      <c r="S92" s="417" t="str">
        <f t="shared" si="6"/>
        <v>Alto</v>
      </c>
      <c r="T92" s="15"/>
    </row>
    <row r="93" spans="1:20" ht="32.1" customHeight="1" x14ac:dyDescent="0.2">
      <c r="A93" s="412" t="s">
        <v>161</v>
      </c>
      <c r="B93" s="406" t="s">
        <v>1980</v>
      </c>
      <c r="C93" s="420" t="s">
        <v>1981</v>
      </c>
      <c r="D93" s="364"/>
      <c r="E93" s="415"/>
      <c r="F93" s="415"/>
      <c r="G93" s="415"/>
      <c r="H93" s="415"/>
      <c r="I93" s="415"/>
      <c r="J93" s="415"/>
      <c r="K93" s="415"/>
      <c r="L93" s="415"/>
      <c r="M93" s="415"/>
      <c r="N93" s="415"/>
      <c r="O93" s="422"/>
      <c r="P93" s="415"/>
      <c r="Q93" s="423" t="e">
        <f>AVERAGE(E93:P93)</f>
        <v>#DIV/0!</v>
      </c>
      <c r="R93" s="375" t="e">
        <f t="shared" si="5"/>
        <v>#DIV/0!</v>
      </c>
      <c r="S93" s="417" t="e">
        <f t="shared" si="6"/>
        <v>#DIV/0!</v>
      </c>
      <c r="T93" s="15"/>
    </row>
    <row r="94" spans="1:20" ht="32.1" customHeight="1" x14ac:dyDescent="0.2">
      <c r="A94" s="412" t="s">
        <v>161</v>
      </c>
      <c r="B94" s="406" t="s">
        <v>1982</v>
      </c>
      <c r="C94" s="420" t="s">
        <v>1983</v>
      </c>
      <c r="D94" s="364">
        <v>46</v>
      </c>
      <c r="E94" s="415"/>
      <c r="F94" s="415"/>
      <c r="G94" s="415"/>
      <c r="H94" s="415"/>
      <c r="I94" s="415">
        <v>53.1</v>
      </c>
      <c r="J94" s="415"/>
      <c r="K94" s="415"/>
      <c r="L94" s="415"/>
      <c r="M94" s="415"/>
      <c r="N94" s="415"/>
      <c r="O94" s="422"/>
      <c r="P94" s="415"/>
      <c r="Q94" s="423">
        <f>AVERAGE(E94:P94)</f>
        <v>53.1</v>
      </c>
      <c r="R94" s="375" t="str">
        <f>IF(Q94&lt;5,"SI","NO")</f>
        <v>NO</v>
      </c>
      <c r="S94" s="417" t="str">
        <f>IF(Q94&lt;5,"Sin Riesgo",IF(Q94 &lt;=14,"Bajo",IF(Q94&lt;=35,"Medio",IF(Q94&lt;=80,"Alto","Inviable Sanitariamente"))))</f>
        <v>Alto</v>
      </c>
      <c r="T94" s="15"/>
    </row>
    <row r="95" spans="1:20" ht="32.1" customHeight="1" x14ac:dyDescent="0.2">
      <c r="A95" s="412" t="s">
        <v>161</v>
      </c>
      <c r="B95" s="406" t="s">
        <v>4240</v>
      </c>
      <c r="C95" s="420" t="s">
        <v>4241</v>
      </c>
      <c r="D95" s="364">
        <v>450</v>
      </c>
      <c r="E95" s="415"/>
      <c r="F95" s="415"/>
      <c r="G95" s="415"/>
      <c r="H95" s="415"/>
      <c r="I95" s="415">
        <v>0</v>
      </c>
      <c r="J95" s="415"/>
      <c r="K95" s="415"/>
      <c r="L95" s="415"/>
      <c r="M95" s="415"/>
      <c r="N95" s="415"/>
      <c r="O95" s="422"/>
      <c r="P95" s="415"/>
      <c r="Q95" s="423">
        <f>AVERAGE(E95:P95)</f>
        <v>0</v>
      </c>
      <c r="R95" s="375" t="str">
        <f t="shared" si="5"/>
        <v>SI</v>
      </c>
      <c r="S95" s="417" t="str">
        <f t="shared" si="6"/>
        <v>Sin Riesgo</v>
      </c>
      <c r="T95" s="15"/>
    </row>
    <row r="96" spans="1:20" ht="32.1" customHeight="1" x14ac:dyDescent="0.2">
      <c r="A96" s="412" t="s">
        <v>161</v>
      </c>
      <c r="B96" s="406" t="s">
        <v>2204</v>
      </c>
      <c r="C96" s="420" t="s">
        <v>4241</v>
      </c>
      <c r="D96" s="364">
        <v>405</v>
      </c>
      <c r="E96" s="415"/>
      <c r="F96" s="415"/>
      <c r="G96" s="415"/>
      <c r="H96" s="415"/>
      <c r="I96" s="415">
        <v>0</v>
      </c>
      <c r="J96" s="415"/>
      <c r="K96" s="415"/>
      <c r="L96" s="415"/>
      <c r="M96" s="415"/>
      <c r="N96" s="415"/>
      <c r="O96" s="415"/>
      <c r="P96" s="415"/>
      <c r="Q96" s="423">
        <f>AVERAGE(E96:P96)</f>
        <v>0</v>
      </c>
      <c r="R96" s="375" t="str">
        <f>IF(Q96&lt;5,"SI","NO")</f>
        <v>SI</v>
      </c>
      <c r="S96" s="417" t="str">
        <f>IF(Q96&lt;5,"Sin Riesgo",IF(Q96 &lt;=14,"Bajo",IF(Q96&lt;=35,"Medio",IF(Q96&lt;=80,"Alto","Inviable Sanitariamente"))))</f>
        <v>Sin Riesgo</v>
      </c>
      <c r="T96" s="15"/>
    </row>
    <row r="97" spans="1:20" ht="32.1" customHeight="1" x14ac:dyDescent="0.2">
      <c r="A97" s="412" t="s">
        <v>161</v>
      </c>
      <c r="B97" s="406" t="s">
        <v>4242</v>
      </c>
      <c r="C97" s="420" t="s">
        <v>4243</v>
      </c>
      <c r="D97" s="364">
        <v>45</v>
      </c>
      <c r="E97" s="415"/>
      <c r="F97" s="415"/>
      <c r="G97" s="415"/>
      <c r="H97" s="415"/>
      <c r="I97" s="415"/>
      <c r="J97" s="415"/>
      <c r="K97" s="415">
        <v>23.4</v>
      </c>
      <c r="L97" s="415"/>
      <c r="M97" s="415"/>
      <c r="N97" s="415"/>
      <c r="O97" s="415"/>
      <c r="P97" s="415"/>
      <c r="Q97" s="423">
        <f>AVERAGE(E97:P97)</f>
        <v>23.4</v>
      </c>
      <c r="R97" s="375" t="str">
        <f>IF(Q97&lt;5,"SI","NO")</f>
        <v>NO</v>
      </c>
      <c r="S97" s="417" t="str">
        <f>IF(Q97&lt;5,"Sin Riesgo",IF(Q97 &lt;=14,"Bajo",IF(Q97&lt;=35,"Medio",IF(Q97&lt;=80,"Alto","Inviable Sanitariamente"))))</f>
        <v>Medio</v>
      </c>
      <c r="T97" s="15"/>
    </row>
    <row r="98" spans="1:20" ht="32.1" customHeight="1" x14ac:dyDescent="0.2">
      <c r="A98" s="412" t="s">
        <v>161</v>
      </c>
      <c r="B98" s="406" t="s">
        <v>2272</v>
      </c>
      <c r="C98" s="420" t="s">
        <v>4244</v>
      </c>
      <c r="D98" s="364">
        <v>540</v>
      </c>
      <c r="E98" s="415"/>
      <c r="F98" s="415"/>
      <c r="G98" s="415">
        <v>22.1</v>
      </c>
      <c r="H98" s="415"/>
      <c r="I98" s="415"/>
      <c r="J98" s="415"/>
      <c r="K98" s="415"/>
      <c r="L98" s="415"/>
      <c r="M98" s="415"/>
      <c r="N98" s="415"/>
      <c r="O98" s="415"/>
      <c r="P98" s="415"/>
      <c r="Q98" s="423">
        <f t="shared" si="4"/>
        <v>22.1</v>
      </c>
      <c r="R98" s="375" t="str">
        <f t="shared" si="5"/>
        <v>NO</v>
      </c>
      <c r="S98" s="417" t="str">
        <f t="shared" si="6"/>
        <v>Medio</v>
      </c>
      <c r="T98" s="15"/>
    </row>
    <row r="99" spans="1:20" ht="32.1" customHeight="1" x14ac:dyDescent="0.2">
      <c r="A99" s="412" t="s">
        <v>161</v>
      </c>
      <c r="B99" s="406" t="s">
        <v>1677</v>
      </c>
      <c r="C99" s="420" t="s">
        <v>1678</v>
      </c>
      <c r="D99" s="364"/>
      <c r="E99" s="415"/>
      <c r="F99" s="415"/>
      <c r="G99" s="415"/>
      <c r="H99" s="415"/>
      <c r="I99" s="415"/>
      <c r="J99" s="415"/>
      <c r="K99" s="415"/>
      <c r="L99" s="415"/>
      <c r="M99" s="415"/>
      <c r="N99" s="415"/>
      <c r="O99" s="415"/>
      <c r="P99" s="415"/>
      <c r="Q99" s="423" t="e">
        <f t="shared" si="4"/>
        <v>#DIV/0!</v>
      </c>
      <c r="R99" s="375" t="e">
        <f t="shared" si="5"/>
        <v>#DIV/0!</v>
      </c>
      <c r="S99" s="417" t="e">
        <f t="shared" si="6"/>
        <v>#DIV/0!</v>
      </c>
      <c r="T99" s="15"/>
    </row>
    <row r="100" spans="1:20" ht="32.1" customHeight="1" x14ac:dyDescent="0.2">
      <c r="A100" s="412" t="s">
        <v>161</v>
      </c>
      <c r="B100" s="412" t="s">
        <v>88</v>
      </c>
      <c r="C100" s="419" t="s">
        <v>1685</v>
      </c>
      <c r="D100" s="364"/>
      <c r="E100" s="415"/>
      <c r="F100" s="415"/>
      <c r="G100" s="415"/>
      <c r="H100" s="415"/>
      <c r="I100" s="415"/>
      <c r="J100" s="415"/>
      <c r="K100" s="415"/>
      <c r="L100" s="415"/>
      <c r="M100" s="415"/>
      <c r="N100" s="415"/>
      <c r="O100" s="415"/>
      <c r="P100" s="415"/>
      <c r="Q100" s="423" t="e">
        <f t="shared" si="4"/>
        <v>#DIV/0!</v>
      </c>
      <c r="R100" s="375" t="e">
        <f t="shared" si="5"/>
        <v>#DIV/0!</v>
      </c>
      <c r="S100" s="417" t="e">
        <f t="shared" si="6"/>
        <v>#DIV/0!</v>
      </c>
      <c r="T100" s="15"/>
    </row>
    <row r="101" spans="1:20" ht="32.1" customHeight="1" x14ac:dyDescent="0.2">
      <c r="A101" s="412" t="s">
        <v>161</v>
      </c>
      <c r="B101" s="412" t="s">
        <v>1696</v>
      </c>
      <c r="C101" s="419" t="s">
        <v>1697</v>
      </c>
      <c r="D101" s="364"/>
      <c r="E101" s="415"/>
      <c r="F101" s="415"/>
      <c r="G101" s="415"/>
      <c r="H101" s="415"/>
      <c r="I101" s="415"/>
      <c r="J101" s="415"/>
      <c r="K101" s="415"/>
      <c r="L101" s="415"/>
      <c r="M101" s="415"/>
      <c r="N101" s="415"/>
      <c r="O101" s="415"/>
      <c r="P101" s="415"/>
      <c r="Q101" s="416" t="e">
        <f t="shared" si="4"/>
        <v>#DIV/0!</v>
      </c>
      <c r="R101" s="375" t="e">
        <f t="shared" si="5"/>
        <v>#DIV/0!</v>
      </c>
      <c r="S101" s="417" t="e">
        <f t="shared" si="6"/>
        <v>#DIV/0!</v>
      </c>
      <c r="T101" s="15"/>
    </row>
    <row r="102" spans="1:20" ht="45" x14ac:dyDescent="0.2">
      <c r="A102" s="412" t="s">
        <v>161</v>
      </c>
      <c r="B102" s="412" t="s">
        <v>1703</v>
      </c>
      <c r="C102" s="419" t="s">
        <v>1704</v>
      </c>
      <c r="D102" s="428"/>
      <c r="E102" s="415"/>
      <c r="F102" s="415"/>
      <c r="G102" s="415"/>
      <c r="H102" s="415"/>
      <c r="I102" s="415"/>
      <c r="J102" s="415"/>
      <c r="K102" s="415"/>
      <c r="L102" s="415"/>
      <c r="M102" s="415"/>
      <c r="N102" s="415"/>
      <c r="O102" s="415"/>
      <c r="P102" s="415"/>
      <c r="Q102" s="416" t="e">
        <f t="shared" si="4"/>
        <v>#DIV/0!</v>
      </c>
      <c r="R102" s="375" t="e">
        <f t="shared" si="5"/>
        <v>#DIV/0!</v>
      </c>
      <c r="S102" s="417" t="e">
        <f t="shared" si="6"/>
        <v>#DIV/0!</v>
      </c>
      <c r="T102" s="36"/>
    </row>
    <row r="103" spans="1:20" ht="45" x14ac:dyDescent="0.2">
      <c r="A103" s="412" t="s">
        <v>161</v>
      </c>
      <c r="B103" s="412" t="s">
        <v>4462</v>
      </c>
      <c r="C103" s="419" t="s">
        <v>4461</v>
      </c>
      <c r="D103" s="428">
        <v>45</v>
      </c>
      <c r="E103" s="415"/>
      <c r="F103" s="415"/>
      <c r="G103" s="415"/>
      <c r="H103" s="415"/>
      <c r="I103" s="415"/>
      <c r="J103" s="415">
        <v>21.2</v>
      </c>
      <c r="K103" s="415"/>
      <c r="L103" s="415"/>
      <c r="M103" s="415"/>
      <c r="N103" s="415"/>
      <c r="O103" s="415"/>
      <c r="P103" s="415"/>
      <c r="Q103" s="416">
        <f>(AVERAGE(E103:P103))</f>
        <v>21.2</v>
      </c>
      <c r="R103" s="375" t="str">
        <f t="shared" si="5"/>
        <v>NO</v>
      </c>
      <c r="S103" s="417" t="str">
        <f t="shared" si="6"/>
        <v>Medio</v>
      </c>
      <c r="T103" s="305"/>
    </row>
    <row r="104" spans="1:20" s="97" customFormat="1" ht="32.1" customHeight="1" x14ac:dyDescent="0.2">
      <c r="A104" s="412" t="s">
        <v>3944</v>
      </c>
      <c r="B104" s="385" t="s">
        <v>1323</v>
      </c>
      <c r="C104" s="419" t="s">
        <v>1968</v>
      </c>
      <c r="D104" s="413">
        <v>128</v>
      </c>
      <c r="E104" s="415"/>
      <c r="F104" s="415"/>
      <c r="G104" s="415"/>
      <c r="H104" s="415"/>
      <c r="I104" s="415"/>
      <c r="J104" s="415"/>
      <c r="K104" s="415"/>
      <c r="L104" s="415"/>
      <c r="M104" s="415"/>
      <c r="N104" s="415"/>
      <c r="O104" s="415"/>
      <c r="P104" s="415">
        <v>97.6</v>
      </c>
      <c r="Q104" s="416">
        <f t="shared" si="4"/>
        <v>97.6</v>
      </c>
      <c r="R104" s="375" t="str">
        <f t="shared" si="5"/>
        <v>NO</v>
      </c>
      <c r="S104" s="417" t="str">
        <f t="shared" si="6"/>
        <v>Inviable Sanitariamente</v>
      </c>
      <c r="T104" s="113"/>
    </row>
    <row r="105" spans="1:20" s="97" customFormat="1" ht="32.1" customHeight="1" x14ac:dyDescent="0.2">
      <c r="A105" s="412" t="s">
        <v>3944</v>
      </c>
      <c r="B105" s="385" t="s">
        <v>1754</v>
      </c>
      <c r="C105" s="378" t="s">
        <v>1755</v>
      </c>
      <c r="D105" s="413">
        <v>289</v>
      </c>
      <c r="E105" s="415"/>
      <c r="F105" s="415">
        <v>0</v>
      </c>
      <c r="G105" s="415"/>
      <c r="H105" s="415"/>
      <c r="I105" s="415"/>
      <c r="J105" s="415"/>
      <c r="K105" s="415"/>
      <c r="L105" s="415"/>
      <c r="M105" s="415"/>
      <c r="N105" s="415"/>
      <c r="O105" s="415"/>
      <c r="P105" s="415"/>
      <c r="Q105" s="416">
        <f t="shared" si="4"/>
        <v>0</v>
      </c>
      <c r="R105" s="375" t="str">
        <f t="shared" si="5"/>
        <v>SI</v>
      </c>
      <c r="S105" s="417" t="str">
        <f t="shared" si="6"/>
        <v>Sin Riesgo</v>
      </c>
      <c r="T105" s="113"/>
    </row>
    <row r="106" spans="1:20" s="97" customFormat="1" ht="32.1" customHeight="1" x14ac:dyDescent="0.2">
      <c r="A106" s="412" t="s">
        <v>3944</v>
      </c>
      <c r="B106" s="385" t="s">
        <v>1756</v>
      </c>
      <c r="C106" s="378" t="s">
        <v>1757</v>
      </c>
      <c r="D106" s="413">
        <v>62</v>
      </c>
      <c r="E106" s="415"/>
      <c r="F106" s="415"/>
      <c r="G106" s="415"/>
      <c r="H106" s="415"/>
      <c r="I106" s="415"/>
      <c r="J106" s="415"/>
      <c r="K106" s="415"/>
      <c r="L106" s="415"/>
      <c r="M106" s="415"/>
      <c r="N106" s="415"/>
      <c r="O106" s="415"/>
      <c r="P106" s="415">
        <v>97.4</v>
      </c>
      <c r="Q106" s="416">
        <f t="shared" si="4"/>
        <v>97.4</v>
      </c>
      <c r="R106" s="375" t="str">
        <f t="shared" si="5"/>
        <v>NO</v>
      </c>
      <c r="S106" s="417" t="str">
        <f t="shared" si="6"/>
        <v>Inviable Sanitariamente</v>
      </c>
      <c r="T106" s="142"/>
    </row>
    <row r="107" spans="1:20" s="97" customFormat="1" ht="32.1" customHeight="1" x14ac:dyDescent="0.2">
      <c r="A107" s="412" t="s">
        <v>3944</v>
      </c>
      <c r="B107" s="385" t="s">
        <v>1758</v>
      </c>
      <c r="C107" s="378" t="s">
        <v>1759</v>
      </c>
      <c r="D107" s="364">
        <v>41</v>
      </c>
      <c r="E107" s="415"/>
      <c r="F107" s="415"/>
      <c r="G107" s="415"/>
      <c r="H107" s="415"/>
      <c r="I107" s="415"/>
      <c r="J107" s="415">
        <v>97.4</v>
      </c>
      <c r="K107" s="415"/>
      <c r="L107" s="415"/>
      <c r="M107" s="415"/>
      <c r="N107" s="415">
        <v>97.4</v>
      </c>
      <c r="O107" s="415"/>
      <c r="P107" s="415"/>
      <c r="Q107" s="416">
        <f t="shared" si="4"/>
        <v>97.4</v>
      </c>
      <c r="R107" s="375" t="str">
        <f t="shared" si="5"/>
        <v>NO</v>
      </c>
      <c r="S107" s="417" t="str">
        <f t="shared" si="6"/>
        <v>Inviable Sanitariamente</v>
      </c>
      <c r="T107" s="113"/>
    </row>
    <row r="108" spans="1:20" s="97" customFormat="1" ht="32.1" customHeight="1" x14ac:dyDescent="0.2">
      <c r="A108" s="412" t="s">
        <v>3944</v>
      </c>
      <c r="B108" s="385" t="s">
        <v>1760</v>
      </c>
      <c r="C108" s="378" t="s">
        <v>1761</v>
      </c>
      <c r="D108" s="364">
        <v>27</v>
      </c>
      <c r="E108" s="415"/>
      <c r="F108" s="415"/>
      <c r="G108" s="415"/>
      <c r="H108" s="415"/>
      <c r="I108" s="415"/>
      <c r="J108" s="415">
        <v>97.4</v>
      </c>
      <c r="K108" s="415"/>
      <c r="L108" s="415"/>
      <c r="M108" s="415"/>
      <c r="N108" s="415">
        <v>97.4</v>
      </c>
      <c r="O108" s="415"/>
      <c r="P108" s="415"/>
      <c r="Q108" s="416">
        <f t="shared" si="4"/>
        <v>97.4</v>
      </c>
      <c r="R108" s="375" t="str">
        <f t="shared" si="5"/>
        <v>NO</v>
      </c>
      <c r="S108" s="417" t="str">
        <f t="shared" si="6"/>
        <v>Inviable Sanitariamente</v>
      </c>
      <c r="T108" s="113"/>
    </row>
    <row r="109" spans="1:20" s="97" customFormat="1" ht="32.1" customHeight="1" x14ac:dyDescent="0.2">
      <c r="A109" s="412" t="s">
        <v>3944</v>
      </c>
      <c r="B109" s="385" t="s">
        <v>777</v>
      </c>
      <c r="C109" s="378" t="s">
        <v>1762</v>
      </c>
      <c r="D109" s="364">
        <v>81</v>
      </c>
      <c r="E109" s="415"/>
      <c r="F109" s="415"/>
      <c r="G109" s="415"/>
      <c r="H109" s="415"/>
      <c r="I109" s="415"/>
      <c r="J109" s="415"/>
      <c r="K109" s="415"/>
      <c r="L109" s="415"/>
      <c r="M109" s="415"/>
      <c r="N109" s="415"/>
      <c r="O109" s="415"/>
      <c r="P109" s="415">
        <v>97.35</v>
      </c>
      <c r="Q109" s="416">
        <f t="shared" si="4"/>
        <v>97.35</v>
      </c>
      <c r="R109" s="375" t="str">
        <f t="shared" si="5"/>
        <v>NO</v>
      </c>
      <c r="S109" s="417" t="str">
        <f t="shared" si="6"/>
        <v>Inviable Sanitariamente</v>
      </c>
      <c r="T109" s="113"/>
    </row>
    <row r="110" spans="1:20" s="97" customFormat="1" ht="32.1" customHeight="1" x14ac:dyDescent="0.2">
      <c r="A110" s="412" t="s">
        <v>3944</v>
      </c>
      <c r="B110" s="385" t="s">
        <v>1763</v>
      </c>
      <c r="C110" s="378" t="s">
        <v>1764</v>
      </c>
      <c r="D110" s="364">
        <v>20</v>
      </c>
      <c r="E110" s="415"/>
      <c r="F110" s="415"/>
      <c r="G110" s="415"/>
      <c r="H110" s="415"/>
      <c r="I110" s="415"/>
      <c r="J110" s="415"/>
      <c r="K110" s="415"/>
      <c r="L110" s="415"/>
      <c r="M110" s="415"/>
      <c r="N110" s="415">
        <v>97.35</v>
      </c>
      <c r="O110" s="415"/>
      <c r="P110" s="415"/>
      <c r="Q110" s="416">
        <f t="shared" si="4"/>
        <v>97.35</v>
      </c>
      <c r="R110" s="375" t="str">
        <f t="shared" si="5"/>
        <v>NO</v>
      </c>
      <c r="S110" s="417" t="str">
        <f t="shared" si="6"/>
        <v>Inviable Sanitariamente</v>
      </c>
      <c r="T110" s="113"/>
    </row>
    <row r="111" spans="1:20" s="97" customFormat="1" ht="32.1" customHeight="1" x14ac:dyDescent="0.2">
      <c r="A111" s="412" t="s">
        <v>3944</v>
      </c>
      <c r="B111" s="385" t="s">
        <v>1765</v>
      </c>
      <c r="C111" s="378" t="s">
        <v>1766</v>
      </c>
      <c r="D111" s="364">
        <v>59</v>
      </c>
      <c r="E111" s="415"/>
      <c r="F111" s="415"/>
      <c r="G111" s="415"/>
      <c r="H111" s="415"/>
      <c r="I111" s="415"/>
      <c r="J111" s="415"/>
      <c r="K111" s="415"/>
      <c r="L111" s="415"/>
      <c r="M111" s="415"/>
      <c r="N111" s="415">
        <v>97.35</v>
      </c>
      <c r="O111" s="415"/>
      <c r="P111" s="415"/>
      <c r="Q111" s="416">
        <f t="shared" si="4"/>
        <v>97.35</v>
      </c>
      <c r="R111" s="375" t="str">
        <f t="shared" ref="R111:R138" si="7">IF(Q111&lt;5,"SI","NO")</f>
        <v>NO</v>
      </c>
      <c r="S111" s="417" t="str">
        <f t="shared" si="6"/>
        <v>Inviable Sanitariamente</v>
      </c>
      <c r="T111" s="113"/>
    </row>
    <row r="112" spans="1:20" s="97" customFormat="1" ht="32.1" customHeight="1" x14ac:dyDescent="0.2">
      <c r="A112" s="412" t="s">
        <v>3944</v>
      </c>
      <c r="B112" s="385" t="s">
        <v>1756</v>
      </c>
      <c r="C112" s="378" t="s">
        <v>1767</v>
      </c>
      <c r="D112" s="364">
        <v>98</v>
      </c>
      <c r="E112" s="415"/>
      <c r="F112" s="415"/>
      <c r="G112" s="415"/>
      <c r="H112" s="415"/>
      <c r="I112" s="415"/>
      <c r="J112" s="415"/>
      <c r="K112" s="415"/>
      <c r="L112" s="415"/>
      <c r="M112" s="415"/>
      <c r="N112" s="415"/>
      <c r="O112" s="415"/>
      <c r="P112" s="415">
        <v>97.35</v>
      </c>
      <c r="Q112" s="416">
        <f t="shared" si="4"/>
        <v>97.35</v>
      </c>
      <c r="R112" s="375" t="str">
        <f t="shared" si="7"/>
        <v>NO</v>
      </c>
      <c r="S112" s="417" t="str">
        <f t="shared" si="6"/>
        <v>Inviable Sanitariamente</v>
      </c>
      <c r="T112" s="113"/>
    </row>
    <row r="113" spans="1:20" s="97" customFormat="1" ht="32.1" customHeight="1" x14ac:dyDescent="0.2">
      <c r="A113" s="412" t="s">
        <v>3944</v>
      </c>
      <c r="B113" s="385" t="s">
        <v>96</v>
      </c>
      <c r="C113" s="378" t="s">
        <v>1768</v>
      </c>
      <c r="D113" s="364">
        <v>29</v>
      </c>
      <c r="E113" s="415"/>
      <c r="F113" s="415">
        <v>97.3</v>
      </c>
      <c r="G113" s="415"/>
      <c r="H113" s="415"/>
      <c r="I113" s="415"/>
      <c r="J113" s="415"/>
      <c r="K113" s="415"/>
      <c r="L113" s="415"/>
      <c r="M113" s="415"/>
      <c r="N113" s="415">
        <v>97.4</v>
      </c>
      <c r="O113" s="415"/>
      <c r="P113" s="415"/>
      <c r="Q113" s="416">
        <f t="shared" si="4"/>
        <v>97.35</v>
      </c>
      <c r="R113" s="375" t="str">
        <f t="shared" si="7"/>
        <v>NO</v>
      </c>
      <c r="S113" s="417" t="str">
        <f t="shared" si="6"/>
        <v>Inviable Sanitariamente</v>
      </c>
      <c r="T113" s="113"/>
    </row>
    <row r="114" spans="1:20" s="97" customFormat="1" ht="32.1" customHeight="1" x14ac:dyDescent="0.2">
      <c r="A114" s="412" t="s">
        <v>3944</v>
      </c>
      <c r="B114" s="385" t="s">
        <v>1760</v>
      </c>
      <c r="C114" s="378" t="s">
        <v>1769</v>
      </c>
      <c r="D114" s="413">
        <v>35</v>
      </c>
      <c r="E114" s="415"/>
      <c r="F114" s="415"/>
      <c r="G114" s="415"/>
      <c r="H114" s="415"/>
      <c r="I114" s="415"/>
      <c r="J114" s="415">
        <v>97.3</v>
      </c>
      <c r="K114" s="415"/>
      <c r="L114" s="415"/>
      <c r="M114" s="415"/>
      <c r="N114" s="415"/>
      <c r="O114" s="415"/>
      <c r="P114" s="415"/>
      <c r="Q114" s="416">
        <f t="shared" si="4"/>
        <v>97.3</v>
      </c>
      <c r="R114" s="375" t="str">
        <f t="shared" si="7"/>
        <v>NO</v>
      </c>
      <c r="S114" s="417" t="str">
        <f t="shared" si="6"/>
        <v>Inviable Sanitariamente</v>
      </c>
      <c r="T114" s="113"/>
    </row>
    <row r="115" spans="1:20" s="97" customFormat="1" ht="32.1" customHeight="1" x14ac:dyDescent="0.2">
      <c r="A115" s="412" t="s">
        <v>3944</v>
      </c>
      <c r="B115" s="385" t="s">
        <v>98</v>
      </c>
      <c r="C115" s="378" t="s">
        <v>1770</v>
      </c>
      <c r="D115" s="413">
        <v>40</v>
      </c>
      <c r="E115" s="415"/>
      <c r="F115" s="415"/>
      <c r="G115" s="415">
        <v>97.4</v>
      </c>
      <c r="H115" s="415"/>
      <c r="I115" s="415"/>
      <c r="J115" s="415"/>
      <c r="K115" s="415"/>
      <c r="L115" s="415"/>
      <c r="M115" s="415"/>
      <c r="N115" s="415"/>
      <c r="O115" s="415"/>
      <c r="P115" s="415"/>
      <c r="Q115" s="416">
        <f t="shared" si="4"/>
        <v>97.4</v>
      </c>
      <c r="R115" s="375" t="str">
        <f t="shared" si="7"/>
        <v>NO</v>
      </c>
      <c r="S115" s="417" t="str">
        <f t="shared" si="6"/>
        <v>Inviable Sanitariamente</v>
      </c>
      <c r="T115" s="113"/>
    </row>
    <row r="116" spans="1:20" s="146" customFormat="1" ht="32.1" customHeight="1" x14ac:dyDescent="0.2">
      <c r="A116" s="412" t="s">
        <v>162</v>
      </c>
      <c r="B116" s="361" t="s">
        <v>1771</v>
      </c>
      <c r="C116" s="378" t="s">
        <v>1772</v>
      </c>
      <c r="D116" s="431">
        <v>80</v>
      </c>
      <c r="E116" s="415"/>
      <c r="F116" s="415">
        <v>0</v>
      </c>
      <c r="G116" s="415"/>
      <c r="H116" s="415">
        <v>0</v>
      </c>
      <c r="I116" s="415"/>
      <c r="J116" s="415">
        <v>0</v>
      </c>
      <c r="K116" s="415"/>
      <c r="L116" s="415">
        <v>0</v>
      </c>
      <c r="M116" s="415"/>
      <c r="N116" s="415"/>
      <c r="O116" s="415"/>
      <c r="P116" s="415"/>
      <c r="Q116" s="416">
        <f t="shared" si="4"/>
        <v>0</v>
      </c>
      <c r="R116" s="375" t="str">
        <f t="shared" si="7"/>
        <v>SI</v>
      </c>
      <c r="S116" s="417" t="str">
        <f t="shared" si="6"/>
        <v>Sin Riesgo</v>
      </c>
      <c r="T116" s="145"/>
    </row>
    <row r="117" spans="1:20" s="146" customFormat="1" ht="32.1" customHeight="1" x14ac:dyDescent="0.2">
      <c r="A117" s="412" t="s">
        <v>162</v>
      </c>
      <c r="B117" s="361" t="s">
        <v>0</v>
      </c>
      <c r="C117" s="378" t="s">
        <v>1773</v>
      </c>
      <c r="D117" s="430">
        <v>12</v>
      </c>
      <c r="E117" s="415"/>
      <c r="F117" s="415">
        <v>55.94</v>
      </c>
      <c r="G117" s="415"/>
      <c r="H117" s="415">
        <v>0</v>
      </c>
      <c r="I117" s="415"/>
      <c r="J117" s="415">
        <v>0</v>
      </c>
      <c r="K117" s="415"/>
      <c r="L117" s="415">
        <v>0</v>
      </c>
      <c r="M117" s="415"/>
      <c r="N117" s="415"/>
      <c r="O117" s="415"/>
      <c r="P117" s="415"/>
      <c r="Q117" s="416">
        <f t="shared" si="4"/>
        <v>13.984999999999999</v>
      </c>
      <c r="R117" s="375" t="str">
        <f t="shared" si="7"/>
        <v>NO</v>
      </c>
      <c r="S117" s="417" t="str">
        <f t="shared" si="6"/>
        <v>Bajo</v>
      </c>
      <c r="T117" s="145"/>
    </row>
    <row r="118" spans="1:20" s="146" customFormat="1" ht="32.1" customHeight="1" x14ac:dyDescent="0.2">
      <c r="A118" s="412" t="s">
        <v>162</v>
      </c>
      <c r="B118" s="361" t="s">
        <v>1774</v>
      </c>
      <c r="C118" s="378" t="s">
        <v>1775</v>
      </c>
      <c r="D118" s="431">
        <v>80</v>
      </c>
      <c r="E118" s="415"/>
      <c r="F118" s="415">
        <v>0</v>
      </c>
      <c r="G118" s="415"/>
      <c r="H118" s="415">
        <v>0</v>
      </c>
      <c r="I118" s="415"/>
      <c r="J118" s="415">
        <v>0</v>
      </c>
      <c r="K118" s="415"/>
      <c r="L118" s="415">
        <v>0</v>
      </c>
      <c r="M118" s="415"/>
      <c r="N118" s="415"/>
      <c r="O118" s="415"/>
      <c r="P118" s="415"/>
      <c r="Q118" s="416">
        <f t="shared" si="4"/>
        <v>0</v>
      </c>
      <c r="R118" s="375" t="str">
        <f t="shared" si="7"/>
        <v>SI</v>
      </c>
      <c r="S118" s="417" t="str">
        <f t="shared" si="6"/>
        <v>Sin Riesgo</v>
      </c>
      <c r="T118" s="145"/>
    </row>
    <row r="119" spans="1:20" s="146" customFormat="1" ht="32.1" customHeight="1" x14ac:dyDescent="0.2">
      <c r="A119" s="412" t="s">
        <v>162</v>
      </c>
      <c r="B119" s="361" t="s">
        <v>1776</v>
      </c>
      <c r="C119" s="378" t="s">
        <v>1777</v>
      </c>
      <c r="D119" s="430">
        <v>5</v>
      </c>
      <c r="E119" s="415"/>
      <c r="F119" s="415">
        <v>0</v>
      </c>
      <c r="G119" s="415"/>
      <c r="H119" s="415">
        <v>0</v>
      </c>
      <c r="I119" s="415"/>
      <c r="J119" s="415">
        <v>26.55</v>
      </c>
      <c r="K119" s="415"/>
      <c r="L119" s="415">
        <v>0</v>
      </c>
      <c r="M119" s="415"/>
      <c r="N119" s="415"/>
      <c r="O119" s="415"/>
      <c r="P119" s="415"/>
      <c r="Q119" s="416">
        <f t="shared" si="4"/>
        <v>6.6375000000000002</v>
      </c>
      <c r="R119" s="375" t="str">
        <f t="shared" si="7"/>
        <v>NO</v>
      </c>
      <c r="S119" s="417" t="str">
        <f t="shared" si="6"/>
        <v>Bajo</v>
      </c>
      <c r="T119" s="145"/>
    </row>
    <row r="120" spans="1:20" s="146" customFormat="1" ht="32.1" customHeight="1" x14ac:dyDescent="0.2">
      <c r="A120" s="412" t="s">
        <v>162</v>
      </c>
      <c r="B120" s="361" t="s">
        <v>1778</v>
      </c>
      <c r="C120" s="378" t="s">
        <v>1779</v>
      </c>
      <c r="D120" s="430">
        <v>42</v>
      </c>
      <c r="E120" s="415"/>
      <c r="F120" s="415">
        <v>0</v>
      </c>
      <c r="G120" s="415"/>
      <c r="H120" s="415">
        <v>0</v>
      </c>
      <c r="I120" s="415"/>
      <c r="J120" s="415">
        <v>0</v>
      </c>
      <c r="K120" s="415"/>
      <c r="L120" s="415">
        <v>0</v>
      </c>
      <c r="M120" s="415"/>
      <c r="N120" s="415"/>
      <c r="O120" s="415"/>
      <c r="P120" s="415"/>
      <c r="Q120" s="416">
        <f t="shared" si="4"/>
        <v>0</v>
      </c>
      <c r="R120" s="375" t="str">
        <f t="shared" si="7"/>
        <v>SI</v>
      </c>
      <c r="S120" s="417" t="str">
        <f t="shared" si="6"/>
        <v>Sin Riesgo</v>
      </c>
      <c r="T120" s="145"/>
    </row>
    <row r="121" spans="1:20" s="146" customFormat="1" ht="32.1" customHeight="1" x14ac:dyDescent="0.2">
      <c r="A121" s="412" t="s">
        <v>162</v>
      </c>
      <c r="B121" s="361" t="s">
        <v>1251</v>
      </c>
      <c r="C121" s="378" t="s">
        <v>1780</v>
      </c>
      <c r="D121" s="430">
        <v>45</v>
      </c>
      <c r="E121" s="415"/>
      <c r="F121" s="415">
        <v>0</v>
      </c>
      <c r="G121" s="415"/>
      <c r="H121" s="415">
        <v>0</v>
      </c>
      <c r="I121" s="415"/>
      <c r="J121" s="415">
        <v>0</v>
      </c>
      <c r="K121" s="415"/>
      <c r="L121" s="415">
        <v>0</v>
      </c>
      <c r="M121" s="415"/>
      <c r="N121" s="415"/>
      <c r="O121" s="415"/>
      <c r="P121" s="415"/>
      <c r="Q121" s="416">
        <f t="shared" si="4"/>
        <v>0</v>
      </c>
      <c r="R121" s="375" t="str">
        <f t="shared" si="7"/>
        <v>SI</v>
      </c>
      <c r="S121" s="417" t="str">
        <f t="shared" si="6"/>
        <v>Sin Riesgo</v>
      </c>
      <c r="T121" s="145"/>
    </row>
    <row r="122" spans="1:20" s="146" customFormat="1" ht="32.1" customHeight="1" x14ac:dyDescent="0.2">
      <c r="A122" s="412" t="s">
        <v>162</v>
      </c>
      <c r="B122" s="361" t="s">
        <v>845</v>
      </c>
      <c r="C122" s="378" t="s">
        <v>1781</v>
      </c>
      <c r="D122" s="430">
        <v>72</v>
      </c>
      <c r="E122" s="415"/>
      <c r="F122" s="415">
        <v>0</v>
      </c>
      <c r="G122" s="415"/>
      <c r="H122" s="415">
        <v>0</v>
      </c>
      <c r="I122" s="415"/>
      <c r="J122" s="415">
        <v>0</v>
      </c>
      <c r="K122" s="415"/>
      <c r="L122" s="415">
        <v>0</v>
      </c>
      <c r="M122" s="415"/>
      <c r="N122" s="415"/>
      <c r="O122" s="415"/>
      <c r="P122" s="415"/>
      <c r="Q122" s="416">
        <f t="shared" si="4"/>
        <v>0</v>
      </c>
      <c r="R122" s="375" t="str">
        <f t="shared" si="7"/>
        <v>SI</v>
      </c>
      <c r="S122" s="417" t="str">
        <f t="shared" si="6"/>
        <v>Sin Riesgo</v>
      </c>
      <c r="T122" s="145"/>
    </row>
    <row r="123" spans="1:20" s="146" customFormat="1" ht="32.1" customHeight="1" x14ac:dyDescent="0.2">
      <c r="A123" s="412" t="s">
        <v>162</v>
      </c>
      <c r="B123" s="412" t="s">
        <v>557</v>
      </c>
      <c r="C123" s="419" t="s">
        <v>1782</v>
      </c>
      <c r="D123" s="430">
        <v>9</v>
      </c>
      <c r="E123" s="415"/>
      <c r="F123" s="415">
        <v>0</v>
      </c>
      <c r="G123" s="415"/>
      <c r="H123" s="415">
        <v>0</v>
      </c>
      <c r="I123" s="415"/>
      <c r="J123" s="415">
        <v>0</v>
      </c>
      <c r="K123" s="415"/>
      <c r="L123" s="415">
        <v>0</v>
      </c>
      <c r="M123" s="415"/>
      <c r="N123" s="415"/>
      <c r="O123" s="415"/>
      <c r="P123" s="415"/>
      <c r="Q123" s="416">
        <f t="shared" si="4"/>
        <v>0</v>
      </c>
      <c r="R123" s="375" t="str">
        <f t="shared" si="7"/>
        <v>SI</v>
      </c>
      <c r="S123" s="417" t="str">
        <f t="shared" si="6"/>
        <v>Sin Riesgo</v>
      </c>
      <c r="T123" s="145"/>
    </row>
    <row r="124" spans="1:20" s="146" customFormat="1" ht="32.1" customHeight="1" x14ac:dyDescent="0.2">
      <c r="A124" s="412" t="s">
        <v>162</v>
      </c>
      <c r="B124" s="412" t="s">
        <v>1784</v>
      </c>
      <c r="C124" s="419" t="s">
        <v>1785</v>
      </c>
      <c r="D124" s="430">
        <v>32</v>
      </c>
      <c r="E124" s="415"/>
      <c r="F124" s="415">
        <v>0</v>
      </c>
      <c r="G124" s="415"/>
      <c r="H124" s="415">
        <v>0</v>
      </c>
      <c r="I124" s="415"/>
      <c r="J124" s="415">
        <v>0</v>
      </c>
      <c r="K124" s="415"/>
      <c r="L124" s="415">
        <v>0</v>
      </c>
      <c r="M124" s="415"/>
      <c r="N124" s="415"/>
      <c r="O124" s="415"/>
      <c r="P124" s="415"/>
      <c r="Q124" s="416">
        <f t="shared" si="4"/>
        <v>0</v>
      </c>
      <c r="R124" s="375" t="str">
        <f t="shared" si="7"/>
        <v>SI</v>
      </c>
      <c r="S124" s="417" t="str">
        <f t="shared" si="6"/>
        <v>Sin Riesgo</v>
      </c>
      <c r="T124" s="145"/>
    </row>
    <row r="125" spans="1:20" s="146" customFormat="1" ht="32.1" customHeight="1" x14ac:dyDescent="0.2">
      <c r="A125" s="412" t="s">
        <v>162</v>
      </c>
      <c r="B125" s="412" t="s">
        <v>1786</v>
      </c>
      <c r="C125" s="419" t="s">
        <v>1787</v>
      </c>
      <c r="D125" s="430">
        <v>25</v>
      </c>
      <c r="E125" s="415"/>
      <c r="F125" s="415">
        <v>0</v>
      </c>
      <c r="G125" s="415"/>
      <c r="H125" s="415">
        <v>0</v>
      </c>
      <c r="I125" s="415"/>
      <c r="J125" s="415">
        <v>0</v>
      </c>
      <c r="K125" s="415"/>
      <c r="L125" s="415">
        <v>0</v>
      </c>
      <c r="M125" s="415"/>
      <c r="N125" s="415"/>
      <c r="O125" s="415"/>
      <c r="P125" s="415"/>
      <c r="Q125" s="416">
        <f t="shared" si="4"/>
        <v>0</v>
      </c>
      <c r="R125" s="375" t="str">
        <f t="shared" si="7"/>
        <v>SI</v>
      </c>
      <c r="S125" s="417" t="str">
        <f t="shared" si="6"/>
        <v>Sin Riesgo</v>
      </c>
      <c r="T125" s="145"/>
    </row>
    <row r="126" spans="1:20" s="146" customFormat="1" ht="32.1" customHeight="1" x14ac:dyDescent="0.2">
      <c r="A126" s="412" t="s">
        <v>162</v>
      </c>
      <c r="B126" s="412" t="s">
        <v>1788</v>
      </c>
      <c r="C126" s="419" t="s">
        <v>1789</v>
      </c>
      <c r="D126" s="430">
        <v>18</v>
      </c>
      <c r="E126" s="415"/>
      <c r="F126" s="415">
        <v>0</v>
      </c>
      <c r="G126" s="415"/>
      <c r="H126" s="415">
        <v>0</v>
      </c>
      <c r="I126" s="415"/>
      <c r="J126" s="415">
        <v>0</v>
      </c>
      <c r="K126" s="415"/>
      <c r="L126" s="415">
        <v>0</v>
      </c>
      <c r="M126" s="415"/>
      <c r="N126" s="415"/>
      <c r="O126" s="415"/>
      <c r="P126" s="415"/>
      <c r="Q126" s="416">
        <f t="shared" si="4"/>
        <v>0</v>
      </c>
      <c r="R126" s="375" t="str">
        <f t="shared" si="7"/>
        <v>SI</v>
      </c>
      <c r="S126" s="417" t="str">
        <f t="shared" si="6"/>
        <v>Sin Riesgo</v>
      </c>
      <c r="T126" s="145"/>
    </row>
    <row r="127" spans="1:20" s="146" customFormat="1" ht="32.1" customHeight="1" x14ac:dyDescent="0.2">
      <c r="A127" s="412" t="s">
        <v>162</v>
      </c>
      <c r="B127" s="432" t="s">
        <v>1966</v>
      </c>
      <c r="C127" s="419" t="s">
        <v>1967</v>
      </c>
      <c r="D127" s="430">
        <v>600</v>
      </c>
      <c r="E127" s="415"/>
      <c r="F127" s="415"/>
      <c r="G127" s="415"/>
      <c r="H127" s="415"/>
      <c r="I127" s="415"/>
      <c r="J127" s="415"/>
      <c r="K127" s="415"/>
      <c r="L127" s="415"/>
      <c r="M127" s="415"/>
      <c r="N127" s="415"/>
      <c r="O127" s="415"/>
      <c r="P127" s="415"/>
      <c r="Q127" s="416" t="e">
        <f t="shared" si="4"/>
        <v>#DIV/0!</v>
      </c>
      <c r="R127" s="375" t="e">
        <f t="shared" si="7"/>
        <v>#DIV/0!</v>
      </c>
      <c r="S127" s="417" t="e">
        <f t="shared" si="6"/>
        <v>#DIV/0!</v>
      </c>
      <c r="T127" s="145"/>
    </row>
    <row r="128" spans="1:20" s="144" customFormat="1" ht="32.1" customHeight="1" x14ac:dyDescent="0.2">
      <c r="A128" s="412" t="s">
        <v>46</v>
      </c>
      <c r="B128" s="385" t="s">
        <v>1964</v>
      </c>
      <c r="C128" s="378" t="s">
        <v>1790</v>
      </c>
      <c r="D128" s="413">
        <v>285</v>
      </c>
      <c r="E128" s="415"/>
      <c r="F128" s="415"/>
      <c r="G128" s="415">
        <v>53.1</v>
      </c>
      <c r="H128" s="415"/>
      <c r="I128" s="415"/>
      <c r="J128" s="415"/>
      <c r="K128" s="415"/>
      <c r="L128" s="415"/>
      <c r="M128" s="415"/>
      <c r="N128" s="415"/>
      <c r="O128" s="415"/>
      <c r="P128" s="415"/>
      <c r="Q128" s="416">
        <f t="shared" si="4"/>
        <v>53.1</v>
      </c>
      <c r="R128" s="395" t="str">
        <f t="shared" si="7"/>
        <v>NO</v>
      </c>
      <c r="S128" s="417" t="str">
        <f t="shared" si="6"/>
        <v>Alto</v>
      </c>
      <c r="T128" s="143"/>
    </row>
    <row r="129" spans="1:20" s="144" customFormat="1" ht="32.1" customHeight="1" x14ac:dyDescent="0.2">
      <c r="A129" s="412" t="s">
        <v>46</v>
      </c>
      <c r="B129" s="385" t="s">
        <v>1791</v>
      </c>
      <c r="C129" s="378" t="s">
        <v>1792</v>
      </c>
      <c r="D129" s="413">
        <v>205</v>
      </c>
      <c r="E129" s="415"/>
      <c r="F129" s="415"/>
      <c r="G129" s="415"/>
      <c r="H129" s="415"/>
      <c r="I129" s="415"/>
      <c r="J129" s="415"/>
      <c r="K129" s="415"/>
      <c r="L129" s="415"/>
      <c r="M129" s="415"/>
      <c r="N129" s="415"/>
      <c r="O129" s="415">
        <v>53.1</v>
      </c>
      <c r="P129" s="415"/>
      <c r="Q129" s="416">
        <f t="shared" si="4"/>
        <v>53.1</v>
      </c>
      <c r="R129" s="395" t="str">
        <f t="shared" si="7"/>
        <v>NO</v>
      </c>
      <c r="S129" s="417" t="str">
        <f t="shared" si="6"/>
        <v>Alto</v>
      </c>
      <c r="T129" s="143"/>
    </row>
    <row r="130" spans="1:20" s="144" customFormat="1" ht="32.1" customHeight="1" x14ac:dyDescent="0.2">
      <c r="A130" s="412" t="s">
        <v>46</v>
      </c>
      <c r="B130" s="385" t="s">
        <v>1793</v>
      </c>
      <c r="C130" s="378" t="s">
        <v>1794</v>
      </c>
      <c r="D130" s="413">
        <v>168</v>
      </c>
      <c r="E130" s="415"/>
      <c r="F130" s="415"/>
      <c r="G130" s="415">
        <v>53.1</v>
      </c>
      <c r="H130" s="415"/>
      <c r="I130" s="415"/>
      <c r="J130" s="415"/>
      <c r="K130" s="415">
        <v>53.1</v>
      </c>
      <c r="L130" s="415"/>
      <c r="M130" s="415">
        <v>53.1</v>
      </c>
      <c r="N130" s="415"/>
      <c r="O130" s="415"/>
      <c r="P130" s="415"/>
      <c r="Q130" s="416">
        <f t="shared" si="4"/>
        <v>53.1</v>
      </c>
      <c r="R130" s="395" t="str">
        <f t="shared" si="7"/>
        <v>NO</v>
      </c>
      <c r="S130" s="417" t="str">
        <f t="shared" si="6"/>
        <v>Alto</v>
      </c>
      <c r="T130" s="143"/>
    </row>
    <row r="131" spans="1:20" s="144" customFormat="1" ht="32.1" customHeight="1" x14ac:dyDescent="0.2">
      <c r="A131" s="412" t="s">
        <v>46</v>
      </c>
      <c r="B131" s="385" t="s">
        <v>1795</v>
      </c>
      <c r="C131" s="378" t="s">
        <v>1796</v>
      </c>
      <c r="D131" s="413">
        <v>210</v>
      </c>
      <c r="E131" s="415"/>
      <c r="F131" s="415"/>
      <c r="G131" s="415">
        <v>53.1</v>
      </c>
      <c r="H131" s="415"/>
      <c r="I131" s="415"/>
      <c r="J131" s="415"/>
      <c r="K131" s="415"/>
      <c r="L131" s="415"/>
      <c r="M131" s="415"/>
      <c r="N131" s="415"/>
      <c r="O131" s="415"/>
      <c r="P131" s="415"/>
      <c r="Q131" s="416">
        <f t="shared" si="4"/>
        <v>53.1</v>
      </c>
      <c r="R131" s="395" t="str">
        <f t="shared" si="7"/>
        <v>NO</v>
      </c>
      <c r="S131" s="417" t="str">
        <f t="shared" si="6"/>
        <v>Alto</v>
      </c>
      <c r="T131" s="143"/>
    </row>
    <row r="132" spans="1:20" s="144" customFormat="1" ht="32.1" customHeight="1" x14ac:dyDescent="0.2">
      <c r="A132" s="412" t="s">
        <v>46</v>
      </c>
      <c r="B132" s="385" t="s">
        <v>1797</v>
      </c>
      <c r="C132" s="378" t="s">
        <v>1798</v>
      </c>
      <c r="D132" s="413">
        <v>170</v>
      </c>
      <c r="E132" s="415"/>
      <c r="F132" s="415">
        <v>53.1</v>
      </c>
      <c r="G132" s="415"/>
      <c r="H132" s="415"/>
      <c r="I132" s="415"/>
      <c r="J132" s="415"/>
      <c r="K132" s="415"/>
      <c r="L132" s="415"/>
      <c r="M132" s="415"/>
      <c r="N132" s="415"/>
      <c r="O132" s="415"/>
      <c r="P132" s="415"/>
      <c r="Q132" s="416">
        <f t="shared" si="4"/>
        <v>53.1</v>
      </c>
      <c r="R132" s="395" t="str">
        <f t="shared" si="7"/>
        <v>NO</v>
      </c>
      <c r="S132" s="417" t="str">
        <f t="shared" si="6"/>
        <v>Alto</v>
      </c>
      <c r="T132" s="143"/>
    </row>
    <row r="133" spans="1:20" s="144" customFormat="1" ht="32.1" customHeight="1" x14ac:dyDescent="0.2">
      <c r="A133" s="412" t="s">
        <v>46</v>
      </c>
      <c r="B133" s="385" t="s">
        <v>1323</v>
      </c>
      <c r="C133" s="378" t="s">
        <v>1799</v>
      </c>
      <c r="D133" s="413">
        <v>325</v>
      </c>
      <c r="E133" s="415"/>
      <c r="F133" s="415">
        <v>0</v>
      </c>
      <c r="G133" s="415"/>
      <c r="H133" s="415"/>
      <c r="I133" s="415"/>
      <c r="J133" s="415"/>
      <c r="K133" s="415"/>
      <c r="L133" s="415"/>
      <c r="M133" s="415"/>
      <c r="N133" s="415">
        <v>0</v>
      </c>
      <c r="O133" s="415"/>
      <c r="P133" s="415"/>
      <c r="Q133" s="416">
        <f t="shared" si="4"/>
        <v>0</v>
      </c>
      <c r="R133" s="395" t="str">
        <f t="shared" si="7"/>
        <v>SI</v>
      </c>
      <c r="S133" s="417" t="str">
        <f t="shared" si="6"/>
        <v>Sin Riesgo</v>
      </c>
      <c r="T133" s="143"/>
    </row>
    <row r="134" spans="1:20" s="144" customFormat="1" ht="32.1" customHeight="1" x14ac:dyDescent="0.2">
      <c r="A134" s="412" t="s">
        <v>46</v>
      </c>
      <c r="B134" s="385" t="s">
        <v>1800</v>
      </c>
      <c r="C134" s="378" t="s">
        <v>1801</v>
      </c>
      <c r="D134" s="413">
        <v>220</v>
      </c>
      <c r="E134" s="415"/>
      <c r="F134" s="415"/>
      <c r="G134" s="415"/>
      <c r="H134" s="415"/>
      <c r="I134" s="415">
        <v>53.1</v>
      </c>
      <c r="J134" s="415"/>
      <c r="K134" s="415"/>
      <c r="L134" s="415"/>
      <c r="M134" s="415"/>
      <c r="N134" s="415"/>
      <c r="O134" s="415"/>
      <c r="P134" s="415"/>
      <c r="Q134" s="416">
        <f t="shared" si="4"/>
        <v>53.1</v>
      </c>
      <c r="R134" s="395" t="str">
        <f t="shared" si="7"/>
        <v>NO</v>
      </c>
      <c r="S134" s="417" t="str">
        <f t="shared" si="6"/>
        <v>Alto</v>
      </c>
      <c r="T134" s="143"/>
    </row>
    <row r="135" spans="1:20" s="144" customFormat="1" ht="32.1" customHeight="1" x14ac:dyDescent="0.2">
      <c r="A135" s="412" t="s">
        <v>46</v>
      </c>
      <c r="B135" s="385" t="s">
        <v>1802</v>
      </c>
      <c r="C135" s="378" t="s">
        <v>1803</v>
      </c>
      <c r="D135" s="413">
        <v>110</v>
      </c>
      <c r="E135" s="415"/>
      <c r="F135" s="415"/>
      <c r="G135" s="415"/>
      <c r="H135" s="415"/>
      <c r="I135" s="415"/>
      <c r="J135" s="415"/>
      <c r="K135" s="415"/>
      <c r="L135" s="415">
        <v>53.1</v>
      </c>
      <c r="M135" s="415"/>
      <c r="N135" s="415"/>
      <c r="O135" s="415"/>
      <c r="P135" s="415"/>
      <c r="Q135" s="416">
        <f t="shared" si="4"/>
        <v>53.1</v>
      </c>
      <c r="R135" s="395" t="str">
        <f t="shared" si="7"/>
        <v>NO</v>
      </c>
      <c r="S135" s="417" t="str">
        <f t="shared" si="6"/>
        <v>Alto</v>
      </c>
      <c r="T135" s="143"/>
    </row>
    <row r="136" spans="1:20" s="144" customFormat="1" ht="32.1" customHeight="1" x14ac:dyDescent="0.2">
      <c r="A136" s="412" t="s">
        <v>46</v>
      </c>
      <c r="B136" s="385" t="s">
        <v>674</v>
      </c>
      <c r="C136" s="378" t="s">
        <v>1804</v>
      </c>
      <c r="D136" s="413">
        <v>508</v>
      </c>
      <c r="E136" s="415"/>
      <c r="F136" s="415"/>
      <c r="G136" s="415"/>
      <c r="H136" s="415"/>
      <c r="I136" s="415"/>
      <c r="J136" s="415"/>
      <c r="K136" s="415"/>
      <c r="L136" s="415"/>
      <c r="M136" s="415">
        <v>53.1</v>
      </c>
      <c r="N136" s="415"/>
      <c r="O136" s="415"/>
      <c r="P136" s="415"/>
      <c r="Q136" s="416">
        <f t="shared" si="4"/>
        <v>53.1</v>
      </c>
      <c r="R136" s="395" t="str">
        <f t="shared" si="7"/>
        <v>NO</v>
      </c>
      <c r="S136" s="417" t="str">
        <f t="shared" si="6"/>
        <v>Alto</v>
      </c>
      <c r="T136" s="143"/>
    </row>
    <row r="137" spans="1:20" s="144" customFormat="1" ht="32.1" customHeight="1" x14ac:dyDescent="0.2">
      <c r="A137" s="412" t="s">
        <v>46</v>
      </c>
      <c r="B137" s="385" t="s">
        <v>1805</v>
      </c>
      <c r="C137" s="378" t="s">
        <v>1806</v>
      </c>
      <c r="D137" s="413">
        <v>495</v>
      </c>
      <c r="E137" s="415"/>
      <c r="F137" s="415"/>
      <c r="G137" s="415">
        <v>53.1</v>
      </c>
      <c r="H137" s="415"/>
      <c r="I137" s="415"/>
      <c r="J137" s="415">
        <v>53.1</v>
      </c>
      <c r="K137" s="415"/>
      <c r="L137" s="415"/>
      <c r="M137" s="415"/>
      <c r="N137" s="415"/>
      <c r="O137" s="415"/>
      <c r="P137" s="415"/>
      <c r="Q137" s="416">
        <f t="shared" si="4"/>
        <v>53.1</v>
      </c>
      <c r="R137" s="395" t="str">
        <f t="shared" si="7"/>
        <v>NO</v>
      </c>
      <c r="S137" s="417" t="str">
        <f t="shared" si="6"/>
        <v>Alto</v>
      </c>
      <c r="T137" s="143"/>
    </row>
    <row r="138" spans="1:20" s="144" customFormat="1" ht="32.1" customHeight="1" x14ac:dyDescent="0.2">
      <c r="A138" s="412" t="s">
        <v>46</v>
      </c>
      <c r="B138" s="385" t="s">
        <v>16</v>
      </c>
      <c r="C138" s="378" t="s">
        <v>1807</v>
      </c>
      <c r="D138" s="413">
        <v>185</v>
      </c>
      <c r="E138" s="415"/>
      <c r="F138" s="415"/>
      <c r="G138" s="415"/>
      <c r="H138" s="415"/>
      <c r="I138" s="415"/>
      <c r="J138" s="415"/>
      <c r="K138" s="415">
        <v>53.1</v>
      </c>
      <c r="L138" s="415"/>
      <c r="M138" s="415"/>
      <c r="N138" s="415"/>
      <c r="O138" s="415"/>
      <c r="P138" s="415"/>
      <c r="Q138" s="416">
        <f t="shared" si="4"/>
        <v>53.1</v>
      </c>
      <c r="R138" s="395" t="str">
        <f t="shared" si="7"/>
        <v>NO</v>
      </c>
      <c r="S138" s="417" t="str">
        <f t="shared" si="6"/>
        <v>Alto</v>
      </c>
      <c r="T138" s="143"/>
    </row>
    <row r="139" spans="1:20" s="144" customFormat="1" ht="32.1" customHeight="1" x14ac:dyDescent="0.2">
      <c r="A139" s="412" t="s">
        <v>46</v>
      </c>
      <c r="B139" s="385" t="s">
        <v>1808</v>
      </c>
      <c r="C139" s="378" t="s">
        <v>1809</v>
      </c>
      <c r="D139" s="413">
        <v>32</v>
      </c>
      <c r="E139" s="415"/>
      <c r="F139" s="415"/>
      <c r="G139" s="415"/>
      <c r="H139" s="415"/>
      <c r="I139" s="415"/>
      <c r="J139" s="415"/>
      <c r="K139" s="415"/>
      <c r="L139" s="415">
        <v>53.1</v>
      </c>
      <c r="M139" s="415"/>
      <c r="N139" s="415"/>
      <c r="O139" s="415"/>
      <c r="P139" s="415"/>
      <c r="Q139" s="416">
        <f t="shared" ref="Q139:Q202" si="8">AVERAGE(E139:P139)</f>
        <v>53.1</v>
      </c>
      <c r="R139" s="395" t="str">
        <f t="shared" ref="R139:R155" si="9">IF(Q139&lt;5,"SI","NO")</f>
        <v>NO</v>
      </c>
      <c r="S139" s="417" t="str">
        <f t="shared" ref="S139:S202" si="10">IF(Q139&lt;5,"Sin Riesgo",IF(Q139 &lt;=14,"Bajo",IF(Q139&lt;=35,"Medio",IF(Q139&lt;=80,"Alto","Inviable Sanitariamente"))))</f>
        <v>Alto</v>
      </c>
      <c r="T139" s="143"/>
    </row>
    <row r="140" spans="1:20" s="144" customFormat="1" ht="32.1" customHeight="1" x14ac:dyDescent="0.2">
      <c r="A140" s="412" t="s">
        <v>46</v>
      </c>
      <c r="B140" s="385" t="s">
        <v>1810</v>
      </c>
      <c r="C140" s="378" t="s">
        <v>1811</v>
      </c>
      <c r="D140" s="413">
        <v>310</v>
      </c>
      <c r="E140" s="415"/>
      <c r="F140" s="415"/>
      <c r="G140" s="415"/>
      <c r="H140" s="415"/>
      <c r="I140" s="415"/>
      <c r="J140" s="415">
        <v>53.1</v>
      </c>
      <c r="K140" s="415"/>
      <c r="L140" s="415"/>
      <c r="M140" s="415"/>
      <c r="N140" s="415"/>
      <c r="O140" s="415">
        <v>53.1</v>
      </c>
      <c r="P140" s="415"/>
      <c r="Q140" s="416">
        <f t="shared" si="8"/>
        <v>53.1</v>
      </c>
      <c r="R140" s="395" t="str">
        <f t="shared" si="9"/>
        <v>NO</v>
      </c>
      <c r="S140" s="417" t="str">
        <f t="shared" si="10"/>
        <v>Alto</v>
      </c>
      <c r="T140" s="147"/>
    </row>
    <row r="141" spans="1:20" s="144" customFormat="1" ht="32.1" customHeight="1" x14ac:dyDescent="0.2">
      <c r="A141" s="412" t="s">
        <v>46</v>
      </c>
      <c r="B141" s="385" t="s">
        <v>1812</v>
      </c>
      <c r="C141" s="378" t="s">
        <v>1813</v>
      </c>
      <c r="D141" s="413">
        <v>612</v>
      </c>
      <c r="E141" s="415"/>
      <c r="F141" s="415"/>
      <c r="G141" s="415"/>
      <c r="H141" s="415">
        <v>53.1</v>
      </c>
      <c r="I141" s="415"/>
      <c r="J141" s="415"/>
      <c r="K141" s="415"/>
      <c r="L141" s="415"/>
      <c r="M141" s="415"/>
      <c r="N141" s="415"/>
      <c r="O141" s="415">
        <v>53.1</v>
      </c>
      <c r="P141" s="415"/>
      <c r="Q141" s="416">
        <f t="shared" si="8"/>
        <v>53.1</v>
      </c>
      <c r="R141" s="395" t="str">
        <f t="shared" si="9"/>
        <v>NO</v>
      </c>
      <c r="S141" s="417" t="str">
        <f t="shared" si="10"/>
        <v>Alto</v>
      </c>
      <c r="T141" s="147"/>
    </row>
    <row r="142" spans="1:20" s="144" customFormat="1" ht="32.1" customHeight="1" x14ac:dyDescent="0.2">
      <c r="A142" s="412" t="s">
        <v>46</v>
      </c>
      <c r="B142" s="385" t="s">
        <v>1814</v>
      </c>
      <c r="C142" s="378" t="s">
        <v>1815</v>
      </c>
      <c r="D142" s="413">
        <v>288</v>
      </c>
      <c r="E142" s="415"/>
      <c r="F142" s="415"/>
      <c r="G142" s="415"/>
      <c r="H142" s="415"/>
      <c r="I142" s="415"/>
      <c r="J142" s="415"/>
      <c r="K142" s="415">
        <v>53.1</v>
      </c>
      <c r="L142" s="415"/>
      <c r="M142" s="415"/>
      <c r="N142" s="415"/>
      <c r="O142" s="415"/>
      <c r="P142" s="415"/>
      <c r="Q142" s="416">
        <f t="shared" si="8"/>
        <v>53.1</v>
      </c>
      <c r="R142" s="395" t="str">
        <f t="shared" si="9"/>
        <v>NO</v>
      </c>
      <c r="S142" s="417" t="str">
        <f t="shared" si="10"/>
        <v>Alto</v>
      </c>
      <c r="T142" s="147"/>
    </row>
    <row r="143" spans="1:20" s="144" customFormat="1" ht="32.1" customHeight="1" x14ac:dyDescent="0.2">
      <c r="A143" s="412" t="s">
        <v>46</v>
      </c>
      <c r="B143" s="385" t="s">
        <v>1816</v>
      </c>
      <c r="C143" s="378" t="s">
        <v>1817</v>
      </c>
      <c r="D143" s="413">
        <v>308</v>
      </c>
      <c r="E143" s="415"/>
      <c r="F143" s="415"/>
      <c r="G143" s="415"/>
      <c r="H143" s="415"/>
      <c r="I143" s="415"/>
      <c r="J143" s="415">
        <v>53.1</v>
      </c>
      <c r="K143" s="415"/>
      <c r="L143" s="415"/>
      <c r="M143" s="415"/>
      <c r="N143" s="415"/>
      <c r="O143" s="415"/>
      <c r="P143" s="415"/>
      <c r="Q143" s="416">
        <f t="shared" si="8"/>
        <v>53.1</v>
      </c>
      <c r="R143" s="395" t="str">
        <f t="shared" si="9"/>
        <v>NO</v>
      </c>
      <c r="S143" s="417" t="str">
        <f t="shared" si="10"/>
        <v>Alto</v>
      </c>
      <c r="T143" s="147"/>
    </row>
    <row r="144" spans="1:20" s="144" customFormat="1" ht="32.1" customHeight="1" x14ac:dyDescent="0.2">
      <c r="A144" s="412" t="s">
        <v>46</v>
      </c>
      <c r="B144" s="385" t="s">
        <v>1818</v>
      </c>
      <c r="C144" s="378" t="s">
        <v>1819</v>
      </c>
      <c r="D144" s="413">
        <v>210</v>
      </c>
      <c r="E144" s="415"/>
      <c r="F144" s="415"/>
      <c r="G144" s="415"/>
      <c r="H144" s="415"/>
      <c r="I144" s="415"/>
      <c r="J144" s="415"/>
      <c r="K144" s="415"/>
      <c r="L144" s="415"/>
      <c r="M144" s="415">
        <v>53.1</v>
      </c>
      <c r="N144" s="415"/>
      <c r="O144" s="415"/>
      <c r="P144" s="415"/>
      <c r="Q144" s="416">
        <f t="shared" si="8"/>
        <v>53.1</v>
      </c>
      <c r="R144" s="395" t="str">
        <f t="shared" si="9"/>
        <v>NO</v>
      </c>
      <c r="S144" s="417" t="str">
        <f t="shared" si="10"/>
        <v>Alto</v>
      </c>
      <c r="T144" s="147"/>
    </row>
    <row r="145" spans="1:20" s="144" customFormat="1" ht="32.1" customHeight="1" x14ac:dyDescent="0.2">
      <c r="A145" s="412" t="s">
        <v>46</v>
      </c>
      <c r="B145" s="385" t="s">
        <v>1820</v>
      </c>
      <c r="C145" s="378" t="s">
        <v>1821</v>
      </c>
      <c r="D145" s="413">
        <v>250</v>
      </c>
      <c r="E145" s="415"/>
      <c r="F145" s="415"/>
      <c r="G145" s="415"/>
      <c r="H145" s="415"/>
      <c r="I145" s="415"/>
      <c r="J145" s="415">
        <v>53.1</v>
      </c>
      <c r="K145" s="415"/>
      <c r="L145" s="415"/>
      <c r="M145" s="415"/>
      <c r="N145" s="415"/>
      <c r="O145" s="415"/>
      <c r="P145" s="415"/>
      <c r="Q145" s="416">
        <f t="shared" si="8"/>
        <v>53.1</v>
      </c>
      <c r="R145" s="395" t="str">
        <f t="shared" si="9"/>
        <v>NO</v>
      </c>
      <c r="S145" s="417" t="str">
        <f t="shared" si="10"/>
        <v>Alto</v>
      </c>
      <c r="T145" s="147"/>
    </row>
    <row r="146" spans="1:20" s="144" customFormat="1" ht="32.1" customHeight="1" x14ac:dyDescent="0.2">
      <c r="A146" s="412" t="s">
        <v>46</v>
      </c>
      <c r="B146" s="385" t="s">
        <v>1822</v>
      </c>
      <c r="C146" s="378" t="s">
        <v>1823</v>
      </c>
      <c r="D146" s="413">
        <v>2332</v>
      </c>
      <c r="E146" s="415"/>
      <c r="F146" s="415">
        <v>0</v>
      </c>
      <c r="G146" s="415"/>
      <c r="H146" s="415"/>
      <c r="I146" s="415">
        <v>0</v>
      </c>
      <c r="J146" s="415"/>
      <c r="K146" s="415">
        <v>0</v>
      </c>
      <c r="L146" s="415">
        <v>0</v>
      </c>
      <c r="M146" s="415">
        <v>0</v>
      </c>
      <c r="N146" s="415"/>
      <c r="O146" s="415">
        <v>0</v>
      </c>
      <c r="P146" s="415"/>
      <c r="Q146" s="416">
        <f t="shared" si="8"/>
        <v>0</v>
      </c>
      <c r="R146" s="395" t="str">
        <f t="shared" si="9"/>
        <v>SI</v>
      </c>
      <c r="S146" s="417" t="str">
        <f t="shared" si="10"/>
        <v>Sin Riesgo</v>
      </c>
      <c r="T146" s="147"/>
    </row>
    <row r="147" spans="1:20" s="144" customFormat="1" ht="32.1" customHeight="1" x14ac:dyDescent="0.2">
      <c r="A147" s="412" t="s">
        <v>46</v>
      </c>
      <c r="B147" s="385" t="s">
        <v>1824</v>
      </c>
      <c r="C147" s="378" t="s">
        <v>1825</v>
      </c>
      <c r="D147" s="413">
        <v>125</v>
      </c>
      <c r="E147" s="415"/>
      <c r="F147" s="415"/>
      <c r="G147" s="415"/>
      <c r="H147" s="415"/>
      <c r="I147" s="415"/>
      <c r="J147" s="415"/>
      <c r="K147" s="415"/>
      <c r="L147" s="415">
        <v>53.1</v>
      </c>
      <c r="M147" s="415"/>
      <c r="N147" s="415"/>
      <c r="O147" s="415"/>
      <c r="P147" s="415"/>
      <c r="Q147" s="416">
        <f t="shared" si="8"/>
        <v>53.1</v>
      </c>
      <c r="R147" s="395" t="str">
        <f t="shared" si="9"/>
        <v>NO</v>
      </c>
      <c r="S147" s="417" t="str">
        <f t="shared" si="10"/>
        <v>Alto</v>
      </c>
      <c r="T147" s="147"/>
    </row>
    <row r="148" spans="1:20" s="144" customFormat="1" ht="32.1" customHeight="1" x14ac:dyDescent="0.2">
      <c r="A148" s="412" t="s">
        <v>46</v>
      </c>
      <c r="B148" s="385" t="s">
        <v>1826</v>
      </c>
      <c r="C148" s="378" t="s">
        <v>1827</v>
      </c>
      <c r="D148" s="413">
        <v>152</v>
      </c>
      <c r="E148" s="415"/>
      <c r="F148" s="415"/>
      <c r="G148" s="415"/>
      <c r="H148" s="415"/>
      <c r="I148" s="415"/>
      <c r="J148" s="415">
        <v>53.1</v>
      </c>
      <c r="K148" s="415"/>
      <c r="L148" s="415"/>
      <c r="M148" s="415"/>
      <c r="N148" s="415"/>
      <c r="O148" s="415"/>
      <c r="P148" s="415"/>
      <c r="Q148" s="416">
        <f t="shared" si="8"/>
        <v>53.1</v>
      </c>
      <c r="R148" s="395" t="str">
        <f t="shared" si="9"/>
        <v>NO</v>
      </c>
      <c r="S148" s="417" t="str">
        <f t="shared" si="10"/>
        <v>Alto</v>
      </c>
      <c r="T148" s="147"/>
    </row>
    <row r="149" spans="1:20" s="144" customFormat="1" ht="32.1" customHeight="1" x14ac:dyDescent="0.2">
      <c r="A149" s="412" t="s">
        <v>46</v>
      </c>
      <c r="B149" s="385" t="s">
        <v>1828</v>
      </c>
      <c r="C149" s="378" t="s">
        <v>1829</v>
      </c>
      <c r="D149" s="413">
        <v>195</v>
      </c>
      <c r="E149" s="415"/>
      <c r="F149" s="415">
        <v>53.1</v>
      </c>
      <c r="G149" s="415"/>
      <c r="H149" s="415"/>
      <c r="I149" s="415"/>
      <c r="J149" s="415"/>
      <c r="K149" s="415"/>
      <c r="L149" s="415"/>
      <c r="M149" s="415"/>
      <c r="N149" s="415"/>
      <c r="O149" s="415"/>
      <c r="P149" s="415"/>
      <c r="Q149" s="416">
        <f t="shared" si="8"/>
        <v>53.1</v>
      </c>
      <c r="R149" s="395" t="str">
        <f t="shared" si="9"/>
        <v>NO</v>
      </c>
      <c r="S149" s="417" t="str">
        <f t="shared" si="10"/>
        <v>Alto</v>
      </c>
      <c r="T149" s="147"/>
    </row>
    <row r="150" spans="1:20" s="144" customFormat="1" ht="32.1" customHeight="1" x14ac:dyDescent="0.2">
      <c r="A150" s="412" t="s">
        <v>46</v>
      </c>
      <c r="B150" s="385" t="s">
        <v>1830</v>
      </c>
      <c r="C150" s="378" t="s">
        <v>1831</v>
      </c>
      <c r="D150" s="364">
        <v>245</v>
      </c>
      <c r="E150" s="415"/>
      <c r="F150" s="415"/>
      <c r="G150" s="415"/>
      <c r="H150" s="415"/>
      <c r="I150" s="415">
        <v>0</v>
      </c>
      <c r="J150" s="415"/>
      <c r="K150" s="415"/>
      <c r="L150" s="415"/>
      <c r="M150" s="415"/>
      <c r="N150" s="415"/>
      <c r="O150" s="415"/>
      <c r="P150" s="415"/>
      <c r="Q150" s="416">
        <f t="shared" si="8"/>
        <v>0</v>
      </c>
      <c r="R150" s="395" t="str">
        <f t="shared" si="9"/>
        <v>SI</v>
      </c>
      <c r="S150" s="417" t="str">
        <f t="shared" si="10"/>
        <v>Sin Riesgo</v>
      </c>
      <c r="T150" s="147"/>
    </row>
    <row r="151" spans="1:20" s="144" customFormat="1" ht="32.1" customHeight="1" x14ac:dyDescent="0.2">
      <c r="A151" s="412" t="s">
        <v>46</v>
      </c>
      <c r="B151" s="385" t="s">
        <v>1832</v>
      </c>
      <c r="C151" s="378" t="s">
        <v>1833</v>
      </c>
      <c r="D151" s="413">
        <v>242</v>
      </c>
      <c r="E151" s="415"/>
      <c r="F151" s="415"/>
      <c r="G151" s="415"/>
      <c r="H151" s="415"/>
      <c r="I151" s="415"/>
      <c r="J151" s="415"/>
      <c r="K151" s="415">
        <v>53.1</v>
      </c>
      <c r="L151" s="415"/>
      <c r="M151" s="415"/>
      <c r="N151" s="415"/>
      <c r="O151" s="415"/>
      <c r="P151" s="415"/>
      <c r="Q151" s="416">
        <f t="shared" si="8"/>
        <v>53.1</v>
      </c>
      <c r="R151" s="395" t="str">
        <f t="shared" si="9"/>
        <v>NO</v>
      </c>
      <c r="S151" s="417" t="str">
        <f t="shared" si="10"/>
        <v>Alto</v>
      </c>
      <c r="T151" s="147"/>
    </row>
    <row r="152" spans="1:20" s="144" customFormat="1" ht="32.1" customHeight="1" x14ac:dyDescent="0.2">
      <c r="A152" s="412" t="s">
        <v>46</v>
      </c>
      <c r="B152" s="385" t="s">
        <v>1834</v>
      </c>
      <c r="C152" s="378" t="s">
        <v>1835</v>
      </c>
      <c r="D152" s="364">
        <v>340</v>
      </c>
      <c r="E152" s="415"/>
      <c r="F152" s="415"/>
      <c r="G152" s="415"/>
      <c r="H152" s="415"/>
      <c r="I152" s="415"/>
      <c r="J152" s="415">
        <v>0</v>
      </c>
      <c r="K152" s="415"/>
      <c r="L152" s="415"/>
      <c r="M152" s="415"/>
      <c r="N152" s="415">
        <v>0</v>
      </c>
      <c r="O152" s="415"/>
      <c r="P152" s="415"/>
      <c r="Q152" s="416">
        <f t="shared" si="8"/>
        <v>0</v>
      </c>
      <c r="R152" s="395" t="str">
        <f t="shared" si="9"/>
        <v>SI</v>
      </c>
      <c r="S152" s="417" t="str">
        <f t="shared" si="10"/>
        <v>Sin Riesgo</v>
      </c>
      <c r="T152" s="147"/>
    </row>
    <row r="153" spans="1:20" s="144" customFormat="1" ht="32.1" customHeight="1" x14ac:dyDescent="0.2">
      <c r="A153" s="412" t="s">
        <v>46</v>
      </c>
      <c r="B153" s="385" t="s">
        <v>1836</v>
      </c>
      <c r="C153" s="378" t="s">
        <v>1837</v>
      </c>
      <c r="D153" s="364">
        <v>240</v>
      </c>
      <c r="E153" s="415"/>
      <c r="F153" s="415"/>
      <c r="G153" s="415">
        <v>53.1</v>
      </c>
      <c r="H153" s="415"/>
      <c r="I153" s="415"/>
      <c r="J153" s="415"/>
      <c r="K153" s="415"/>
      <c r="L153" s="415"/>
      <c r="M153" s="415"/>
      <c r="N153" s="415"/>
      <c r="O153" s="415"/>
      <c r="P153" s="415"/>
      <c r="Q153" s="416">
        <f t="shared" si="8"/>
        <v>53.1</v>
      </c>
      <c r="R153" s="395" t="str">
        <f t="shared" si="9"/>
        <v>NO</v>
      </c>
      <c r="S153" s="417" t="str">
        <f t="shared" si="10"/>
        <v>Alto</v>
      </c>
      <c r="T153" s="147"/>
    </row>
    <row r="154" spans="1:20" s="144" customFormat="1" ht="32.1" customHeight="1" x14ac:dyDescent="0.2">
      <c r="A154" s="412" t="s">
        <v>46</v>
      </c>
      <c r="B154" s="385" t="s">
        <v>1838</v>
      </c>
      <c r="C154" s="378" t="s">
        <v>1839</v>
      </c>
      <c r="D154" s="413">
        <v>196</v>
      </c>
      <c r="E154" s="415"/>
      <c r="F154" s="415"/>
      <c r="G154" s="415">
        <v>53.1</v>
      </c>
      <c r="H154" s="415"/>
      <c r="I154" s="415"/>
      <c r="J154" s="415"/>
      <c r="K154" s="415"/>
      <c r="L154" s="415"/>
      <c r="M154" s="415"/>
      <c r="N154" s="415"/>
      <c r="O154" s="415"/>
      <c r="P154" s="415"/>
      <c r="Q154" s="416">
        <f t="shared" si="8"/>
        <v>53.1</v>
      </c>
      <c r="R154" s="395" t="str">
        <f t="shared" si="9"/>
        <v>NO</v>
      </c>
      <c r="S154" s="417" t="str">
        <f t="shared" si="10"/>
        <v>Alto</v>
      </c>
      <c r="T154" s="147"/>
    </row>
    <row r="155" spans="1:20" s="144" customFormat="1" ht="32.1" customHeight="1" x14ac:dyDescent="0.2">
      <c r="A155" s="412" t="s">
        <v>46</v>
      </c>
      <c r="B155" s="385" t="s">
        <v>10</v>
      </c>
      <c r="C155" s="378" t="s">
        <v>1840</v>
      </c>
      <c r="D155" s="413">
        <v>260</v>
      </c>
      <c r="E155" s="415"/>
      <c r="F155" s="415"/>
      <c r="G155" s="415"/>
      <c r="H155" s="415">
        <v>53.1</v>
      </c>
      <c r="I155" s="415"/>
      <c r="J155" s="415"/>
      <c r="K155" s="415"/>
      <c r="L155" s="415">
        <v>53.1</v>
      </c>
      <c r="M155" s="415"/>
      <c r="N155" s="415"/>
      <c r="O155" s="415"/>
      <c r="P155" s="415"/>
      <c r="Q155" s="416">
        <f t="shared" si="8"/>
        <v>53.1</v>
      </c>
      <c r="R155" s="395" t="str">
        <f t="shared" si="9"/>
        <v>NO</v>
      </c>
      <c r="S155" s="417" t="str">
        <f t="shared" si="10"/>
        <v>Alto</v>
      </c>
      <c r="T155" s="147"/>
    </row>
    <row r="156" spans="1:20" s="97" customFormat="1" ht="32.1" customHeight="1" x14ac:dyDescent="0.2">
      <c r="A156" s="412" t="s">
        <v>163</v>
      </c>
      <c r="B156" s="412" t="s">
        <v>1936</v>
      </c>
      <c r="C156" s="419" t="s">
        <v>1937</v>
      </c>
      <c r="D156" s="364">
        <v>51</v>
      </c>
      <c r="E156" s="415"/>
      <c r="F156" s="415"/>
      <c r="G156" s="415"/>
      <c r="H156" s="415">
        <v>97.3</v>
      </c>
      <c r="I156" s="415"/>
      <c r="J156" s="415"/>
      <c r="K156" s="415"/>
      <c r="L156" s="415"/>
      <c r="M156" s="415"/>
      <c r="N156" s="415"/>
      <c r="O156" s="415"/>
      <c r="P156" s="415"/>
      <c r="Q156" s="416">
        <f t="shared" si="8"/>
        <v>97.3</v>
      </c>
      <c r="R156" s="395" t="s">
        <v>1042</v>
      </c>
      <c r="S156" s="417" t="str">
        <f t="shared" si="10"/>
        <v>Inviable Sanitariamente</v>
      </c>
      <c r="T156" s="148"/>
    </row>
    <row r="157" spans="1:20" s="97" customFormat="1" ht="32.1" customHeight="1" x14ac:dyDescent="0.2">
      <c r="A157" s="412" t="s">
        <v>163</v>
      </c>
      <c r="B157" s="412" t="s">
        <v>1938</v>
      </c>
      <c r="C157" s="419" t="s">
        <v>1939</v>
      </c>
      <c r="D157" s="364">
        <v>146</v>
      </c>
      <c r="E157" s="415"/>
      <c r="F157" s="415">
        <v>97.3</v>
      </c>
      <c r="G157" s="415"/>
      <c r="H157" s="415"/>
      <c r="I157" s="415"/>
      <c r="J157" s="415"/>
      <c r="K157" s="415"/>
      <c r="L157" s="415"/>
      <c r="M157" s="415"/>
      <c r="N157" s="415"/>
      <c r="O157" s="415"/>
      <c r="P157" s="415"/>
      <c r="Q157" s="416">
        <f t="shared" si="8"/>
        <v>97.3</v>
      </c>
      <c r="R157" s="395" t="s">
        <v>1042</v>
      </c>
      <c r="S157" s="417" t="str">
        <f t="shared" si="10"/>
        <v>Inviable Sanitariamente</v>
      </c>
      <c r="T157" s="148"/>
    </row>
    <row r="158" spans="1:20" s="97" customFormat="1" ht="32.1" customHeight="1" x14ac:dyDescent="0.2">
      <c r="A158" s="412" t="s">
        <v>163</v>
      </c>
      <c r="B158" s="412" t="s">
        <v>1940</v>
      </c>
      <c r="C158" s="419" t="s">
        <v>1941</v>
      </c>
      <c r="D158" s="364">
        <v>11</v>
      </c>
      <c r="E158" s="415"/>
      <c r="F158" s="415">
        <v>97.3</v>
      </c>
      <c r="G158" s="415"/>
      <c r="H158" s="415"/>
      <c r="I158" s="415"/>
      <c r="J158" s="415"/>
      <c r="K158" s="415"/>
      <c r="L158" s="415"/>
      <c r="M158" s="415"/>
      <c r="N158" s="415"/>
      <c r="O158" s="415"/>
      <c r="P158" s="415"/>
      <c r="Q158" s="416">
        <f t="shared" si="8"/>
        <v>97.3</v>
      </c>
      <c r="R158" s="395" t="s">
        <v>1042</v>
      </c>
      <c r="S158" s="417" t="str">
        <f t="shared" si="10"/>
        <v>Inviable Sanitariamente</v>
      </c>
      <c r="T158" s="148"/>
    </row>
    <row r="159" spans="1:20" s="97" customFormat="1" ht="32.1" customHeight="1" x14ac:dyDescent="0.2">
      <c r="A159" s="412" t="s">
        <v>163</v>
      </c>
      <c r="B159" s="412" t="s">
        <v>1942</v>
      </c>
      <c r="C159" s="419" t="s">
        <v>1943</v>
      </c>
      <c r="D159" s="364">
        <v>130</v>
      </c>
      <c r="E159" s="415"/>
      <c r="F159" s="415"/>
      <c r="G159" s="415">
        <v>97.3</v>
      </c>
      <c r="H159" s="415"/>
      <c r="I159" s="415"/>
      <c r="J159" s="415"/>
      <c r="K159" s="415"/>
      <c r="L159" s="415"/>
      <c r="M159" s="415"/>
      <c r="N159" s="415"/>
      <c r="O159" s="415"/>
      <c r="P159" s="415"/>
      <c r="Q159" s="416">
        <f t="shared" si="8"/>
        <v>97.3</v>
      </c>
      <c r="R159" s="395" t="s">
        <v>1042</v>
      </c>
      <c r="S159" s="417" t="str">
        <f t="shared" si="10"/>
        <v>Inviable Sanitariamente</v>
      </c>
      <c r="T159" s="148"/>
    </row>
    <row r="160" spans="1:20" s="97" customFormat="1" ht="32.1" customHeight="1" x14ac:dyDescent="0.2">
      <c r="A160" s="412" t="s">
        <v>163</v>
      </c>
      <c r="B160" s="412" t="s">
        <v>1944</v>
      </c>
      <c r="C160" s="419" t="s">
        <v>1945</v>
      </c>
      <c r="D160" s="364">
        <v>16</v>
      </c>
      <c r="E160" s="415"/>
      <c r="F160" s="415"/>
      <c r="G160" s="415"/>
      <c r="H160" s="415"/>
      <c r="I160" s="415">
        <v>97.3</v>
      </c>
      <c r="J160" s="415"/>
      <c r="K160" s="415"/>
      <c r="L160" s="415"/>
      <c r="M160" s="415"/>
      <c r="N160" s="415"/>
      <c r="O160" s="415"/>
      <c r="P160" s="415"/>
      <c r="Q160" s="416">
        <f t="shared" si="8"/>
        <v>97.3</v>
      </c>
      <c r="R160" s="395" t="s">
        <v>1042</v>
      </c>
      <c r="S160" s="417" t="str">
        <f t="shared" si="10"/>
        <v>Inviable Sanitariamente</v>
      </c>
      <c r="T160" s="148"/>
    </row>
    <row r="161" spans="1:20" s="97" customFormat="1" ht="32.1" customHeight="1" x14ac:dyDescent="0.2">
      <c r="A161" s="412" t="s">
        <v>163</v>
      </c>
      <c r="B161" s="412" t="s">
        <v>1946</v>
      </c>
      <c r="C161" s="419" t="s">
        <v>1947</v>
      </c>
      <c r="D161" s="364">
        <v>16</v>
      </c>
      <c r="E161" s="415"/>
      <c r="F161" s="415"/>
      <c r="G161" s="415"/>
      <c r="H161" s="415"/>
      <c r="I161" s="415">
        <v>97.3</v>
      </c>
      <c r="J161" s="415"/>
      <c r="K161" s="415"/>
      <c r="L161" s="415"/>
      <c r="M161" s="415"/>
      <c r="N161" s="415"/>
      <c r="O161" s="415"/>
      <c r="P161" s="415"/>
      <c r="Q161" s="416">
        <f t="shared" si="8"/>
        <v>97.3</v>
      </c>
      <c r="R161" s="395" t="s">
        <v>1042</v>
      </c>
      <c r="S161" s="417" t="str">
        <f t="shared" si="10"/>
        <v>Inviable Sanitariamente</v>
      </c>
      <c r="T161" s="148"/>
    </row>
    <row r="162" spans="1:20" s="97" customFormat="1" ht="32.1" customHeight="1" x14ac:dyDescent="0.2">
      <c r="A162" s="412" t="s">
        <v>163</v>
      </c>
      <c r="B162" s="412" t="s">
        <v>674</v>
      </c>
      <c r="C162" s="419" t="s">
        <v>1948</v>
      </c>
      <c r="D162" s="364"/>
      <c r="E162" s="415"/>
      <c r="F162" s="415"/>
      <c r="G162" s="415"/>
      <c r="H162" s="415"/>
      <c r="I162" s="415"/>
      <c r="J162" s="415"/>
      <c r="K162" s="415"/>
      <c r="L162" s="415"/>
      <c r="M162" s="415"/>
      <c r="N162" s="415"/>
      <c r="O162" s="415"/>
      <c r="P162" s="415"/>
      <c r="Q162" s="416" t="e">
        <f t="shared" si="8"/>
        <v>#DIV/0!</v>
      </c>
      <c r="R162" s="395" t="s">
        <v>1042</v>
      </c>
      <c r="S162" s="417" t="e">
        <f t="shared" si="10"/>
        <v>#DIV/0!</v>
      </c>
      <c r="T162" s="148"/>
    </row>
    <row r="163" spans="1:20" s="97" customFormat="1" ht="32.1" customHeight="1" x14ac:dyDescent="0.2">
      <c r="A163" s="412" t="s">
        <v>163</v>
      </c>
      <c r="B163" s="412" t="s">
        <v>1949</v>
      </c>
      <c r="C163" s="419" t="s">
        <v>1950</v>
      </c>
      <c r="D163" s="364">
        <v>48</v>
      </c>
      <c r="E163" s="415"/>
      <c r="F163" s="415"/>
      <c r="G163" s="415">
        <v>97.3</v>
      </c>
      <c r="H163" s="415"/>
      <c r="I163" s="415"/>
      <c r="J163" s="415"/>
      <c r="K163" s="415"/>
      <c r="L163" s="415"/>
      <c r="M163" s="415"/>
      <c r="N163" s="415"/>
      <c r="O163" s="415"/>
      <c r="P163" s="415"/>
      <c r="Q163" s="416">
        <f t="shared" si="8"/>
        <v>97.3</v>
      </c>
      <c r="R163" s="395" t="s">
        <v>1042</v>
      </c>
      <c r="S163" s="417" t="str">
        <f t="shared" si="10"/>
        <v>Inviable Sanitariamente</v>
      </c>
      <c r="T163" s="148"/>
    </row>
    <row r="164" spans="1:20" s="97" customFormat="1" ht="32.1" customHeight="1" x14ac:dyDescent="0.2">
      <c r="A164" s="412" t="s">
        <v>163</v>
      </c>
      <c r="B164" s="412" t="s">
        <v>47</v>
      </c>
      <c r="C164" s="419" t="s">
        <v>1951</v>
      </c>
      <c r="D164" s="364">
        <v>15</v>
      </c>
      <c r="E164" s="415"/>
      <c r="F164" s="415"/>
      <c r="G164" s="415">
        <v>97.3</v>
      </c>
      <c r="H164" s="415"/>
      <c r="I164" s="415"/>
      <c r="J164" s="415"/>
      <c r="K164" s="415"/>
      <c r="L164" s="415"/>
      <c r="M164" s="415"/>
      <c r="N164" s="415"/>
      <c r="O164" s="415"/>
      <c r="P164" s="415"/>
      <c r="Q164" s="416">
        <f t="shared" si="8"/>
        <v>97.3</v>
      </c>
      <c r="R164" s="395" t="s">
        <v>1042</v>
      </c>
      <c r="S164" s="417" t="str">
        <f t="shared" si="10"/>
        <v>Inviable Sanitariamente</v>
      </c>
      <c r="T164" s="148"/>
    </row>
    <row r="165" spans="1:20" s="97" customFormat="1" ht="32.1" customHeight="1" x14ac:dyDescent="0.2">
      <c r="A165" s="412" t="s">
        <v>163</v>
      </c>
      <c r="B165" s="412" t="s">
        <v>1952</v>
      </c>
      <c r="C165" s="419" t="s">
        <v>1953</v>
      </c>
      <c r="D165" s="364"/>
      <c r="E165" s="415"/>
      <c r="F165" s="415"/>
      <c r="G165" s="415"/>
      <c r="H165" s="415"/>
      <c r="I165" s="415"/>
      <c r="J165" s="415"/>
      <c r="K165" s="415"/>
      <c r="L165" s="415"/>
      <c r="M165" s="415"/>
      <c r="N165" s="415"/>
      <c r="O165" s="415"/>
      <c r="P165" s="415"/>
      <c r="Q165" s="416" t="e">
        <f t="shared" si="8"/>
        <v>#DIV/0!</v>
      </c>
      <c r="R165" s="395" t="s">
        <v>1042</v>
      </c>
      <c r="S165" s="417" t="e">
        <f t="shared" si="10"/>
        <v>#DIV/0!</v>
      </c>
      <c r="T165" s="148"/>
    </row>
    <row r="166" spans="1:20" s="97" customFormat="1" ht="32.1" customHeight="1" x14ac:dyDescent="0.2">
      <c r="A166" s="412" t="s">
        <v>163</v>
      </c>
      <c r="B166" s="412" t="s">
        <v>1954</v>
      </c>
      <c r="C166" s="419" t="s">
        <v>1955</v>
      </c>
      <c r="D166" s="364">
        <v>18</v>
      </c>
      <c r="E166" s="415"/>
      <c r="F166" s="415"/>
      <c r="G166" s="415"/>
      <c r="H166" s="415">
        <v>97.3</v>
      </c>
      <c r="I166" s="415"/>
      <c r="J166" s="415"/>
      <c r="K166" s="415"/>
      <c r="L166" s="415"/>
      <c r="M166" s="415"/>
      <c r="N166" s="415"/>
      <c r="O166" s="415"/>
      <c r="P166" s="415"/>
      <c r="Q166" s="416">
        <f t="shared" si="8"/>
        <v>97.3</v>
      </c>
      <c r="R166" s="395" t="s">
        <v>1042</v>
      </c>
      <c r="S166" s="417" t="str">
        <f t="shared" si="10"/>
        <v>Inviable Sanitariamente</v>
      </c>
      <c r="T166" s="148"/>
    </row>
    <row r="167" spans="1:20" s="97" customFormat="1" ht="32.1" customHeight="1" x14ac:dyDescent="0.2">
      <c r="A167" s="412" t="s">
        <v>163</v>
      </c>
      <c r="B167" s="412" t="s">
        <v>48</v>
      </c>
      <c r="C167" s="419" t="s">
        <v>1956</v>
      </c>
      <c r="D167" s="364">
        <v>18</v>
      </c>
      <c r="E167" s="415"/>
      <c r="F167" s="415"/>
      <c r="G167" s="415"/>
      <c r="H167" s="415">
        <v>97.3</v>
      </c>
      <c r="I167" s="415"/>
      <c r="J167" s="415"/>
      <c r="K167" s="415"/>
      <c r="L167" s="415"/>
      <c r="M167" s="415"/>
      <c r="N167" s="415"/>
      <c r="O167" s="415"/>
      <c r="P167" s="415"/>
      <c r="Q167" s="416">
        <f t="shared" si="8"/>
        <v>97.3</v>
      </c>
      <c r="R167" s="395" t="s">
        <v>1042</v>
      </c>
      <c r="S167" s="417" t="str">
        <f t="shared" si="10"/>
        <v>Inviable Sanitariamente</v>
      </c>
      <c r="T167" s="148"/>
    </row>
    <row r="168" spans="1:20" ht="32.1" customHeight="1" x14ac:dyDescent="0.2">
      <c r="A168" s="412" t="s">
        <v>163</v>
      </c>
      <c r="B168" s="406" t="s">
        <v>1957</v>
      </c>
      <c r="C168" s="420" t="s">
        <v>1958</v>
      </c>
      <c r="D168" s="364"/>
      <c r="E168" s="415"/>
      <c r="F168" s="415"/>
      <c r="G168" s="415"/>
      <c r="H168" s="415"/>
      <c r="I168" s="415"/>
      <c r="J168" s="415"/>
      <c r="K168" s="415"/>
      <c r="L168" s="415"/>
      <c r="M168" s="415"/>
      <c r="N168" s="415"/>
      <c r="O168" s="415"/>
      <c r="P168" s="415"/>
      <c r="Q168" s="416" t="e">
        <f t="shared" si="8"/>
        <v>#DIV/0!</v>
      </c>
      <c r="R168" s="395" t="s">
        <v>1042</v>
      </c>
      <c r="S168" s="417" t="e">
        <f t="shared" si="10"/>
        <v>#DIV/0!</v>
      </c>
      <c r="T168" s="16"/>
    </row>
    <row r="169" spans="1:20" ht="32.1" customHeight="1" x14ac:dyDescent="0.2">
      <c r="A169" s="412" t="s">
        <v>163</v>
      </c>
      <c r="B169" s="406" t="s">
        <v>1319</v>
      </c>
      <c r="C169" s="420" t="s">
        <v>1959</v>
      </c>
      <c r="D169" s="364"/>
      <c r="E169" s="415"/>
      <c r="F169" s="415"/>
      <c r="G169" s="415"/>
      <c r="H169" s="415"/>
      <c r="I169" s="415"/>
      <c r="J169" s="415"/>
      <c r="K169" s="415"/>
      <c r="L169" s="415"/>
      <c r="M169" s="415"/>
      <c r="N169" s="415"/>
      <c r="O169" s="415"/>
      <c r="P169" s="415"/>
      <c r="Q169" s="416" t="e">
        <f t="shared" si="8"/>
        <v>#DIV/0!</v>
      </c>
      <c r="R169" s="395" t="s">
        <v>1042</v>
      </c>
      <c r="S169" s="417" t="e">
        <f t="shared" si="10"/>
        <v>#DIV/0!</v>
      </c>
      <c r="T169" s="16"/>
    </row>
    <row r="170" spans="1:20" ht="32.1" customHeight="1" x14ac:dyDescent="0.2">
      <c r="A170" s="412" t="s">
        <v>163</v>
      </c>
      <c r="B170" s="406" t="s">
        <v>1960</v>
      </c>
      <c r="C170" s="420" t="s">
        <v>1961</v>
      </c>
      <c r="D170" s="364"/>
      <c r="E170" s="415"/>
      <c r="F170" s="415"/>
      <c r="G170" s="415"/>
      <c r="H170" s="415"/>
      <c r="I170" s="415"/>
      <c r="J170" s="415"/>
      <c r="K170" s="415"/>
      <c r="L170" s="415"/>
      <c r="M170" s="415"/>
      <c r="N170" s="415"/>
      <c r="O170" s="415"/>
      <c r="P170" s="415"/>
      <c r="Q170" s="416" t="e">
        <f t="shared" si="8"/>
        <v>#DIV/0!</v>
      </c>
      <c r="R170" s="395" t="e">
        <f t="shared" ref="R170:R234" si="11">IF(Q170&lt;5,"SI","NO")</f>
        <v>#DIV/0!</v>
      </c>
      <c r="S170" s="417" t="e">
        <f t="shared" si="10"/>
        <v>#DIV/0!</v>
      </c>
      <c r="T170" s="16"/>
    </row>
    <row r="171" spans="1:20" ht="32.1" customHeight="1" x14ac:dyDescent="0.2">
      <c r="A171" s="412" t="s">
        <v>163</v>
      </c>
      <c r="B171" s="406" t="s">
        <v>1962</v>
      </c>
      <c r="C171" s="420" t="s">
        <v>1963</v>
      </c>
      <c r="D171" s="364"/>
      <c r="E171" s="415"/>
      <c r="F171" s="415"/>
      <c r="G171" s="415"/>
      <c r="H171" s="415"/>
      <c r="I171" s="415"/>
      <c r="J171" s="415"/>
      <c r="K171" s="415"/>
      <c r="L171" s="415"/>
      <c r="M171" s="415"/>
      <c r="N171" s="415"/>
      <c r="O171" s="415"/>
      <c r="P171" s="415"/>
      <c r="Q171" s="416" t="e">
        <f t="shared" si="8"/>
        <v>#DIV/0!</v>
      </c>
      <c r="R171" s="395" t="e">
        <f t="shared" si="11"/>
        <v>#DIV/0!</v>
      </c>
      <c r="S171" s="417" t="e">
        <f t="shared" si="10"/>
        <v>#DIV/0!</v>
      </c>
      <c r="T171" s="16"/>
    </row>
    <row r="172" spans="1:20" ht="32.1" customHeight="1" x14ac:dyDescent="0.2">
      <c r="A172" s="412" t="s">
        <v>164</v>
      </c>
      <c r="B172" s="412" t="s">
        <v>2002</v>
      </c>
      <c r="C172" s="419" t="s">
        <v>2003</v>
      </c>
      <c r="D172" s="413">
        <v>70</v>
      </c>
      <c r="E172" s="415"/>
      <c r="F172" s="415">
        <v>0</v>
      </c>
      <c r="G172" s="415"/>
      <c r="H172" s="415"/>
      <c r="I172" s="415"/>
      <c r="J172" s="415">
        <v>0</v>
      </c>
      <c r="K172" s="415"/>
      <c r="L172" s="415"/>
      <c r="M172" s="415"/>
      <c r="N172" s="415"/>
      <c r="O172" s="415"/>
      <c r="P172" s="415"/>
      <c r="Q172" s="416">
        <f t="shared" si="8"/>
        <v>0</v>
      </c>
      <c r="R172" s="395" t="str">
        <f t="shared" si="11"/>
        <v>SI</v>
      </c>
      <c r="S172" s="417" t="str">
        <f t="shared" si="10"/>
        <v>Sin Riesgo</v>
      </c>
      <c r="T172" s="16"/>
    </row>
    <row r="173" spans="1:20" ht="32.1" customHeight="1" x14ac:dyDescent="0.2">
      <c r="A173" s="412" t="s">
        <v>164</v>
      </c>
      <c r="B173" s="412" t="s">
        <v>3</v>
      </c>
      <c r="C173" s="419" t="s">
        <v>2004</v>
      </c>
      <c r="D173" s="413">
        <v>15</v>
      </c>
      <c r="E173" s="415"/>
      <c r="F173" s="415">
        <v>0</v>
      </c>
      <c r="G173" s="415"/>
      <c r="H173" s="415"/>
      <c r="I173" s="415"/>
      <c r="J173" s="415">
        <v>0</v>
      </c>
      <c r="K173" s="415"/>
      <c r="L173" s="415"/>
      <c r="M173" s="415"/>
      <c r="N173" s="415"/>
      <c r="O173" s="415"/>
      <c r="P173" s="415"/>
      <c r="Q173" s="416">
        <f t="shared" si="8"/>
        <v>0</v>
      </c>
      <c r="R173" s="395" t="str">
        <f t="shared" si="11"/>
        <v>SI</v>
      </c>
      <c r="S173" s="417" t="str">
        <f t="shared" si="10"/>
        <v>Sin Riesgo</v>
      </c>
      <c r="T173" s="16"/>
    </row>
    <row r="174" spans="1:20" ht="32.1" customHeight="1" x14ac:dyDescent="0.2">
      <c r="A174" s="412" t="s">
        <v>164</v>
      </c>
      <c r="B174" s="412" t="s">
        <v>2005</v>
      </c>
      <c r="C174" s="419" t="s">
        <v>2006</v>
      </c>
      <c r="D174" s="364">
        <v>116</v>
      </c>
      <c r="E174" s="415"/>
      <c r="F174" s="415"/>
      <c r="G174" s="415"/>
      <c r="H174" s="415"/>
      <c r="I174" s="415"/>
      <c r="J174" s="415">
        <v>0</v>
      </c>
      <c r="K174" s="415"/>
      <c r="L174" s="415"/>
      <c r="M174" s="415"/>
      <c r="N174" s="415"/>
      <c r="O174" s="415"/>
      <c r="P174" s="415"/>
      <c r="Q174" s="416">
        <f t="shared" si="8"/>
        <v>0</v>
      </c>
      <c r="R174" s="395" t="str">
        <f t="shared" si="11"/>
        <v>SI</v>
      </c>
      <c r="S174" s="417" t="str">
        <f t="shared" si="10"/>
        <v>Sin Riesgo</v>
      </c>
      <c r="T174" s="16"/>
    </row>
    <row r="175" spans="1:20" ht="32.1" customHeight="1" x14ac:dyDescent="0.2">
      <c r="A175" s="412" t="s">
        <v>164</v>
      </c>
      <c r="B175" s="412" t="s">
        <v>613</v>
      </c>
      <c r="C175" s="419" t="s">
        <v>2007</v>
      </c>
      <c r="D175" s="364">
        <v>30</v>
      </c>
      <c r="E175" s="415"/>
      <c r="F175" s="415"/>
      <c r="G175" s="415"/>
      <c r="H175" s="415"/>
      <c r="I175" s="415"/>
      <c r="J175" s="415">
        <v>53.1</v>
      </c>
      <c r="K175" s="415"/>
      <c r="L175" s="415"/>
      <c r="M175" s="415"/>
      <c r="N175" s="415"/>
      <c r="O175" s="415"/>
      <c r="P175" s="415"/>
      <c r="Q175" s="416">
        <f t="shared" si="8"/>
        <v>53.1</v>
      </c>
      <c r="R175" s="395" t="str">
        <f t="shared" si="11"/>
        <v>NO</v>
      </c>
      <c r="S175" s="417" t="str">
        <f t="shared" si="10"/>
        <v>Alto</v>
      </c>
      <c r="T175" s="16"/>
    </row>
    <row r="176" spans="1:20" ht="39" customHeight="1" x14ac:dyDescent="0.2">
      <c r="A176" s="412" t="s">
        <v>164</v>
      </c>
      <c r="B176" s="412" t="s">
        <v>2008</v>
      </c>
      <c r="C176" s="419" t="s">
        <v>2009</v>
      </c>
      <c r="D176" s="364">
        <v>207</v>
      </c>
      <c r="E176" s="415"/>
      <c r="F176" s="415">
        <v>26.55</v>
      </c>
      <c r="G176" s="415"/>
      <c r="H176" s="415"/>
      <c r="I176" s="415"/>
      <c r="J176" s="415">
        <v>0</v>
      </c>
      <c r="K176" s="415"/>
      <c r="L176" s="415"/>
      <c r="M176" s="415"/>
      <c r="N176" s="415"/>
      <c r="O176" s="415"/>
      <c r="P176" s="415"/>
      <c r="Q176" s="416">
        <f t="shared" si="8"/>
        <v>13.275</v>
      </c>
      <c r="R176" s="395" t="str">
        <f t="shared" si="11"/>
        <v>NO</v>
      </c>
      <c r="S176" s="417" t="str">
        <f t="shared" si="10"/>
        <v>Bajo</v>
      </c>
      <c r="T176" s="16"/>
    </row>
    <row r="177" spans="1:20" ht="42.75" customHeight="1" x14ac:dyDescent="0.2">
      <c r="A177" s="412" t="s">
        <v>164</v>
      </c>
      <c r="B177" s="412" t="s">
        <v>2008</v>
      </c>
      <c r="C177" s="419" t="s">
        <v>2010</v>
      </c>
      <c r="D177" s="364">
        <v>98</v>
      </c>
      <c r="E177" s="415"/>
      <c r="F177" s="415">
        <v>0</v>
      </c>
      <c r="G177" s="415"/>
      <c r="H177" s="415"/>
      <c r="I177" s="415"/>
      <c r="J177" s="415">
        <v>0</v>
      </c>
      <c r="K177" s="415"/>
      <c r="L177" s="415"/>
      <c r="M177" s="415"/>
      <c r="N177" s="415"/>
      <c r="O177" s="415"/>
      <c r="P177" s="415"/>
      <c r="Q177" s="416">
        <f t="shared" si="8"/>
        <v>0</v>
      </c>
      <c r="R177" s="395" t="str">
        <f t="shared" si="11"/>
        <v>SI</v>
      </c>
      <c r="S177" s="417" t="str">
        <f t="shared" si="10"/>
        <v>Sin Riesgo</v>
      </c>
      <c r="T177" s="16"/>
    </row>
    <row r="178" spans="1:20" ht="32.1" customHeight="1" x14ac:dyDescent="0.2">
      <c r="A178" s="412" t="s">
        <v>164</v>
      </c>
      <c r="B178" s="412" t="s">
        <v>2011</v>
      </c>
      <c r="C178" s="419" t="s">
        <v>2012</v>
      </c>
      <c r="D178" s="364">
        <v>153</v>
      </c>
      <c r="E178" s="415"/>
      <c r="F178" s="415">
        <v>0</v>
      </c>
      <c r="G178" s="415"/>
      <c r="H178" s="415"/>
      <c r="I178" s="415"/>
      <c r="J178" s="415">
        <v>0</v>
      </c>
      <c r="K178" s="415"/>
      <c r="L178" s="415"/>
      <c r="M178" s="415"/>
      <c r="N178" s="415"/>
      <c r="O178" s="415"/>
      <c r="P178" s="415"/>
      <c r="Q178" s="416">
        <f t="shared" si="8"/>
        <v>0</v>
      </c>
      <c r="R178" s="395" t="str">
        <f t="shared" si="11"/>
        <v>SI</v>
      </c>
      <c r="S178" s="417" t="str">
        <f t="shared" si="10"/>
        <v>Sin Riesgo</v>
      </c>
      <c r="T178" s="16"/>
    </row>
    <row r="179" spans="1:20" ht="32.1" customHeight="1" x14ac:dyDescent="0.2">
      <c r="A179" s="412" t="s">
        <v>164</v>
      </c>
      <c r="B179" s="412" t="s">
        <v>2013</v>
      </c>
      <c r="C179" s="419" t="s">
        <v>2014</v>
      </c>
      <c r="D179" s="364">
        <v>25</v>
      </c>
      <c r="E179" s="415"/>
      <c r="F179" s="415"/>
      <c r="G179" s="415"/>
      <c r="H179" s="415"/>
      <c r="I179" s="415"/>
      <c r="J179" s="415"/>
      <c r="K179" s="415"/>
      <c r="L179" s="415"/>
      <c r="M179" s="415"/>
      <c r="N179" s="415"/>
      <c r="O179" s="415"/>
      <c r="P179" s="415"/>
      <c r="Q179" s="416" t="e">
        <f t="shared" si="8"/>
        <v>#DIV/0!</v>
      </c>
      <c r="R179" s="395" t="e">
        <f t="shared" si="11"/>
        <v>#DIV/0!</v>
      </c>
      <c r="S179" s="417" t="e">
        <f t="shared" si="10"/>
        <v>#DIV/0!</v>
      </c>
      <c r="T179" s="16"/>
    </row>
    <row r="180" spans="1:20" ht="32.1" customHeight="1" x14ac:dyDescent="0.2">
      <c r="A180" s="412" t="s">
        <v>164</v>
      </c>
      <c r="B180" s="412" t="s">
        <v>2013</v>
      </c>
      <c r="C180" s="419" t="s">
        <v>2015</v>
      </c>
      <c r="D180" s="364">
        <v>80</v>
      </c>
      <c r="E180" s="415"/>
      <c r="F180" s="415"/>
      <c r="G180" s="415"/>
      <c r="H180" s="415"/>
      <c r="I180" s="415"/>
      <c r="J180" s="415"/>
      <c r="K180" s="415"/>
      <c r="L180" s="415"/>
      <c r="M180" s="415"/>
      <c r="N180" s="415"/>
      <c r="O180" s="415"/>
      <c r="P180" s="415"/>
      <c r="Q180" s="416" t="e">
        <f t="shared" si="8"/>
        <v>#DIV/0!</v>
      </c>
      <c r="R180" s="395" t="e">
        <f t="shared" si="11"/>
        <v>#DIV/0!</v>
      </c>
      <c r="S180" s="417" t="e">
        <f t="shared" si="10"/>
        <v>#DIV/0!</v>
      </c>
      <c r="T180" s="16"/>
    </row>
    <row r="181" spans="1:20" ht="32.1" customHeight="1" x14ac:dyDescent="0.2">
      <c r="A181" s="412" t="s">
        <v>164</v>
      </c>
      <c r="B181" s="412" t="s">
        <v>2016</v>
      </c>
      <c r="C181" s="419" t="s">
        <v>2017</v>
      </c>
      <c r="D181" s="413">
        <v>20</v>
      </c>
      <c r="E181" s="415"/>
      <c r="F181" s="415">
        <v>97.3</v>
      </c>
      <c r="G181" s="415"/>
      <c r="H181" s="415"/>
      <c r="I181" s="415"/>
      <c r="J181" s="415"/>
      <c r="K181" s="415"/>
      <c r="L181" s="415"/>
      <c r="M181" s="415"/>
      <c r="N181" s="415">
        <v>97.3</v>
      </c>
      <c r="O181" s="415"/>
      <c r="P181" s="415"/>
      <c r="Q181" s="416">
        <f t="shared" si="8"/>
        <v>97.3</v>
      </c>
      <c r="R181" s="395" t="str">
        <f t="shared" si="11"/>
        <v>NO</v>
      </c>
      <c r="S181" s="417" t="str">
        <f t="shared" si="10"/>
        <v>Inviable Sanitariamente</v>
      </c>
      <c r="T181" s="16"/>
    </row>
    <row r="182" spans="1:20" ht="32.1" customHeight="1" x14ac:dyDescent="0.2">
      <c r="A182" s="412" t="s">
        <v>164</v>
      </c>
      <c r="B182" s="412" t="s">
        <v>2018</v>
      </c>
      <c r="C182" s="419" t="s">
        <v>2019</v>
      </c>
      <c r="D182" s="413">
        <v>43</v>
      </c>
      <c r="E182" s="415"/>
      <c r="F182" s="415">
        <v>97.3</v>
      </c>
      <c r="G182" s="415"/>
      <c r="H182" s="415"/>
      <c r="I182" s="415"/>
      <c r="J182" s="415"/>
      <c r="K182" s="415"/>
      <c r="L182" s="415"/>
      <c r="M182" s="415"/>
      <c r="N182" s="415">
        <v>97.3</v>
      </c>
      <c r="O182" s="415"/>
      <c r="P182" s="415"/>
      <c r="Q182" s="416">
        <f t="shared" si="8"/>
        <v>97.3</v>
      </c>
      <c r="R182" s="395" t="str">
        <f t="shared" si="11"/>
        <v>NO</v>
      </c>
      <c r="S182" s="417" t="str">
        <f t="shared" si="10"/>
        <v>Inviable Sanitariamente</v>
      </c>
      <c r="T182" s="16"/>
    </row>
    <row r="183" spans="1:20" ht="32.1" customHeight="1" x14ac:dyDescent="0.2">
      <c r="A183" s="412" t="s">
        <v>164</v>
      </c>
      <c r="B183" s="412" t="s">
        <v>2020</v>
      </c>
      <c r="C183" s="420" t="s">
        <v>2021</v>
      </c>
      <c r="D183" s="413">
        <v>160</v>
      </c>
      <c r="E183" s="415"/>
      <c r="F183" s="415">
        <v>53.1</v>
      </c>
      <c r="G183" s="415"/>
      <c r="H183" s="415"/>
      <c r="I183" s="415"/>
      <c r="J183" s="415"/>
      <c r="K183" s="415"/>
      <c r="L183" s="415"/>
      <c r="M183" s="415"/>
      <c r="N183" s="415"/>
      <c r="O183" s="415"/>
      <c r="P183" s="415"/>
      <c r="Q183" s="416">
        <f t="shared" si="8"/>
        <v>53.1</v>
      </c>
      <c r="R183" s="395" t="str">
        <f t="shared" si="11"/>
        <v>NO</v>
      </c>
      <c r="S183" s="417" t="str">
        <f t="shared" si="10"/>
        <v>Alto</v>
      </c>
      <c r="T183" s="16"/>
    </row>
    <row r="184" spans="1:20" ht="32.1" customHeight="1" x14ac:dyDescent="0.2">
      <c r="A184" s="412" t="s">
        <v>164</v>
      </c>
      <c r="B184" s="412" t="s">
        <v>2022</v>
      </c>
      <c r="C184" s="419" t="s">
        <v>2023</v>
      </c>
      <c r="D184" s="413">
        <v>35</v>
      </c>
      <c r="E184" s="415"/>
      <c r="F184" s="415">
        <v>97.3</v>
      </c>
      <c r="G184" s="415"/>
      <c r="H184" s="415"/>
      <c r="I184" s="415"/>
      <c r="J184" s="415"/>
      <c r="K184" s="415"/>
      <c r="L184" s="415"/>
      <c r="M184" s="415"/>
      <c r="N184" s="415"/>
      <c r="O184" s="415"/>
      <c r="P184" s="415"/>
      <c r="Q184" s="416">
        <f t="shared" si="8"/>
        <v>97.3</v>
      </c>
      <c r="R184" s="395" t="str">
        <f t="shared" si="11"/>
        <v>NO</v>
      </c>
      <c r="S184" s="417" t="str">
        <f t="shared" si="10"/>
        <v>Inviable Sanitariamente</v>
      </c>
      <c r="T184" s="16"/>
    </row>
    <row r="185" spans="1:20" ht="32.1" customHeight="1" x14ac:dyDescent="0.2">
      <c r="A185" s="412" t="s">
        <v>164</v>
      </c>
      <c r="B185" s="412" t="s">
        <v>2024</v>
      </c>
      <c r="C185" s="419" t="s">
        <v>2025</v>
      </c>
      <c r="D185" s="413">
        <v>28</v>
      </c>
      <c r="E185" s="415"/>
      <c r="F185" s="415"/>
      <c r="G185" s="415"/>
      <c r="H185" s="415"/>
      <c r="I185" s="415"/>
      <c r="J185" s="415">
        <v>53.1</v>
      </c>
      <c r="K185" s="415"/>
      <c r="L185" s="415"/>
      <c r="M185" s="415"/>
      <c r="N185" s="415"/>
      <c r="O185" s="415"/>
      <c r="P185" s="415"/>
      <c r="Q185" s="416">
        <f t="shared" si="8"/>
        <v>53.1</v>
      </c>
      <c r="R185" s="395" t="str">
        <f t="shared" si="11"/>
        <v>NO</v>
      </c>
      <c r="S185" s="417" t="str">
        <f t="shared" si="10"/>
        <v>Alto</v>
      </c>
      <c r="T185" s="16"/>
    </row>
    <row r="186" spans="1:20" ht="32.1" customHeight="1" x14ac:dyDescent="0.2">
      <c r="A186" s="412" t="s">
        <v>164</v>
      </c>
      <c r="B186" s="412" t="s">
        <v>2026</v>
      </c>
      <c r="C186" s="419" t="s">
        <v>2027</v>
      </c>
      <c r="D186" s="413">
        <v>221</v>
      </c>
      <c r="E186" s="415"/>
      <c r="F186" s="415">
        <v>53.1</v>
      </c>
      <c r="G186" s="415"/>
      <c r="H186" s="415"/>
      <c r="I186" s="415"/>
      <c r="J186" s="415"/>
      <c r="K186" s="415"/>
      <c r="L186" s="415"/>
      <c r="M186" s="415"/>
      <c r="N186" s="415"/>
      <c r="O186" s="415"/>
      <c r="P186" s="415"/>
      <c r="Q186" s="416">
        <f t="shared" si="8"/>
        <v>53.1</v>
      </c>
      <c r="R186" s="395" t="str">
        <f t="shared" si="11"/>
        <v>NO</v>
      </c>
      <c r="S186" s="417" t="str">
        <f t="shared" si="10"/>
        <v>Alto</v>
      </c>
      <c r="T186" s="16"/>
    </row>
    <row r="187" spans="1:20" ht="32.1" customHeight="1" x14ac:dyDescent="0.2">
      <c r="A187" s="412" t="s">
        <v>164</v>
      </c>
      <c r="B187" s="412" t="s">
        <v>2028</v>
      </c>
      <c r="C187" s="420" t="s">
        <v>2029</v>
      </c>
      <c r="D187" s="364">
        <v>44</v>
      </c>
      <c r="E187" s="415"/>
      <c r="F187" s="415"/>
      <c r="G187" s="415"/>
      <c r="H187" s="415"/>
      <c r="I187" s="415"/>
      <c r="J187" s="415">
        <v>97.3</v>
      </c>
      <c r="K187" s="415"/>
      <c r="L187" s="415"/>
      <c r="M187" s="415"/>
      <c r="N187" s="415"/>
      <c r="O187" s="415"/>
      <c r="P187" s="415"/>
      <c r="Q187" s="416">
        <f t="shared" si="8"/>
        <v>97.3</v>
      </c>
      <c r="R187" s="395" t="str">
        <f t="shared" si="11"/>
        <v>NO</v>
      </c>
      <c r="S187" s="417" t="str">
        <f t="shared" si="10"/>
        <v>Inviable Sanitariamente</v>
      </c>
      <c r="T187" s="16"/>
    </row>
    <row r="188" spans="1:20" ht="32.1" customHeight="1" x14ac:dyDescent="0.2">
      <c r="A188" s="412" t="s">
        <v>164</v>
      </c>
      <c r="B188" s="385" t="s">
        <v>2030</v>
      </c>
      <c r="C188" s="378" t="s">
        <v>2031</v>
      </c>
      <c r="D188" s="433"/>
      <c r="E188" s="415"/>
      <c r="F188" s="415"/>
      <c r="G188" s="415"/>
      <c r="H188" s="415"/>
      <c r="I188" s="415"/>
      <c r="J188" s="415"/>
      <c r="K188" s="415"/>
      <c r="L188" s="415"/>
      <c r="M188" s="415"/>
      <c r="N188" s="415"/>
      <c r="O188" s="415"/>
      <c r="P188" s="415"/>
      <c r="Q188" s="416" t="e">
        <f t="shared" si="8"/>
        <v>#DIV/0!</v>
      </c>
      <c r="R188" s="395" t="e">
        <f t="shared" si="11"/>
        <v>#DIV/0!</v>
      </c>
      <c r="S188" s="417" t="e">
        <f t="shared" si="10"/>
        <v>#DIV/0!</v>
      </c>
      <c r="T188" s="16"/>
    </row>
    <row r="189" spans="1:20" ht="32.1" customHeight="1" x14ac:dyDescent="0.2">
      <c r="A189" s="412" t="s">
        <v>165</v>
      </c>
      <c r="B189" s="385" t="s">
        <v>2032</v>
      </c>
      <c r="C189" s="378" t="s">
        <v>2033</v>
      </c>
      <c r="D189" s="364">
        <v>95</v>
      </c>
      <c r="E189" s="415"/>
      <c r="F189" s="415"/>
      <c r="G189" s="415"/>
      <c r="H189" s="415"/>
      <c r="I189" s="415"/>
      <c r="J189" s="415">
        <v>53</v>
      </c>
      <c r="K189" s="415"/>
      <c r="L189" s="415"/>
      <c r="M189" s="415"/>
      <c r="N189" s="415"/>
      <c r="O189" s="415"/>
      <c r="P189" s="415"/>
      <c r="Q189" s="416">
        <f t="shared" si="8"/>
        <v>53</v>
      </c>
      <c r="R189" s="395" t="str">
        <f t="shared" si="11"/>
        <v>NO</v>
      </c>
      <c r="S189" s="417" t="str">
        <f t="shared" si="10"/>
        <v>Alto</v>
      </c>
      <c r="T189" s="16"/>
    </row>
    <row r="190" spans="1:20" ht="32.1" customHeight="1" x14ac:dyDescent="0.2">
      <c r="A190" s="412" t="s">
        <v>165</v>
      </c>
      <c r="B190" s="385" t="s">
        <v>2034</v>
      </c>
      <c r="C190" s="378" t="s">
        <v>2035</v>
      </c>
      <c r="D190" s="364">
        <v>82</v>
      </c>
      <c r="E190" s="415"/>
      <c r="F190" s="415"/>
      <c r="G190" s="415"/>
      <c r="H190" s="415"/>
      <c r="I190" s="415"/>
      <c r="J190" s="415"/>
      <c r="K190" s="415"/>
      <c r="L190" s="415"/>
      <c r="M190" s="415"/>
      <c r="N190" s="415"/>
      <c r="O190" s="415"/>
      <c r="P190" s="415">
        <v>53.1</v>
      </c>
      <c r="Q190" s="416">
        <f t="shared" si="8"/>
        <v>53.1</v>
      </c>
      <c r="R190" s="395" t="str">
        <f t="shared" si="11"/>
        <v>NO</v>
      </c>
      <c r="S190" s="417" t="str">
        <f t="shared" si="10"/>
        <v>Alto</v>
      </c>
      <c r="T190" s="16"/>
    </row>
    <row r="191" spans="1:20" ht="32.1" customHeight="1" x14ac:dyDescent="0.2">
      <c r="A191" s="412" t="s">
        <v>165</v>
      </c>
      <c r="B191" s="385" t="s">
        <v>2036</v>
      </c>
      <c r="C191" s="378" t="s">
        <v>2037</v>
      </c>
      <c r="D191" s="364">
        <v>34</v>
      </c>
      <c r="E191" s="415"/>
      <c r="F191" s="415"/>
      <c r="G191" s="415"/>
      <c r="H191" s="415"/>
      <c r="I191" s="415"/>
      <c r="J191" s="415">
        <v>96</v>
      </c>
      <c r="K191" s="415"/>
      <c r="L191" s="415"/>
      <c r="M191" s="415"/>
      <c r="N191" s="415"/>
      <c r="O191" s="415"/>
      <c r="P191" s="415"/>
      <c r="Q191" s="416">
        <f t="shared" si="8"/>
        <v>96</v>
      </c>
      <c r="R191" s="395" t="str">
        <f t="shared" si="11"/>
        <v>NO</v>
      </c>
      <c r="S191" s="417" t="str">
        <f t="shared" si="10"/>
        <v>Inviable Sanitariamente</v>
      </c>
      <c r="T191" s="16"/>
    </row>
    <row r="192" spans="1:20" ht="32.1" customHeight="1" x14ac:dyDescent="0.2">
      <c r="A192" s="412" t="s">
        <v>165</v>
      </c>
      <c r="B192" s="385" t="s">
        <v>2038</v>
      </c>
      <c r="C192" s="378" t="s">
        <v>2039</v>
      </c>
      <c r="D192" s="364">
        <v>72</v>
      </c>
      <c r="E192" s="415"/>
      <c r="F192" s="415"/>
      <c r="G192" s="415">
        <v>96</v>
      </c>
      <c r="H192" s="415"/>
      <c r="I192" s="415"/>
      <c r="J192" s="415"/>
      <c r="K192" s="415"/>
      <c r="L192" s="415"/>
      <c r="M192" s="415"/>
      <c r="N192" s="415"/>
      <c r="O192" s="415"/>
      <c r="P192" s="415"/>
      <c r="Q192" s="416">
        <f t="shared" si="8"/>
        <v>96</v>
      </c>
      <c r="R192" s="395" t="str">
        <f t="shared" si="11"/>
        <v>NO</v>
      </c>
      <c r="S192" s="417" t="str">
        <f t="shared" si="10"/>
        <v>Inviable Sanitariamente</v>
      </c>
      <c r="T192" s="16"/>
    </row>
    <row r="193" spans="1:20" ht="32.1" customHeight="1" x14ac:dyDescent="0.2">
      <c r="A193" s="412" t="s">
        <v>165</v>
      </c>
      <c r="B193" s="385" t="s">
        <v>2040</v>
      </c>
      <c r="C193" s="378" t="s">
        <v>2041</v>
      </c>
      <c r="D193" s="364">
        <v>41</v>
      </c>
      <c r="E193" s="415"/>
      <c r="F193" s="415"/>
      <c r="G193" s="415"/>
      <c r="H193" s="415">
        <v>0</v>
      </c>
      <c r="I193" s="415"/>
      <c r="J193" s="415"/>
      <c r="K193" s="415"/>
      <c r="L193" s="415"/>
      <c r="M193" s="415"/>
      <c r="N193" s="415"/>
      <c r="O193" s="415"/>
      <c r="P193" s="415"/>
      <c r="Q193" s="416">
        <f t="shared" si="8"/>
        <v>0</v>
      </c>
      <c r="R193" s="395" t="str">
        <f t="shared" si="11"/>
        <v>SI</v>
      </c>
      <c r="S193" s="417" t="str">
        <f t="shared" si="10"/>
        <v>Sin Riesgo</v>
      </c>
      <c r="T193" s="16"/>
    </row>
    <row r="194" spans="1:20" ht="32.1" customHeight="1" x14ac:dyDescent="0.2">
      <c r="A194" s="412" t="s">
        <v>165</v>
      </c>
      <c r="B194" s="385" t="s">
        <v>239</v>
      </c>
      <c r="C194" s="378" t="s">
        <v>2042</v>
      </c>
      <c r="D194" s="364">
        <v>65</v>
      </c>
      <c r="E194" s="415"/>
      <c r="F194" s="415"/>
      <c r="G194" s="415"/>
      <c r="H194" s="415"/>
      <c r="I194" s="415"/>
      <c r="J194" s="415">
        <v>96</v>
      </c>
      <c r="K194" s="415"/>
      <c r="L194" s="415"/>
      <c r="M194" s="415"/>
      <c r="N194" s="415"/>
      <c r="O194" s="415"/>
      <c r="P194" s="415"/>
      <c r="Q194" s="416">
        <f t="shared" si="8"/>
        <v>96</v>
      </c>
      <c r="R194" s="395" t="str">
        <f t="shared" si="11"/>
        <v>NO</v>
      </c>
      <c r="S194" s="417" t="str">
        <f t="shared" si="10"/>
        <v>Inviable Sanitariamente</v>
      </c>
      <c r="T194" s="16"/>
    </row>
    <row r="195" spans="1:20" ht="32.1" customHeight="1" x14ac:dyDescent="0.2">
      <c r="A195" s="412" t="s">
        <v>165</v>
      </c>
      <c r="B195" s="385" t="s">
        <v>2043</v>
      </c>
      <c r="C195" s="378" t="s">
        <v>2044</v>
      </c>
      <c r="D195" s="364">
        <v>28</v>
      </c>
      <c r="E195" s="415"/>
      <c r="F195" s="415"/>
      <c r="G195" s="415">
        <v>96</v>
      </c>
      <c r="H195" s="415"/>
      <c r="I195" s="415"/>
      <c r="J195" s="415"/>
      <c r="K195" s="415"/>
      <c r="L195" s="415"/>
      <c r="M195" s="415"/>
      <c r="N195" s="415"/>
      <c r="O195" s="415"/>
      <c r="P195" s="415"/>
      <c r="Q195" s="416">
        <f t="shared" si="8"/>
        <v>96</v>
      </c>
      <c r="R195" s="395" t="str">
        <f t="shared" si="11"/>
        <v>NO</v>
      </c>
      <c r="S195" s="417" t="str">
        <f t="shared" si="10"/>
        <v>Inviable Sanitariamente</v>
      </c>
      <c r="T195" s="16"/>
    </row>
    <row r="196" spans="1:20" ht="32.1" customHeight="1" x14ac:dyDescent="0.2">
      <c r="A196" s="412" t="s">
        <v>165</v>
      </c>
      <c r="B196" s="385" t="s">
        <v>2045</v>
      </c>
      <c r="C196" s="378" t="s">
        <v>2046</v>
      </c>
      <c r="D196" s="364">
        <v>49</v>
      </c>
      <c r="E196" s="415"/>
      <c r="F196" s="415">
        <v>96</v>
      </c>
      <c r="G196" s="415"/>
      <c r="H196" s="415"/>
      <c r="I196" s="415"/>
      <c r="J196" s="415"/>
      <c r="K196" s="415"/>
      <c r="L196" s="415"/>
      <c r="M196" s="415"/>
      <c r="N196" s="415"/>
      <c r="O196" s="415"/>
      <c r="P196" s="415"/>
      <c r="Q196" s="416">
        <f t="shared" si="8"/>
        <v>96</v>
      </c>
      <c r="R196" s="395" t="str">
        <f t="shared" si="11"/>
        <v>NO</v>
      </c>
      <c r="S196" s="417" t="str">
        <f t="shared" si="10"/>
        <v>Inviable Sanitariamente</v>
      </c>
      <c r="T196" s="16"/>
    </row>
    <row r="197" spans="1:20" ht="32.1" customHeight="1" x14ac:dyDescent="0.2">
      <c r="A197" s="412" t="s">
        <v>165</v>
      </c>
      <c r="B197" s="385" t="s">
        <v>1344</v>
      </c>
      <c r="C197" s="378" t="s">
        <v>2047</v>
      </c>
      <c r="D197" s="364">
        <v>54</v>
      </c>
      <c r="E197" s="415"/>
      <c r="F197" s="415"/>
      <c r="G197" s="415"/>
      <c r="H197" s="415"/>
      <c r="I197" s="415">
        <v>53</v>
      </c>
      <c r="J197" s="415"/>
      <c r="K197" s="415"/>
      <c r="L197" s="415"/>
      <c r="M197" s="415"/>
      <c r="N197" s="415"/>
      <c r="O197" s="415"/>
      <c r="P197" s="415"/>
      <c r="Q197" s="416">
        <f t="shared" si="8"/>
        <v>53</v>
      </c>
      <c r="R197" s="395" t="str">
        <f t="shared" si="11"/>
        <v>NO</v>
      </c>
      <c r="S197" s="417" t="str">
        <f t="shared" si="10"/>
        <v>Alto</v>
      </c>
      <c r="T197" s="16"/>
    </row>
    <row r="198" spans="1:20" ht="32.1" customHeight="1" x14ac:dyDescent="0.2">
      <c r="A198" s="412" t="s">
        <v>165</v>
      </c>
      <c r="B198" s="385" t="s">
        <v>2048</v>
      </c>
      <c r="C198" s="378" t="s">
        <v>2049</v>
      </c>
      <c r="D198" s="364">
        <v>138</v>
      </c>
      <c r="E198" s="415"/>
      <c r="F198" s="415"/>
      <c r="G198" s="415">
        <v>53</v>
      </c>
      <c r="H198" s="415"/>
      <c r="I198" s="415"/>
      <c r="J198" s="415"/>
      <c r="K198" s="415"/>
      <c r="L198" s="415"/>
      <c r="M198" s="415"/>
      <c r="N198" s="415"/>
      <c r="O198" s="415"/>
      <c r="P198" s="415"/>
      <c r="Q198" s="416">
        <f t="shared" si="8"/>
        <v>53</v>
      </c>
      <c r="R198" s="395" t="str">
        <f t="shared" si="11"/>
        <v>NO</v>
      </c>
      <c r="S198" s="417" t="str">
        <f t="shared" si="10"/>
        <v>Alto</v>
      </c>
      <c r="T198" s="16"/>
    </row>
    <row r="199" spans="1:20" ht="32.1" customHeight="1" x14ac:dyDescent="0.2">
      <c r="A199" s="412" t="s">
        <v>165</v>
      </c>
      <c r="B199" s="385" t="s">
        <v>2050</v>
      </c>
      <c r="C199" s="378" t="s">
        <v>2051</v>
      </c>
      <c r="D199" s="364">
        <v>93</v>
      </c>
      <c r="E199" s="415"/>
      <c r="F199" s="415">
        <v>53</v>
      </c>
      <c r="G199" s="415"/>
      <c r="H199" s="415"/>
      <c r="I199" s="415"/>
      <c r="J199" s="415"/>
      <c r="K199" s="415"/>
      <c r="L199" s="415"/>
      <c r="M199" s="415"/>
      <c r="N199" s="415"/>
      <c r="O199" s="415"/>
      <c r="P199" s="415"/>
      <c r="Q199" s="416">
        <f t="shared" si="8"/>
        <v>53</v>
      </c>
      <c r="R199" s="395" t="str">
        <f t="shared" si="11"/>
        <v>NO</v>
      </c>
      <c r="S199" s="417" t="str">
        <f t="shared" si="10"/>
        <v>Alto</v>
      </c>
      <c r="T199" s="16"/>
    </row>
    <row r="200" spans="1:20" ht="32.1" customHeight="1" x14ac:dyDescent="0.2">
      <c r="A200" s="412" t="s">
        <v>165</v>
      </c>
      <c r="B200" s="385" t="s">
        <v>2052</v>
      </c>
      <c r="C200" s="378" t="s">
        <v>2053</v>
      </c>
      <c r="D200" s="364">
        <v>110</v>
      </c>
      <c r="E200" s="415"/>
      <c r="F200" s="415"/>
      <c r="G200" s="415"/>
      <c r="H200" s="415"/>
      <c r="I200" s="415"/>
      <c r="J200" s="415">
        <v>53</v>
      </c>
      <c r="K200" s="415"/>
      <c r="L200" s="415"/>
      <c r="M200" s="415"/>
      <c r="N200" s="415"/>
      <c r="O200" s="415"/>
      <c r="P200" s="415"/>
      <c r="Q200" s="416">
        <f t="shared" si="8"/>
        <v>53</v>
      </c>
      <c r="R200" s="395" t="str">
        <f t="shared" si="11"/>
        <v>NO</v>
      </c>
      <c r="S200" s="417" t="str">
        <f t="shared" si="10"/>
        <v>Alto</v>
      </c>
      <c r="T200" s="16"/>
    </row>
    <row r="201" spans="1:20" ht="32.1" customHeight="1" x14ac:dyDescent="0.2">
      <c r="A201" s="412" t="s">
        <v>165</v>
      </c>
      <c r="B201" s="385" t="s">
        <v>2054</v>
      </c>
      <c r="C201" s="378" t="s">
        <v>2055</v>
      </c>
      <c r="D201" s="364">
        <v>49</v>
      </c>
      <c r="E201" s="415"/>
      <c r="F201" s="415"/>
      <c r="G201" s="415">
        <v>53</v>
      </c>
      <c r="H201" s="415"/>
      <c r="I201" s="415"/>
      <c r="J201" s="415"/>
      <c r="K201" s="415"/>
      <c r="L201" s="415"/>
      <c r="M201" s="415"/>
      <c r="N201" s="415"/>
      <c r="O201" s="415"/>
      <c r="P201" s="415"/>
      <c r="Q201" s="416">
        <f t="shared" si="8"/>
        <v>53</v>
      </c>
      <c r="R201" s="395" t="str">
        <f t="shared" si="11"/>
        <v>NO</v>
      </c>
      <c r="S201" s="417" t="str">
        <f t="shared" si="10"/>
        <v>Alto</v>
      </c>
      <c r="T201" s="16"/>
    </row>
    <row r="202" spans="1:20" ht="32.1" customHeight="1" x14ac:dyDescent="0.2">
      <c r="A202" s="412" t="s">
        <v>165</v>
      </c>
      <c r="B202" s="385" t="s">
        <v>2056</v>
      </c>
      <c r="C202" s="378" t="s">
        <v>2057</v>
      </c>
      <c r="D202" s="364">
        <v>47</v>
      </c>
      <c r="E202" s="415"/>
      <c r="F202" s="415"/>
      <c r="G202" s="415">
        <v>53</v>
      </c>
      <c r="H202" s="415"/>
      <c r="I202" s="415"/>
      <c r="J202" s="415"/>
      <c r="K202" s="415"/>
      <c r="L202" s="415"/>
      <c r="M202" s="415"/>
      <c r="N202" s="415"/>
      <c r="O202" s="415"/>
      <c r="P202" s="415"/>
      <c r="Q202" s="416">
        <f t="shared" si="8"/>
        <v>53</v>
      </c>
      <c r="R202" s="395" t="str">
        <f t="shared" si="11"/>
        <v>NO</v>
      </c>
      <c r="S202" s="417" t="str">
        <f t="shared" si="10"/>
        <v>Alto</v>
      </c>
      <c r="T202" s="16"/>
    </row>
    <row r="203" spans="1:20" ht="32.1" customHeight="1" x14ac:dyDescent="0.2">
      <c r="A203" s="412" t="s">
        <v>165</v>
      </c>
      <c r="B203" s="385" t="s">
        <v>2058</v>
      </c>
      <c r="C203" s="378" t="s">
        <v>2059</v>
      </c>
      <c r="D203" s="364">
        <v>138</v>
      </c>
      <c r="E203" s="415"/>
      <c r="F203" s="415"/>
      <c r="G203" s="415"/>
      <c r="H203" s="415"/>
      <c r="I203" s="415"/>
      <c r="J203" s="415">
        <v>96</v>
      </c>
      <c r="K203" s="415"/>
      <c r="L203" s="415"/>
      <c r="M203" s="415"/>
      <c r="N203" s="415"/>
      <c r="O203" s="415"/>
      <c r="P203" s="415"/>
      <c r="Q203" s="416">
        <f t="shared" ref="Q203:Q221" si="12">AVERAGE(E203:P203)</f>
        <v>96</v>
      </c>
      <c r="R203" s="395" t="str">
        <f t="shared" si="11"/>
        <v>NO</v>
      </c>
      <c r="S203" s="417" t="str">
        <f t="shared" ref="S203:S266" si="13">IF(Q203&lt;5,"Sin Riesgo",IF(Q203 &lt;=14,"Bajo",IF(Q203&lt;=35,"Medio",IF(Q203&lt;=80,"Alto","Inviable Sanitariamente"))))</f>
        <v>Inviable Sanitariamente</v>
      </c>
      <c r="T203" s="16"/>
    </row>
    <row r="204" spans="1:20" ht="32.1" customHeight="1" x14ac:dyDescent="0.2">
      <c r="A204" s="412" t="s">
        <v>165</v>
      </c>
      <c r="B204" s="385" t="s">
        <v>1645</v>
      </c>
      <c r="C204" s="378" t="s">
        <v>2060</v>
      </c>
      <c r="D204" s="364">
        <v>67</v>
      </c>
      <c r="E204" s="415">
        <v>0</v>
      </c>
      <c r="F204" s="415"/>
      <c r="G204" s="415"/>
      <c r="H204" s="415">
        <v>53</v>
      </c>
      <c r="I204" s="415"/>
      <c r="J204" s="415"/>
      <c r="K204" s="415"/>
      <c r="L204" s="415"/>
      <c r="M204" s="415"/>
      <c r="N204" s="415"/>
      <c r="O204" s="415"/>
      <c r="P204" s="415"/>
      <c r="Q204" s="416">
        <f t="shared" si="12"/>
        <v>26.5</v>
      </c>
      <c r="R204" s="395" t="str">
        <f t="shared" si="11"/>
        <v>NO</v>
      </c>
      <c r="S204" s="417" t="str">
        <f t="shared" si="13"/>
        <v>Medio</v>
      </c>
      <c r="T204" s="16"/>
    </row>
    <row r="205" spans="1:20" ht="32.1" customHeight="1" x14ac:dyDescent="0.2">
      <c r="A205" s="412" t="s">
        <v>165</v>
      </c>
      <c r="B205" s="385" t="s">
        <v>2061</v>
      </c>
      <c r="C205" s="378" t="s">
        <v>2062</v>
      </c>
      <c r="D205" s="364">
        <v>74</v>
      </c>
      <c r="E205" s="415"/>
      <c r="F205" s="415"/>
      <c r="G205" s="415"/>
      <c r="H205" s="415">
        <v>26</v>
      </c>
      <c r="I205" s="415"/>
      <c r="J205" s="415"/>
      <c r="K205" s="415"/>
      <c r="L205" s="415"/>
      <c r="M205" s="415"/>
      <c r="N205" s="415"/>
      <c r="O205" s="415"/>
      <c r="P205" s="415"/>
      <c r="Q205" s="416">
        <f t="shared" si="12"/>
        <v>26</v>
      </c>
      <c r="R205" s="395" t="str">
        <f t="shared" si="11"/>
        <v>NO</v>
      </c>
      <c r="S205" s="417" t="str">
        <f t="shared" si="13"/>
        <v>Medio</v>
      </c>
      <c r="T205" s="16"/>
    </row>
    <row r="206" spans="1:20" ht="32.1" customHeight="1" x14ac:dyDescent="0.2">
      <c r="A206" s="412" t="s">
        <v>165</v>
      </c>
      <c r="B206" s="385" t="s">
        <v>2063</v>
      </c>
      <c r="C206" s="378" t="s">
        <v>2064</v>
      </c>
      <c r="D206" s="364">
        <v>36</v>
      </c>
      <c r="E206" s="415"/>
      <c r="F206" s="415"/>
      <c r="G206" s="415"/>
      <c r="H206" s="415"/>
      <c r="I206" s="415"/>
      <c r="J206" s="415">
        <v>53</v>
      </c>
      <c r="K206" s="415"/>
      <c r="L206" s="415"/>
      <c r="M206" s="415"/>
      <c r="N206" s="415"/>
      <c r="O206" s="415"/>
      <c r="P206" s="415"/>
      <c r="Q206" s="416">
        <f t="shared" si="12"/>
        <v>53</v>
      </c>
      <c r="R206" s="395" t="str">
        <f t="shared" si="11"/>
        <v>NO</v>
      </c>
      <c r="S206" s="417" t="str">
        <f t="shared" si="13"/>
        <v>Alto</v>
      </c>
      <c r="T206" s="16"/>
    </row>
    <row r="207" spans="1:20" ht="32.1" customHeight="1" x14ac:dyDescent="0.2">
      <c r="A207" s="412" t="s">
        <v>165</v>
      </c>
      <c r="B207" s="412" t="s">
        <v>2065</v>
      </c>
      <c r="C207" s="419" t="s">
        <v>2066</v>
      </c>
      <c r="D207" s="413">
        <v>100</v>
      </c>
      <c r="E207" s="415">
        <v>0</v>
      </c>
      <c r="F207" s="415"/>
      <c r="G207" s="415"/>
      <c r="H207" s="415">
        <v>0</v>
      </c>
      <c r="I207" s="415"/>
      <c r="J207" s="415"/>
      <c r="K207" s="415"/>
      <c r="L207" s="415"/>
      <c r="M207" s="415"/>
      <c r="N207" s="415"/>
      <c r="O207" s="415"/>
      <c r="P207" s="415"/>
      <c r="Q207" s="416">
        <f t="shared" si="12"/>
        <v>0</v>
      </c>
      <c r="R207" s="395" t="str">
        <f t="shared" si="11"/>
        <v>SI</v>
      </c>
      <c r="S207" s="417" t="str">
        <f t="shared" si="13"/>
        <v>Sin Riesgo</v>
      </c>
      <c r="T207" s="16"/>
    </row>
    <row r="208" spans="1:20" ht="32.1" customHeight="1" x14ac:dyDescent="0.2">
      <c r="A208" s="412" t="s">
        <v>165</v>
      </c>
      <c r="B208" s="412" t="s">
        <v>2067</v>
      </c>
      <c r="C208" s="419" t="s">
        <v>2068</v>
      </c>
      <c r="D208" s="413">
        <v>16</v>
      </c>
      <c r="E208" s="415"/>
      <c r="F208" s="415"/>
      <c r="G208" s="415"/>
      <c r="H208" s="415">
        <v>96</v>
      </c>
      <c r="I208" s="415"/>
      <c r="J208" s="415"/>
      <c r="K208" s="415"/>
      <c r="L208" s="415"/>
      <c r="M208" s="415"/>
      <c r="N208" s="415"/>
      <c r="O208" s="415"/>
      <c r="P208" s="415"/>
      <c r="Q208" s="416">
        <f t="shared" si="12"/>
        <v>96</v>
      </c>
      <c r="R208" s="395" t="str">
        <f t="shared" si="11"/>
        <v>NO</v>
      </c>
      <c r="S208" s="417" t="str">
        <f t="shared" si="13"/>
        <v>Inviable Sanitariamente</v>
      </c>
      <c r="T208" s="16"/>
    </row>
    <row r="209" spans="1:20" ht="32.1" customHeight="1" x14ac:dyDescent="0.2">
      <c r="A209" s="412" t="s">
        <v>165</v>
      </c>
      <c r="B209" s="412" t="s">
        <v>1323</v>
      </c>
      <c r="C209" s="419" t="s">
        <v>2069</v>
      </c>
      <c r="D209" s="364">
        <v>91</v>
      </c>
      <c r="E209" s="415"/>
      <c r="F209" s="415">
        <v>53</v>
      </c>
      <c r="G209" s="415"/>
      <c r="H209" s="415"/>
      <c r="I209" s="415"/>
      <c r="J209" s="415"/>
      <c r="K209" s="415"/>
      <c r="L209" s="415"/>
      <c r="M209" s="415"/>
      <c r="N209" s="415"/>
      <c r="O209" s="415"/>
      <c r="P209" s="415"/>
      <c r="Q209" s="416">
        <f t="shared" si="12"/>
        <v>53</v>
      </c>
      <c r="R209" s="395" t="str">
        <f t="shared" si="11"/>
        <v>NO</v>
      </c>
      <c r="S209" s="417" t="str">
        <f t="shared" si="13"/>
        <v>Alto</v>
      </c>
      <c r="T209" s="16"/>
    </row>
    <row r="210" spans="1:20" ht="32.1" customHeight="1" x14ac:dyDescent="0.2">
      <c r="A210" s="412" t="s">
        <v>166</v>
      </c>
      <c r="B210" s="412" t="s">
        <v>2070</v>
      </c>
      <c r="C210" s="419" t="s">
        <v>2071</v>
      </c>
      <c r="D210" s="364">
        <v>194</v>
      </c>
      <c r="E210" s="415"/>
      <c r="F210" s="415">
        <v>0</v>
      </c>
      <c r="G210" s="415"/>
      <c r="H210" s="415"/>
      <c r="I210" s="415"/>
      <c r="J210" s="415"/>
      <c r="K210" s="415"/>
      <c r="L210" s="415"/>
      <c r="M210" s="415"/>
      <c r="N210" s="415"/>
      <c r="O210" s="415"/>
      <c r="P210" s="415"/>
      <c r="Q210" s="416">
        <f t="shared" si="12"/>
        <v>0</v>
      </c>
      <c r="R210" s="395" t="str">
        <f t="shared" si="11"/>
        <v>SI</v>
      </c>
      <c r="S210" s="417" t="str">
        <f t="shared" si="13"/>
        <v>Sin Riesgo</v>
      </c>
      <c r="T210" s="16"/>
    </row>
    <row r="211" spans="1:20" ht="32.1" customHeight="1" x14ac:dyDescent="0.2">
      <c r="A211" s="412" t="s">
        <v>166</v>
      </c>
      <c r="B211" s="412" t="s">
        <v>1426</v>
      </c>
      <c r="C211" s="419" t="s">
        <v>2072</v>
      </c>
      <c r="D211" s="364">
        <v>174</v>
      </c>
      <c r="E211" s="415"/>
      <c r="F211" s="415">
        <v>26.54</v>
      </c>
      <c r="G211" s="415"/>
      <c r="H211" s="415"/>
      <c r="I211" s="415"/>
      <c r="J211" s="415"/>
      <c r="K211" s="415"/>
      <c r="L211" s="415"/>
      <c r="M211" s="415"/>
      <c r="N211" s="415"/>
      <c r="O211" s="415"/>
      <c r="P211" s="415"/>
      <c r="Q211" s="416">
        <f t="shared" si="12"/>
        <v>26.54</v>
      </c>
      <c r="R211" s="395" t="str">
        <f t="shared" si="11"/>
        <v>NO</v>
      </c>
      <c r="S211" s="417" t="str">
        <f t="shared" si="13"/>
        <v>Medio</v>
      </c>
      <c r="T211" s="16"/>
    </row>
    <row r="212" spans="1:20" ht="32.1" customHeight="1" x14ac:dyDescent="0.2">
      <c r="A212" s="412" t="s">
        <v>166</v>
      </c>
      <c r="B212" s="412" t="s">
        <v>2073</v>
      </c>
      <c r="C212" s="419" t="s">
        <v>2074</v>
      </c>
      <c r="D212" s="364">
        <v>116</v>
      </c>
      <c r="E212" s="415"/>
      <c r="F212" s="415"/>
      <c r="G212" s="415"/>
      <c r="H212" s="415"/>
      <c r="I212" s="415"/>
      <c r="J212" s="415"/>
      <c r="K212" s="415"/>
      <c r="L212" s="415"/>
      <c r="M212" s="415"/>
      <c r="N212" s="415">
        <v>0</v>
      </c>
      <c r="O212" s="415"/>
      <c r="P212" s="415"/>
      <c r="Q212" s="416">
        <f t="shared" si="12"/>
        <v>0</v>
      </c>
      <c r="R212" s="395" t="str">
        <f t="shared" si="11"/>
        <v>SI</v>
      </c>
      <c r="S212" s="417" t="str">
        <f t="shared" si="13"/>
        <v>Sin Riesgo</v>
      </c>
      <c r="T212" s="16"/>
    </row>
    <row r="213" spans="1:20" ht="32.1" customHeight="1" x14ac:dyDescent="0.2">
      <c r="A213" s="412" t="s">
        <v>166</v>
      </c>
      <c r="B213" s="412" t="s">
        <v>2075</v>
      </c>
      <c r="C213" s="419" t="s">
        <v>2076</v>
      </c>
      <c r="D213" s="364">
        <v>134</v>
      </c>
      <c r="E213" s="415"/>
      <c r="F213" s="415"/>
      <c r="G213" s="415"/>
      <c r="H213" s="415"/>
      <c r="I213" s="415"/>
      <c r="J213" s="415"/>
      <c r="K213" s="415">
        <v>26.54</v>
      </c>
      <c r="L213" s="415"/>
      <c r="M213" s="415"/>
      <c r="N213" s="415"/>
      <c r="O213" s="415"/>
      <c r="P213" s="415"/>
      <c r="Q213" s="416">
        <f t="shared" si="12"/>
        <v>26.54</v>
      </c>
      <c r="R213" s="395" t="str">
        <f t="shared" si="11"/>
        <v>NO</v>
      </c>
      <c r="S213" s="417" t="str">
        <f t="shared" si="13"/>
        <v>Medio</v>
      </c>
      <c r="T213" s="16"/>
    </row>
    <row r="214" spans="1:20" ht="32.1" customHeight="1" x14ac:dyDescent="0.2">
      <c r="A214" s="412" t="s">
        <v>166</v>
      </c>
      <c r="B214" s="412" t="s">
        <v>2077</v>
      </c>
      <c r="C214" s="419" t="s">
        <v>2078</v>
      </c>
      <c r="D214" s="364">
        <v>126</v>
      </c>
      <c r="E214" s="415"/>
      <c r="F214" s="415">
        <v>97.34</v>
      </c>
      <c r="G214" s="415"/>
      <c r="H214" s="415"/>
      <c r="I214" s="415"/>
      <c r="J214" s="415"/>
      <c r="K214" s="415"/>
      <c r="L214" s="415"/>
      <c r="M214" s="415"/>
      <c r="N214" s="415"/>
      <c r="O214" s="415"/>
      <c r="P214" s="415"/>
      <c r="Q214" s="416">
        <f t="shared" si="12"/>
        <v>97.34</v>
      </c>
      <c r="R214" s="395" t="str">
        <f t="shared" si="11"/>
        <v>NO</v>
      </c>
      <c r="S214" s="417" t="str">
        <f t="shared" si="13"/>
        <v>Inviable Sanitariamente</v>
      </c>
      <c r="T214" s="16"/>
    </row>
    <row r="215" spans="1:20" ht="32.1" customHeight="1" x14ac:dyDescent="0.2">
      <c r="A215" s="412" t="s">
        <v>166</v>
      </c>
      <c r="B215" s="412" t="s">
        <v>2079</v>
      </c>
      <c r="C215" s="419" t="s">
        <v>2080</v>
      </c>
      <c r="D215" s="413">
        <v>36</v>
      </c>
      <c r="E215" s="415"/>
      <c r="F215" s="415">
        <v>97.34</v>
      </c>
      <c r="G215" s="415"/>
      <c r="H215" s="415"/>
      <c r="I215" s="415"/>
      <c r="J215" s="415"/>
      <c r="K215" s="415">
        <v>97.34</v>
      </c>
      <c r="L215" s="415"/>
      <c r="M215" s="415"/>
      <c r="N215" s="415"/>
      <c r="O215" s="415"/>
      <c r="P215" s="415"/>
      <c r="Q215" s="416">
        <f t="shared" si="12"/>
        <v>97.34</v>
      </c>
      <c r="R215" s="395" t="str">
        <f t="shared" si="11"/>
        <v>NO</v>
      </c>
      <c r="S215" s="417" t="str">
        <f t="shared" si="13"/>
        <v>Inviable Sanitariamente</v>
      </c>
      <c r="T215" s="16"/>
    </row>
    <row r="216" spans="1:20" ht="32.1" customHeight="1" x14ac:dyDescent="0.2">
      <c r="A216" s="412" t="s">
        <v>166</v>
      </c>
      <c r="B216" s="412" t="s">
        <v>2081</v>
      </c>
      <c r="C216" s="418" t="s">
        <v>2082</v>
      </c>
      <c r="D216" s="413">
        <v>32</v>
      </c>
      <c r="E216" s="415"/>
      <c r="F216" s="415">
        <v>0</v>
      </c>
      <c r="G216" s="415"/>
      <c r="H216" s="415"/>
      <c r="I216" s="415"/>
      <c r="J216" s="415"/>
      <c r="K216" s="415">
        <v>0</v>
      </c>
      <c r="L216" s="415"/>
      <c r="M216" s="415"/>
      <c r="N216" s="415"/>
      <c r="O216" s="415"/>
      <c r="P216" s="415"/>
      <c r="Q216" s="416">
        <f t="shared" si="12"/>
        <v>0</v>
      </c>
      <c r="R216" s="395" t="str">
        <f t="shared" si="11"/>
        <v>SI</v>
      </c>
      <c r="S216" s="417" t="str">
        <f t="shared" si="13"/>
        <v>Sin Riesgo</v>
      </c>
      <c r="T216" s="16"/>
    </row>
    <row r="217" spans="1:20" ht="32.1" customHeight="1" x14ac:dyDescent="0.2">
      <c r="A217" s="412" t="s">
        <v>166</v>
      </c>
      <c r="B217" s="412" t="s">
        <v>2083</v>
      </c>
      <c r="C217" s="419" t="s">
        <v>2084</v>
      </c>
      <c r="D217" s="364">
        <v>80</v>
      </c>
      <c r="E217" s="415"/>
      <c r="F217" s="415"/>
      <c r="G217" s="415"/>
      <c r="H217" s="415"/>
      <c r="I217" s="415"/>
      <c r="J217" s="415">
        <v>97.34</v>
      </c>
      <c r="K217" s="415"/>
      <c r="L217" s="415"/>
      <c r="M217" s="415"/>
      <c r="N217" s="415"/>
      <c r="O217" s="415"/>
      <c r="P217" s="415"/>
      <c r="Q217" s="416">
        <f t="shared" si="12"/>
        <v>97.34</v>
      </c>
      <c r="R217" s="395" t="str">
        <f t="shared" si="11"/>
        <v>NO</v>
      </c>
      <c r="S217" s="417" t="str">
        <f t="shared" si="13"/>
        <v>Inviable Sanitariamente</v>
      </c>
      <c r="T217" s="16"/>
    </row>
    <row r="218" spans="1:20" ht="32.1" customHeight="1" x14ac:dyDescent="0.2">
      <c r="A218" s="412" t="s">
        <v>166</v>
      </c>
      <c r="B218" s="412" t="s">
        <v>2085</v>
      </c>
      <c r="C218" s="419" t="s">
        <v>2086</v>
      </c>
      <c r="D218" s="413">
        <v>170</v>
      </c>
      <c r="E218" s="415"/>
      <c r="F218" s="415"/>
      <c r="G218" s="415"/>
      <c r="H218" s="415"/>
      <c r="I218" s="415"/>
      <c r="J218" s="415"/>
      <c r="K218" s="415"/>
      <c r="L218" s="415"/>
      <c r="M218" s="415"/>
      <c r="N218" s="415">
        <v>97.3</v>
      </c>
      <c r="O218" s="415"/>
      <c r="P218" s="415"/>
      <c r="Q218" s="416">
        <f t="shared" si="12"/>
        <v>97.3</v>
      </c>
      <c r="R218" s="395" t="str">
        <f t="shared" si="11"/>
        <v>NO</v>
      </c>
      <c r="S218" s="417" t="str">
        <f t="shared" si="13"/>
        <v>Inviable Sanitariamente</v>
      </c>
      <c r="T218" s="16"/>
    </row>
    <row r="219" spans="1:20" ht="32.1" customHeight="1" x14ac:dyDescent="0.2">
      <c r="A219" s="412" t="s">
        <v>166</v>
      </c>
      <c r="B219" s="412" t="s">
        <v>2087</v>
      </c>
      <c r="C219" s="419" t="s">
        <v>2088</v>
      </c>
      <c r="D219" s="413">
        <v>230</v>
      </c>
      <c r="E219" s="415"/>
      <c r="F219" s="415"/>
      <c r="G219" s="415"/>
      <c r="H219" s="415"/>
      <c r="I219" s="415"/>
      <c r="J219" s="415"/>
      <c r="K219" s="415"/>
      <c r="L219" s="415"/>
      <c r="M219" s="415"/>
      <c r="N219" s="415"/>
      <c r="O219" s="415">
        <v>97.3</v>
      </c>
      <c r="P219" s="415"/>
      <c r="Q219" s="416">
        <f t="shared" si="12"/>
        <v>97.3</v>
      </c>
      <c r="R219" s="395" t="str">
        <f t="shared" si="11"/>
        <v>NO</v>
      </c>
      <c r="S219" s="417" t="str">
        <f t="shared" si="13"/>
        <v>Inviable Sanitariamente</v>
      </c>
      <c r="T219" s="16"/>
    </row>
    <row r="220" spans="1:20" ht="32.1" customHeight="1" x14ac:dyDescent="0.2">
      <c r="A220" s="412" t="s">
        <v>166</v>
      </c>
      <c r="B220" s="412" t="s">
        <v>2089</v>
      </c>
      <c r="C220" s="419" t="s">
        <v>2090</v>
      </c>
      <c r="D220" s="364">
        <v>96</v>
      </c>
      <c r="E220" s="415"/>
      <c r="F220" s="415"/>
      <c r="G220" s="415"/>
      <c r="H220" s="415"/>
      <c r="I220" s="415"/>
      <c r="J220" s="415"/>
      <c r="K220" s="415"/>
      <c r="L220" s="415"/>
      <c r="M220" s="415"/>
      <c r="N220" s="415"/>
      <c r="O220" s="415">
        <v>97.34</v>
      </c>
      <c r="P220" s="415"/>
      <c r="Q220" s="416">
        <f t="shared" si="12"/>
        <v>97.34</v>
      </c>
      <c r="R220" s="395" t="str">
        <f t="shared" si="11"/>
        <v>NO</v>
      </c>
      <c r="S220" s="417" t="str">
        <f t="shared" si="13"/>
        <v>Inviable Sanitariamente</v>
      </c>
      <c r="T220" s="16"/>
    </row>
    <row r="221" spans="1:20" ht="32.1" customHeight="1" x14ac:dyDescent="0.2">
      <c r="A221" s="412" t="s">
        <v>166</v>
      </c>
      <c r="B221" s="412" t="s">
        <v>2091</v>
      </c>
      <c r="C221" s="419" t="s">
        <v>2092</v>
      </c>
      <c r="D221" s="364">
        <v>86</v>
      </c>
      <c r="E221" s="415"/>
      <c r="F221" s="415"/>
      <c r="G221" s="415"/>
      <c r="H221" s="415"/>
      <c r="I221" s="415"/>
      <c r="J221" s="415">
        <v>97.34</v>
      </c>
      <c r="K221" s="415"/>
      <c r="L221" s="415"/>
      <c r="M221" s="415"/>
      <c r="N221" s="415">
        <v>97.34</v>
      </c>
      <c r="O221" s="415"/>
      <c r="P221" s="415"/>
      <c r="Q221" s="416">
        <f t="shared" si="12"/>
        <v>97.34</v>
      </c>
      <c r="R221" s="395" t="str">
        <f t="shared" si="11"/>
        <v>NO</v>
      </c>
      <c r="S221" s="417" t="str">
        <f t="shared" si="13"/>
        <v>Inviable Sanitariamente</v>
      </c>
      <c r="T221" s="16"/>
    </row>
    <row r="222" spans="1:20" ht="32.1" customHeight="1" x14ac:dyDescent="0.2">
      <c r="A222" s="412" t="s">
        <v>166</v>
      </c>
      <c r="B222" s="412" t="s">
        <v>2093</v>
      </c>
      <c r="C222" s="419" t="s">
        <v>2094</v>
      </c>
      <c r="D222" s="364">
        <v>124</v>
      </c>
      <c r="E222" s="415"/>
      <c r="F222" s="415"/>
      <c r="G222" s="415"/>
      <c r="H222" s="415"/>
      <c r="I222" s="415"/>
      <c r="J222" s="415">
        <v>0</v>
      </c>
      <c r="K222" s="415"/>
      <c r="L222" s="415"/>
      <c r="M222" s="415"/>
      <c r="N222" s="415"/>
      <c r="O222" s="415"/>
      <c r="P222" s="415"/>
      <c r="Q222" s="416">
        <f>AVERAGE(E222:O222)</f>
        <v>0</v>
      </c>
      <c r="R222" s="395" t="str">
        <f t="shared" si="11"/>
        <v>SI</v>
      </c>
      <c r="S222" s="417" t="str">
        <f t="shared" si="13"/>
        <v>Sin Riesgo</v>
      </c>
      <c r="T222" s="16"/>
    </row>
    <row r="223" spans="1:20" ht="32.1" customHeight="1" x14ac:dyDescent="0.2">
      <c r="A223" s="412" t="s">
        <v>166</v>
      </c>
      <c r="B223" s="412" t="s">
        <v>2095</v>
      </c>
      <c r="C223" s="419" t="s">
        <v>2096</v>
      </c>
      <c r="D223" s="364">
        <v>45</v>
      </c>
      <c r="E223" s="415"/>
      <c r="F223" s="415"/>
      <c r="G223" s="415"/>
      <c r="H223" s="415"/>
      <c r="I223" s="415"/>
      <c r="J223" s="415">
        <v>97.34</v>
      </c>
      <c r="K223" s="415"/>
      <c r="L223" s="415"/>
      <c r="M223" s="415">
        <v>97.34</v>
      </c>
      <c r="N223" s="415"/>
      <c r="O223" s="415"/>
      <c r="P223" s="415"/>
      <c r="Q223" s="416">
        <f>AVERAGE(E223:P223)</f>
        <v>97.34</v>
      </c>
      <c r="R223" s="395" t="str">
        <f t="shared" si="11"/>
        <v>NO</v>
      </c>
      <c r="S223" s="417" t="str">
        <f t="shared" si="13"/>
        <v>Inviable Sanitariamente</v>
      </c>
      <c r="T223" s="16"/>
    </row>
    <row r="224" spans="1:20" ht="32.1" customHeight="1" x14ac:dyDescent="0.2">
      <c r="A224" s="412" t="s">
        <v>166</v>
      </c>
      <c r="B224" s="412" t="s">
        <v>2097</v>
      </c>
      <c r="C224" s="419" t="s">
        <v>2098</v>
      </c>
      <c r="D224" s="413">
        <v>64</v>
      </c>
      <c r="E224" s="415"/>
      <c r="F224" s="415"/>
      <c r="G224" s="415"/>
      <c r="H224" s="415"/>
      <c r="I224" s="415"/>
      <c r="J224" s="415">
        <v>0</v>
      </c>
      <c r="K224" s="415"/>
      <c r="L224" s="415"/>
      <c r="M224" s="415"/>
      <c r="N224" s="415"/>
      <c r="O224" s="415"/>
      <c r="P224" s="415"/>
      <c r="Q224" s="416">
        <f>AVERAGE(E224:P224)</f>
        <v>0</v>
      </c>
      <c r="R224" s="395" t="str">
        <f t="shared" si="11"/>
        <v>SI</v>
      </c>
      <c r="S224" s="417" t="str">
        <f t="shared" si="13"/>
        <v>Sin Riesgo</v>
      </c>
      <c r="T224" s="16"/>
    </row>
    <row r="225" spans="1:20" ht="32.1" customHeight="1" x14ac:dyDescent="0.2">
      <c r="A225" s="412" t="s">
        <v>166</v>
      </c>
      <c r="B225" s="412" t="s">
        <v>2099</v>
      </c>
      <c r="C225" s="419" t="s">
        <v>2100</v>
      </c>
      <c r="D225" s="413">
        <v>51</v>
      </c>
      <c r="E225" s="415"/>
      <c r="F225" s="415"/>
      <c r="G225" s="415"/>
      <c r="H225" s="415"/>
      <c r="I225" s="415"/>
      <c r="J225" s="415">
        <v>0</v>
      </c>
      <c r="K225" s="415"/>
      <c r="L225" s="415"/>
      <c r="M225" s="415"/>
      <c r="N225" s="415"/>
      <c r="O225" s="415"/>
      <c r="P225" s="415"/>
      <c r="Q225" s="416">
        <f>AVERAGE(E225:P225)</f>
        <v>0</v>
      </c>
      <c r="R225" s="395" t="str">
        <f t="shared" si="11"/>
        <v>SI</v>
      </c>
      <c r="S225" s="417" t="str">
        <f t="shared" si="13"/>
        <v>Sin Riesgo</v>
      </c>
      <c r="T225" s="16"/>
    </row>
    <row r="226" spans="1:20" ht="32.1" customHeight="1" x14ac:dyDescent="0.2">
      <c r="A226" s="412" t="s">
        <v>166</v>
      </c>
      <c r="B226" s="412" t="s">
        <v>1209</v>
      </c>
      <c r="C226" s="419" t="s">
        <v>2101</v>
      </c>
      <c r="D226" s="413">
        <v>46</v>
      </c>
      <c r="E226" s="415"/>
      <c r="F226" s="415"/>
      <c r="G226" s="415"/>
      <c r="H226" s="415"/>
      <c r="I226" s="415"/>
      <c r="J226" s="415">
        <v>0</v>
      </c>
      <c r="K226" s="415"/>
      <c r="L226" s="415"/>
      <c r="M226" s="415"/>
      <c r="N226" s="415"/>
      <c r="O226" s="415"/>
      <c r="P226" s="415"/>
      <c r="Q226" s="416">
        <f>AVERAGE(E226:O226)</f>
        <v>0</v>
      </c>
      <c r="R226" s="395" t="str">
        <f t="shared" si="11"/>
        <v>SI</v>
      </c>
      <c r="S226" s="417" t="str">
        <f t="shared" si="13"/>
        <v>Sin Riesgo</v>
      </c>
      <c r="T226" s="16"/>
    </row>
    <row r="227" spans="1:20" ht="32.1" customHeight="1" x14ac:dyDescent="0.2">
      <c r="A227" s="412" t="s">
        <v>166</v>
      </c>
      <c r="B227" s="412" t="s">
        <v>2102</v>
      </c>
      <c r="C227" s="419" t="s">
        <v>2103</v>
      </c>
      <c r="D227" s="413">
        <v>136</v>
      </c>
      <c r="E227" s="415"/>
      <c r="F227" s="415"/>
      <c r="G227" s="415"/>
      <c r="H227" s="415"/>
      <c r="I227" s="415"/>
      <c r="J227" s="415">
        <v>0</v>
      </c>
      <c r="K227" s="415"/>
      <c r="L227" s="415"/>
      <c r="M227" s="415"/>
      <c r="N227" s="415"/>
      <c r="O227" s="415"/>
      <c r="P227" s="415"/>
      <c r="Q227" s="416">
        <f t="shared" ref="Q227:Q234" si="14">AVERAGE(E227:P227)</f>
        <v>0</v>
      </c>
      <c r="R227" s="395" t="str">
        <f t="shared" si="11"/>
        <v>SI</v>
      </c>
      <c r="S227" s="417" t="str">
        <f t="shared" si="13"/>
        <v>Sin Riesgo</v>
      </c>
      <c r="T227" s="16"/>
    </row>
    <row r="228" spans="1:20" ht="32.1" customHeight="1" x14ac:dyDescent="0.2">
      <c r="A228" s="412" t="s">
        <v>166</v>
      </c>
      <c r="B228" s="412" t="s">
        <v>2104</v>
      </c>
      <c r="C228" s="419" t="s">
        <v>2105</v>
      </c>
      <c r="D228" s="413">
        <v>60</v>
      </c>
      <c r="E228" s="415"/>
      <c r="F228" s="415"/>
      <c r="G228" s="415"/>
      <c r="H228" s="415"/>
      <c r="I228" s="415"/>
      <c r="J228" s="415">
        <v>0</v>
      </c>
      <c r="K228" s="415"/>
      <c r="L228" s="415"/>
      <c r="M228" s="415"/>
      <c r="N228" s="415"/>
      <c r="O228" s="415"/>
      <c r="P228" s="415"/>
      <c r="Q228" s="416">
        <f t="shared" si="14"/>
        <v>0</v>
      </c>
      <c r="R228" s="395" t="str">
        <f t="shared" si="11"/>
        <v>SI</v>
      </c>
      <c r="S228" s="417" t="str">
        <f t="shared" si="13"/>
        <v>Sin Riesgo</v>
      </c>
      <c r="T228" s="16"/>
    </row>
    <row r="229" spans="1:20" ht="32.1" customHeight="1" x14ac:dyDescent="0.2">
      <c r="A229" s="412" t="s">
        <v>166</v>
      </c>
      <c r="B229" s="412" t="s">
        <v>2106</v>
      </c>
      <c r="C229" s="419" t="s">
        <v>2107</v>
      </c>
      <c r="D229" s="413">
        <v>142</v>
      </c>
      <c r="E229" s="415"/>
      <c r="F229" s="415"/>
      <c r="G229" s="415"/>
      <c r="H229" s="415"/>
      <c r="I229" s="415"/>
      <c r="J229" s="415">
        <v>0</v>
      </c>
      <c r="K229" s="415"/>
      <c r="L229" s="415"/>
      <c r="M229" s="415"/>
      <c r="N229" s="415"/>
      <c r="O229" s="415"/>
      <c r="P229" s="415"/>
      <c r="Q229" s="416">
        <f t="shared" si="14"/>
        <v>0</v>
      </c>
      <c r="R229" s="395" t="str">
        <f t="shared" si="11"/>
        <v>SI</v>
      </c>
      <c r="S229" s="417" t="str">
        <f t="shared" si="13"/>
        <v>Sin Riesgo</v>
      </c>
      <c r="T229" s="16"/>
    </row>
    <row r="230" spans="1:20" ht="32.1" customHeight="1" x14ac:dyDescent="0.2">
      <c r="A230" s="412" t="s">
        <v>166</v>
      </c>
      <c r="B230" s="412" t="s">
        <v>2108</v>
      </c>
      <c r="C230" s="419" t="s">
        <v>2109</v>
      </c>
      <c r="D230" s="413">
        <v>81</v>
      </c>
      <c r="E230" s="415"/>
      <c r="F230" s="415"/>
      <c r="G230" s="415"/>
      <c r="H230" s="415"/>
      <c r="I230" s="415"/>
      <c r="J230" s="415"/>
      <c r="K230" s="415"/>
      <c r="L230" s="415"/>
      <c r="M230" s="415"/>
      <c r="N230" s="415"/>
      <c r="O230" s="415"/>
      <c r="P230" s="415">
        <v>97.34</v>
      </c>
      <c r="Q230" s="416">
        <f t="shared" si="14"/>
        <v>97.34</v>
      </c>
      <c r="R230" s="395" t="str">
        <f t="shared" si="11"/>
        <v>NO</v>
      </c>
      <c r="S230" s="417" t="str">
        <f t="shared" si="13"/>
        <v>Inviable Sanitariamente</v>
      </c>
      <c r="T230" s="16"/>
    </row>
    <row r="231" spans="1:20" ht="32.1" customHeight="1" x14ac:dyDescent="0.2">
      <c r="A231" s="412" t="s">
        <v>166</v>
      </c>
      <c r="B231" s="412" t="s">
        <v>2073</v>
      </c>
      <c r="C231" s="419" t="s">
        <v>2110</v>
      </c>
      <c r="D231" s="413">
        <v>141</v>
      </c>
      <c r="E231" s="415"/>
      <c r="F231" s="415"/>
      <c r="G231" s="415"/>
      <c r="H231" s="415"/>
      <c r="I231" s="415"/>
      <c r="J231" s="415"/>
      <c r="K231" s="415"/>
      <c r="L231" s="415"/>
      <c r="M231" s="415"/>
      <c r="N231" s="415"/>
      <c r="O231" s="415">
        <v>97.34</v>
      </c>
      <c r="P231" s="415"/>
      <c r="Q231" s="416">
        <f t="shared" si="14"/>
        <v>97.34</v>
      </c>
      <c r="R231" s="395" t="str">
        <f t="shared" si="11"/>
        <v>NO</v>
      </c>
      <c r="S231" s="417" t="str">
        <f t="shared" si="13"/>
        <v>Inviable Sanitariamente</v>
      </c>
      <c r="T231" s="16"/>
    </row>
    <row r="232" spans="1:20" ht="32.1" customHeight="1" x14ac:dyDescent="0.2">
      <c r="A232" s="412" t="s">
        <v>166</v>
      </c>
      <c r="B232" s="412" t="s">
        <v>2111</v>
      </c>
      <c r="C232" s="419" t="s">
        <v>2112</v>
      </c>
      <c r="D232" s="413">
        <v>38</v>
      </c>
      <c r="E232" s="415"/>
      <c r="F232" s="415">
        <v>26.5</v>
      </c>
      <c r="G232" s="415"/>
      <c r="H232" s="415"/>
      <c r="I232" s="415"/>
      <c r="J232" s="415"/>
      <c r="K232" s="415"/>
      <c r="L232" s="415"/>
      <c r="M232" s="415"/>
      <c r="N232" s="415"/>
      <c r="O232" s="415"/>
      <c r="P232" s="415"/>
      <c r="Q232" s="416">
        <f t="shared" si="14"/>
        <v>26.5</v>
      </c>
      <c r="R232" s="395" t="str">
        <f t="shared" si="11"/>
        <v>NO</v>
      </c>
      <c r="S232" s="417" t="str">
        <f t="shared" si="13"/>
        <v>Medio</v>
      </c>
      <c r="T232" s="16"/>
    </row>
    <row r="233" spans="1:20" ht="32.1" customHeight="1" x14ac:dyDescent="0.2">
      <c r="A233" s="412" t="s">
        <v>166</v>
      </c>
      <c r="B233" s="412" t="s">
        <v>2113</v>
      </c>
      <c r="C233" s="418" t="s">
        <v>2114</v>
      </c>
      <c r="D233" s="413">
        <v>70</v>
      </c>
      <c r="E233" s="415"/>
      <c r="F233" s="415">
        <v>97.34</v>
      </c>
      <c r="G233" s="415"/>
      <c r="H233" s="415"/>
      <c r="I233" s="415"/>
      <c r="J233" s="415"/>
      <c r="K233" s="415"/>
      <c r="L233" s="415"/>
      <c r="M233" s="415"/>
      <c r="N233" s="415"/>
      <c r="O233" s="415"/>
      <c r="P233" s="415"/>
      <c r="Q233" s="416">
        <f t="shared" si="14"/>
        <v>97.34</v>
      </c>
      <c r="R233" s="395" t="str">
        <f t="shared" si="11"/>
        <v>NO</v>
      </c>
      <c r="S233" s="417" t="str">
        <f t="shared" si="13"/>
        <v>Inviable Sanitariamente</v>
      </c>
      <c r="T233" s="16"/>
    </row>
    <row r="234" spans="1:20" ht="32.1" customHeight="1" x14ac:dyDescent="0.2">
      <c r="A234" s="412" t="s">
        <v>166</v>
      </c>
      <c r="B234" s="412" t="s">
        <v>2115</v>
      </c>
      <c r="C234" s="420" t="s">
        <v>2116</v>
      </c>
      <c r="D234" s="413">
        <v>50</v>
      </c>
      <c r="E234" s="415"/>
      <c r="F234" s="415"/>
      <c r="G234" s="415"/>
      <c r="H234" s="415"/>
      <c r="I234" s="415"/>
      <c r="J234" s="415"/>
      <c r="K234" s="415"/>
      <c r="L234" s="415"/>
      <c r="M234" s="415">
        <v>97.34</v>
      </c>
      <c r="N234" s="415"/>
      <c r="O234" s="415"/>
      <c r="P234" s="415"/>
      <c r="Q234" s="416">
        <f t="shared" si="14"/>
        <v>97.34</v>
      </c>
      <c r="R234" s="395" t="str">
        <f t="shared" si="11"/>
        <v>NO</v>
      </c>
      <c r="S234" s="417" t="str">
        <f t="shared" si="13"/>
        <v>Inviable Sanitariamente</v>
      </c>
      <c r="T234" s="16"/>
    </row>
    <row r="235" spans="1:20" ht="32.1" customHeight="1" x14ac:dyDescent="0.2">
      <c r="A235" s="412" t="s">
        <v>166</v>
      </c>
      <c r="B235" s="412" t="s">
        <v>2117</v>
      </c>
      <c r="C235" s="419" t="s">
        <v>2118</v>
      </c>
      <c r="D235" s="364">
        <v>87</v>
      </c>
      <c r="E235" s="415"/>
      <c r="F235" s="415"/>
      <c r="G235" s="415"/>
      <c r="H235" s="415"/>
      <c r="I235" s="415">
        <v>97.34</v>
      </c>
      <c r="J235" s="415"/>
      <c r="K235" s="415"/>
      <c r="L235" s="415"/>
      <c r="M235" s="415">
        <v>97.34</v>
      </c>
      <c r="N235" s="415"/>
      <c r="O235" s="415"/>
      <c r="P235" s="415"/>
      <c r="Q235" s="416">
        <f>AVERAGE(E235:O235)</f>
        <v>97.34</v>
      </c>
      <c r="R235" s="395" t="str">
        <f t="shared" ref="R235:R298" si="15">IF(Q235&lt;5,"SI","NO")</f>
        <v>NO</v>
      </c>
      <c r="S235" s="417" t="str">
        <f t="shared" si="13"/>
        <v>Inviable Sanitariamente</v>
      </c>
      <c r="T235" s="16"/>
    </row>
    <row r="236" spans="1:20" ht="32.1" customHeight="1" x14ac:dyDescent="0.2">
      <c r="A236" s="412" t="s">
        <v>166</v>
      </c>
      <c r="B236" s="412" t="s">
        <v>2119</v>
      </c>
      <c r="C236" s="419" t="s">
        <v>2120</v>
      </c>
      <c r="D236" s="413">
        <v>44</v>
      </c>
      <c r="E236" s="415"/>
      <c r="F236" s="415"/>
      <c r="G236" s="415"/>
      <c r="H236" s="415"/>
      <c r="I236" s="415"/>
      <c r="J236" s="415"/>
      <c r="K236" s="415"/>
      <c r="L236" s="415"/>
      <c r="M236" s="415"/>
      <c r="N236" s="415">
        <v>97.34</v>
      </c>
      <c r="O236" s="415"/>
      <c r="P236" s="415"/>
      <c r="Q236" s="416">
        <f t="shared" ref="Q236:Q299" si="16">AVERAGE(E236:P236)</f>
        <v>97.34</v>
      </c>
      <c r="R236" s="395" t="str">
        <f t="shared" si="15"/>
        <v>NO</v>
      </c>
      <c r="S236" s="417" t="str">
        <f t="shared" si="13"/>
        <v>Inviable Sanitariamente</v>
      </c>
      <c r="T236" s="16"/>
    </row>
    <row r="237" spans="1:20" ht="32.1" customHeight="1" x14ac:dyDescent="0.2">
      <c r="A237" s="412" t="s">
        <v>166</v>
      </c>
      <c r="B237" s="412" t="s">
        <v>4224</v>
      </c>
      <c r="C237" s="419" t="s">
        <v>4225</v>
      </c>
      <c r="D237" s="413">
        <v>75</v>
      </c>
      <c r="E237" s="415"/>
      <c r="F237" s="415">
        <v>0</v>
      </c>
      <c r="G237" s="415"/>
      <c r="H237" s="415"/>
      <c r="I237" s="415"/>
      <c r="J237" s="415"/>
      <c r="K237" s="415"/>
      <c r="L237" s="415"/>
      <c r="M237" s="415"/>
      <c r="N237" s="415"/>
      <c r="O237" s="415"/>
      <c r="P237" s="415"/>
      <c r="Q237" s="416">
        <f>AVERAGE(E237:P237)</f>
        <v>0</v>
      </c>
      <c r="R237" s="395" t="str">
        <f>IF(Q237&lt;5,"SI","NO")</f>
        <v>SI</v>
      </c>
      <c r="S237" s="417" t="str">
        <f>IF(Q237&lt;5,"Sin Riesgo",IF(Q237 &lt;=14,"Bajo",IF(Q237&lt;=35,"Medio",IF(Q237&lt;=80,"Alto","Inviable Sanitariamente"))))</f>
        <v>Sin Riesgo</v>
      </c>
      <c r="T237" s="16"/>
    </row>
    <row r="238" spans="1:20" ht="32.1" customHeight="1" x14ac:dyDescent="0.2">
      <c r="A238" s="412" t="s">
        <v>166</v>
      </c>
      <c r="B238" s="412" t="s">
        <v>2121</v>
      </c>
      <c r="C238" s="419" t="s">
        <v>4226</v>
      </c>
      <c r="D238" s="364">
        <v>36</v>
      </c>
      <c r="E238" s="415"/>
      <c r="F238" s="415">
        <v>0</v>
      </c>
      <c r="G238" s="415"/>
      <c r="H238" s="415"/>
      <c r="I238" s="415"/>
      <c r="J238" s="415"/>
      <c r="K238" s="415"/>
      <c r="L238" s="415"/>
      <c r="M238" s="415"/>
      <c r="N238" s="415"/>
      <c r="O238" s="415"/>
      <c r="P238" s="415"/>
      <c r="Q238" s="416">
        <f t="shared" si="16"/>
        <v>0</v>
      </c>
      <c r="R238" s="395" t="str">
        <f t="shared" si="15"/>
        <v>SI</v>
      </c>
      <c r="S238" s="417" t="str">
        <f t="shared" si="13"/>
        <v>Sin Riesgo</v>
      </c>
      <c r="T238" s="16"/>
    </row>
    <row r="239" spans="1:20" ht="32.1" customHeight="1" x14ac:dyDescent="0.2">
      <c r="A239" s="412" t="s">
        <v>166</v>
      </c>
      <c r="B239" s="412" t="s">
        <v>2122</v>
      </c>
      <c r="C239" s="419" t="s">
        <v>2123</v>
      </c>
      <c r="D239" s="364">
        <v>45</v>
      </c>
      <c r="E239" s="415"/>
      <c r="F239" s="415"/>
      <c r="G239" s="415"/>
      <c r="H239" s="415"/>
      <c r="I239" s="415"/>
      <c r="J239" s="415"/>
      <c r="K239" s="415"/>
      <c r="L239" s="415"/>
      <c r="M239" s="415"/>
      <c r="N239" s="415"/>
      <c r="O239" s="415">
        <v>97.34</v>
      </c>
      <c r="P239" s="415"/>
      <c r="Q239" s="416">
        <f t="shared" si="16"/>
        <v>97.34</v>
      </c>
      <c r="R239" s="395" t="str">
        <f t="shared" si="15"/>
        <v>NO</v>
      </c>
      <c r="S239" s="417" t="str">
        <f t="shared" si="13"/>
        <v>Inviable Sanitariamente</v>
      </c>
      <c r="T239" s="16"/>
    </row>
    <row r="240" spans="1:20" ht="32.1" customHeight="1" x14ac:dyDescent="0.2">
      <c r="A240" s="412" t="s">
        <v>166</v>
      </c>
      <c r="B240" s="412" t="s">
        <v>2124</v>
      </c>
      <c r="C240" s="419" t="s">
        <v>2125</v>
      </c>
      <c r="D240" s="364">
        <v>60</v>
      </c>
      <c r="E240" s="415"/>
      <c r="F240" s="415"/>
      <c r="G240" s="415"/>
      <c r="H240" s="415"/>
      <c r="I240" s="415"/>
      <c r="J240" s="415"/>
      <c r="K240" s="415"/>
      <c r="L240" s="415"/>
      <c r="M240" s="415"/>
      <c r="N240" s="415">
        <v>97.34</v>
      </c>
      <c r="O240" s="415"/>
      <c r="P240" s="415"/>
      <c r="Q240" s="416">
        <f t="shared" si="16"/>
        <v>97.34</v>
      </c>
      <c r="R240" s="395" t="str">
        <f t="shared" si="15"/>
        <v>NO</v>
      </c>
      <c r="S240" s="417" t="str">
        <f t="shared" si="13"/>
        <v>Inviable Sanitariamente</v>
      </c>
      <c r="T240" s="16"/>
    </row>
    <row r="241" spans="1:20" ht="32.1" customHeight="1" x14ac:dyDescent="0.2">
      <c r="A241" s="412" t="s">
        <v>166</v>
      </c>
      <c r="B241" s="412" t="s">
        <v>2126</v>
      </c>
      <c r="C241" s="419" t="s">
        <v>2127</v>
      </c>
      <c r="D241" s="364">
        <v>85</v>
      </c>
      <c r="E241" s="415"/>
      <c r="F241" s="415">
        <v>97.34</v>
      </c>
      <c r="G241" s="415"/>
      <c r="H241" s="415"/>
      <c r="I241" s="415"/>
      <c r="J241" s="415"/>
      <c r="K241" s="415"/>
      <c r="L241" s="415"/>
      <c r="M241" s="415"/>
      <c r="N241" s="415"/>
      <c r="O241" s="415"/>
      <c r="P241" s="415"/>
      <c r="Q241" s="416">
        <f t="shared" si="16"/>
        <v>97.34</v>
      </c>
      <c r="R241" s="395" t="str">
        <f t="shared" si="15"/>
        <v>NO</v>
      </c>
      <c r="S241" s="417" t="str">
        <f t="shared" si="13"/>
        <v>Inviable Sanitariamente</v>
      </c>
      <c r="T241" s="16"/>
    </row>
    <row r="242" spans="1:20" ht="32.1" customHeight="1" x14ac:dyDescent="0.2">
      <c r="A242" s="412" t="s">
        <v>166</v>
      </c>
      <c r="B242" s="412" t="s">
        <v>2128</v>
      </c>
      <c r="C242" s="419" t="s">
        <v>2129</v>
      </c>
      <c r="D242" s="364">
        <v>110</v>
      </c>
      <c r="E242" s="415"/>
      <c r="F242" s="415"/>
      <c r="G242" s="415"/>
      <c r="H242" s="415"/>
      <c r="I242" s="415"/>
      <c r="J242" s="415"/>
      <c r="K242" s="415"/>
      <c r="L242" s="415"/>
      <c r="M242" s="415">
        <v>97.34</v>
      </c>
      <c r="N242" s="415"/>
      <c r="O242" s="415"/>
      <c r="P242" s="415"/>
      <c r="Q242" s="416">
        <f t="shared" si="16"/>
        <v>97.34</v>
      </c>
      <c r="R242" s="395" t="str">
        <f t="shared" si="15"/>
        <v>NO</v>
      </c>
      <c r="S242" s="417" t="str">
        <f t="shared" si="13"/>
        <v>Inviable Sanitariamente</v>
      </c>
      <c r="T242" s="16"/>
    </row>
    <row r="243" spans="1:20" ht="32.1" customHeight="1" x14ac:dyDescent="0.2">
      <c r="A243" s="412" t="s">
        <v>166</v>
      </c>
      <c r="B243" s="412" t="s">
        <v>1142</v>
      </c>
      <c r="C243" s="419" t="s">
        <v>2130</v>
      </c>
      <c r="D243" s="364">
        <v>38</v>
      </c>
      <c r="E243" s="415"/>
      <c r="F243" s="415">
        <v>97.34</v>
      </c>
      <c r="G243" s="415"/>
      <c r="H243" s="415"/>
      <c r="I243" s="415"/>
      <c r="J243" s="415"/>
      <c r="K243" s="415"/>
      <c r="L243" s="415"/>
      <c r="M243" s="415"/>
      <c r="N243" s="415"/>
      <c r="O243" s="415"/>
      <c r="P243" s="415"/>
      <c r="Q243" s="416">
        <f t="shared" si="16"/>
        <v>97.34</v>
      </c>
      <c r="R243" s="395" t="str">
        <f t="shared" si="15"/>
        <v>NO</v>
      </c>
      <c r="S243" s="417" t="str">
        <f t="shared" si="13"/>
        <v>Inviable Sanitariamente</v>
      </c>
      <c r="T243" s="16"/>
    </row>
    <row r="244" spans="1:20" ht="32.1" customHeight="1" x14ac:dyDescent="0.2">
      <c r="A244" s="412" t="s">
        <v>166</v>
      </c>
      <c r="B244" s="412" t="s">
        <v>1427</v>
      </c>
      <c r="C244" s="419" t="s">
        <v>2131</v>
      </c>
      <c r="D244" s="364">
        <v>121</v>
      </c>
      <c r="E244" s="415"/>
      <c r="F244" s="415"/>
      <c r="G244" s="415"/>
      <c r="H244" s="415"/>
      <c r="I244" s="415"/>
      <c r="J244" s="415">
        <v>0</v>
      </c>
      <c r="K244" s="415"/>
      <c r="L244" s="415"/>
      <c r="M244" s="415"/>
      <c r="N244" s="415"/>
      <c r="O244" s="415"/>
      <c r="P244" s="415"/>
      <c r="Q244" s="416">
        <f t="shared" si="16"/>
        <v>0</v>
      </c>
      <c r="R244" s="395" t="str">
        <f t="shared" si="15"/>
        <v>SI</v>
      </c>
      <c r="S244" s="417" t="str">
        <f t="shared" si="13"/>
        <v>Sin Riesgo</v>
      </c>
      <c r="T244" s="16"/>
    </row>
    <row r="245" spans="1:20" ht="32.1" customHeight="1" x14ac:dyDescent="0.2">
      <c r="A245" s="412" t="s">
        <v>166</v>
      </c>
      <c r="B245" s="412" t="s">
        <v>635</v>
      </c>
      <c r="C245" s="419" t="s">
        <v>2132</v>
      </c>
      <c r="D245" s="364">
        <v>90</v>
      </c>
      <c r="E245" s="415"/>
      <c r="F245" s="415">
        <v>0</v>
      </c>
      <c r="G245" s="415"/>
      <c r="H245" s="415"/>
      <c r="I245" s="415">
        <v>0</v>
      </c>
      <c r="J245" s="415"/>
      <c r="K245" s="415"/>
      <c r="L245" s="415"/>
      <c r="M245" s="415"/>
      <c r="N245" s="415"/>
      <c r="O245" s="415"/>
      <c r="P245" s="415"/>
      <c r="Q245" s="416">
        <f t="shared" si="16"/>
        <v>0</v>
      </c>
      <c r="R245" s="395" t="str">
        <f t="shared" si="15"/>
        <v>SI</v>
      </c>
      <c r="S245" s="417" t="str">
        <f t="shared" si="13"/>
        <v>Sin Riesgo</v>
      </c>
      <c r="T245" s="16"/>
    </row>
    <row r="246" spans="1:20" ht="32.1" customHeight="1" x14ac:dyDescent="0.2">
      <c r="A246" s="412" t="s">
        <v>167</v>
      </c>
      <c r="B246" s="412" t="s">
        <v>2133</v>
      </c>
      <c r="C246" s="419" t="s">
        <v>2134</v>
      </c>
      <c r="D246" s="364">
        <v>40</v>
      </c>
      <c r="E246" s="415"/>
      <c r="F246" s="415"/>
      <c r="G246" s="415"/>
      <c r="H246" s="415"/>
      <c r="I246" s="415"/>
      <c r="J246" s="415">
        <v>59.1</v>
      </c>
      <c r="K246" s="415"/>
      <c r="L246" s="415"/>
      <c r="M246" s="415"/>
      <c r="N246" s="415">
        <v>97.3</v>
      </c>
      <c r="O246" s="415"/>
      <c r="P246" s="415"/>
      <c r="Q246" s="416">
        <f t="shared" si="16"/>
        <v>78.2</v>
      </c>
      <c r="R246" s="395" t="str">
        <f t="shared" si="15"/>
        <v>NO</v>
      </c>
      <c r="S246" s="417" t="str">
        <f t="shared" si="13"/>
        <v>Alto</v>
      </c>
      <c r="T246" s="16"/>
    </row>
    <row r="247" spans="1:20" ht="32.1" customHeight="1" x14ac:dyDescent="0.2">
      <c r="A247" s="412" t="s">
        <v>167</v>
      </c>
      <c r="B247" s="412" t="s">
        <v>2135</v>
      </c>
      <c r="C247" s="419" t="s">
        <v>2136</v>
      </c>
      <c r="D247" s="413">
        <v>37</v>
      </c>
      <c r="E247" s="415"/>
      <c r="F247" s="415"/>
      <c r="G247" s="415"/>
      <c r="H247" s="415"/>
      <c r="I247" s="415"/>
      <c r="J247" s="415">
        <v>59.1</v>
      </c>
      <c r="K247" s="415"/>
      <c r="L247" s="415"/>
      <c r="M247" s="415"/>
      <c r="N247" s="415">
        <v>97.3</v>
      </c>
      <c r="O247" s="415"/>
      <c r="P247" s="415"/>
      <c r="Q247" s="416">
        <f t="shared" si="16"/>
        <v>78.2</v>
      </c>
      <c r="R247" s="395" t="str">
        <f t="shared" si="15"/>
        <v>NO</v>
      </c>
      <c r="S247" s="417" t="str">
        <f t="shared" si="13"/>
        <v>Alto</v>
      </c>
      <c r="T247" s="16"/>
    </row>
    <row r="248" spans="1:20" ht="32.1" customHeight="1" x14ac:dyDescent="0.2">
      <c r="A248" s="412" t="s">
        <v>167</v>
      </c>
      <c r="B248" s="412" t="s">
        <v>2137</v>
      </c>
      <c r="C248" s="419" t="s">
        <v>2138</v>
      </c>
      <c r="D248" s="413">
        <v>35</v>
      </c>
      <c r="E248" s="415"/>
      <c r="F248" s="415"/>
      <c r="G248" s="415"/>
      <c r="H248" s="415"/>
      <c r="I248" s="415"/>
      <c r="J248" s="415">
        <v>59.1</v>
      </c>
      <c r="K248" s="415"/>
      <c r="L248" s="415"/>
      <c r="M248" s="415"/>
      <c r="N248" s="415"/>
      <c r="O248" s="415"/>
      <c r="P248" s="415"/>
      <c r="Q248" s="416">
        <f t="shared" si="16"/>
        <v>59.1</v>
      </c>
      <c r="R248" s="395" t="str">
        <f t="shared" si="15"/>
        <v>NO</v>
      </c>
      <c r="S248" s="417" t="str">
        <f t="shared" si="13"/>
        <v>Alto</v>
      </c>
      <c r="T248" s="16"/>
    </row>
    <row r="249" spans="1:20" ht="32.1" customHeight="1" x14ac:dyDescent="0.2">
      <c r="A249" s="412" t="s">
        <v>167</v>
      </c>
      <c r="B249" s="412" t="s">
        <v>2139</v>
      </c>
      <c r="C249" s="419" t="s">
        <v>2140</v>
      </c>
      <c r="D249" s="413">
        <v>29</v>
      </c>
      <c r="E249" s="415"/>
      <c r="F249" s="415"/>
      <c r="G249" s="415"/>
      <c r="H249" s="415"/>
      <c r="I249" s="415"/>
      <c r="J249" s="415">
        <v>59.1</v>
      </c>
      <c r="K249" s="415"/>
      <c r="L249" s="415"/>
      <c r="M249" s="415"/>
      <c r="N249" s="415"/>
      <c r="O249" s="415">
        <v>97.345100000000002</v>
      </c>
      <c r="P249" s="415"/>
      <c r="Q249" s="416">
        <f t="shared" si="16"/>
        <v>78.222549999999998</v>
      </c>
      <c r="R249" s="395" t="str">
        <f t="shared" si="15"/>
        <v>NO</v>
      </c>
      <c r="S249" s="417" t="str">
        <f t="shared" si="13"/>
        <v>Alto</v>
      </c>
      <c r="T249" s="16"/>
    </row>
    <row r="250" spans="1:20" ht="32.1" customHeight="1" x14ac:dyDescent="0.2">
      <c r="A250" s="412" t="s">
        <v>167</v>
      </c>
      <c r="B250" s="412" t="s">
        <v>2141</v>
      </c>
      <c r="C250" s="419" t="s">
        <v>2142</v>
      </c>
      <c r="D250" s="413">
        <v>42</v>
      </c>
      <c r="E250" s="415"/>
      <c r="F250" s="415"/>
      <c r="G250" s="415"/>
      <c r="H250" s="415"/>
      <c r="I250" s="415"/>
      <c r="J250" s="415">
        <v>19.5</v>
      </c>
      <c r="K250" s="415"/>
      <c r="L250" s="415"/>
      <c r="M250" s="415"/>
      <c r="N250" s="415">
        <v>97.345100000000002</v>
      </c>
      <c r="O250" s="415"/>
      <c r="P250" s="415"/>
      <c r="Q250" s="416">
        <f t="shared" si="16"/>
        <v>58.422550000000001</v>
      </c>
      <c r="R250" s="395" t="str">
        <f t="shared" si="15"/>
        <v>NO</v>
      </c>
      <c r="S250" s="417" t="str">
        <f t="shared" si="13"/>
        <v>Alto</v>
      </c>
      <c r="T250" s="16"/>
    </row>
    <row r="251" spans="1:20" ht="32.1" customHeight="1" x14ac:dyDescent="0.2">
      <c r="A251" s="412" t="s">
        <v>167</v>
      </c>
      <c r="B251" s="412" t="s">
        <v>2143</v>
      </c>
      <c r="C251" s="419" t="s">
        <v>2144</v>
      </c>
      <c r="D251" s="413">
        <v>29</v>
      </c>
      <c r="E251" s="415"/>
      <c r="F251" s="415"/>
      <c r="G251" s="415"/>
      <c r="H251" s="415"/>
      <c r="I251" s="415"/>
      <c r="J251" s="415">
        <v>19.5</v>
      </c>
      <c r="K251" s="415"/>
      <c r="L251" s="415"/>
      <c r="M251" s="415"/>
      <c r="N251" s="415">
        <v>97.345100000000002</v>
      </c>
      <c r="O251" s="415"/>
      <c r="P251" s="415"/>
      <c r="Q251" s="416">
        <f t="shared" si="16"/>
        <v>58.422550000000001</v>
      </c>
      <c r="R251" s="395" t="str">
        <f t="shared" si="15"/>
        <v>NO</v>
      </c>
      <c r="S251" s="417" t="str">
        <f t="shared" si="13"/>
        <v>Alto</v>
      </c>
      <c r="T251" s="16"/>
    </row>
    <row r="252" spans="1:20" ht="32.1" customHeight="1" x14ac:dyDescent="0.2">
      <c r="A252" s="412" t="s">
        <v>167</v>
      </c>
      <c r="B252" s="412" t="s">
        <v>2145</v>
      </c>
      <c r="C252" s="419" t="s">
        <v>2146</v>
      </c>
      <c r="D252" s="413">
        <v>40</v>
      </c>
      <c r="E252" s="415"/>
      <c r="F252" s="415"/>
      <c r="G252" s="415"/>
      <c r="H252" s="415"/>
      <c r="I252" s="415"/>
      <c r="J252" s="415">
        <v>19.5</v>
      </c>
      <c r="K252" s="415"/>
      <c r="L252" s="415"/>
      <c r="M252" s="415"/>
      <c r="N252" s="415">
        <v>97.345100000000002</v>
      </c>
      <c r="O252" s="415"/>
      <c r="P252" s="415"/>
      <c r="Q252" s="416">
        <f t="shared" si="16"/>
        <v>58.422550000000001</v>
      </c>
      <c r="R252" s="395" t="str">
        <f t="shared" si="15"/>
        <v>NO</v>
      </c>
      <c r="S252" s="417" t="str">
        <f t="shared" si="13"/>
        <v>Alto</v>
      </c>
      <c r="T252" s="16"/>
    </row>
    <row r="253" spans="1:20" ht="32.1" customHeight="1" x14ac:dyDescent="0.2">
      <c r="A253" s="412" t="s">
        <v>167</v>
      </c>
      <c r="B253" s="412" t="s">
        <v>2147</v>
      </c>
      <c r="C253" s="419" t="s">
        <v>2148</v>
      </c>
      <c r="D253" s="413">
        <v>33</v>
      </c>
      <c r="E253" s="415"/>
      <c r="F253" s="415"/>
      <c r="G253" s="415"/>
      <c r="H253" s="415"/>
      <c r="I253" s="415"/>
      <c r="J253" s="415">
        <v>19.5</v>
      </c>
      <c r="K253" s="415"/>
      <c r="L253" s="415"/>
      <c r="M253" s="415"/>
      <c r="N253" s="415"/>
      <c r="O253" s="415"/>
      <c r="P253" s="415"/>
      <c r="Q253" s="416">
        <f t="shared" si="16"/>
        <v>19.5</v>
      </c>
      <c r="R253" s="395" t="str">
        <f t="shared" si="15"/>
        <v>NO</v>
      </c>
      <c r="S253" s="417" t="str">
        <f t="shared" si="13"/>
        <v>Medio</v>
      </c>
      <c r="T253" s="16"/>
    </row>
    <row r="254" spans="1:20" ht="32.1" customHeight="1" x14ac:dyDescent="0.2">
      <c r="A254" s="412" t="s">
        <v>167</v>
      </c>
      <c r="B254" s="412" t="s">
        <v>2149</v>
      </c>
      <c r="C254" s="419" t="s">
        <v>2150</v>
      </c>
      <c r="D254" s="413">
        <v>58</v>
      </c>
      <c r="E254" s="415"/>
      <c r="F254" s="415"/>
      <c r="G254" s="415"/>
      <c r="H254" s="415"/>
      <c r="I254" s="415"/>
      <c r="J254" s="415">
        <v>19.5</v>
      </c>
      <c r="K254" s="415"/>
      <c r="L254" s="415"/>
      <c r="M254" s="415"/>
      <c r="N254" s="415">
        <v>97.3</v>
      </c>
      <c r="O254" s="415"/>
      <c r="P254" s="415"/>
      <c r="Q254" s="416">
        <f t="shared" si="16"/>
        <v>58.4</v>
      </c>
      <c r="R254" s="395" t="str">
        <f t="shared" si="15"/>
        <v>NO</v>
      </c>
      <c r="S254" s="417" t="str">
        <f t="shared" si="13"/>
        <v>Alto</v>
      </c>
      <c r="T254" s="16"/>
    </row>
    <row r="255" spans="1:20" ht="32.1" customHeight="1" x14ac:dyDescent="0.2">
      <c r="A255" s="412" t="s">
        <v>168</v>
      </c>
      <c r="B255" s="412" t="s">
        <v>2151</v>
      </c>
      <c r="C255" s="419" t="s">
        <v>2152</v>
      </c>
      <c r="D255" s="413">
        <v>82</v>
      </c>
      <c r="E255" s="415"/>
      <c r="F255" s="415"/>
      <c r="G255" s="415"/>
      <c r="H255" s="415"/>
      <c r="I255" s="415"/>
      <c r="J255" s="415">
        <v>97.34</v>
      </c>
      <c r="K255" s="415"/>
      <c r="L255" s="415"/>
      <c r="M255" s="415"/>
      <c r="N255" s="415"/>
      <c r="O255" s="415"/>
      <c r="P255" s="415"/>
      <c r="Q255" s="416">
        <f t="shared" si="16"/>
        <v>97.34</v>
      </c>
      <c r="R255" s="395" t="str">
        <f t="shared" si="15"/>
        <v>NO</v>
      </c>
      <c r="S255" s="417" t="str">
        <f t="shared" si="13"/>
        <v>Inviable Sanitariamente</v>
      </c>
      <c r="T255" s="16"/>
    </row>
    <row r="256" spans="1:20" ht="32.1" customHeight="1" x14ac:dyDescent="0.2">
      <c r="A256" s="412" t="s">
        <v>168</v>
      </c>
      <c r="B256" s="412" t="s">
        <v>2153</v>
      </c>
      <c r="C256" s="419" t="s">
        <v>2154</v>
      </c>
      <c r="D256" s="413">
        <v>167</v>
      </c>
      <c r="E256" s="415">
        <v>0</v>
      </c>
      <c r="F256" s="415"/>
      <c r="G256" s="415">
        <v>0</v>
      </c>
      <c r="H256" s="415"/>
      <c r="I256" s="415">
        <v>0</v>
      </c>
      <c r="J256" s="415"/>
      <c r="K256" s="415"/>
      <c r="L256" s="415"/>
      <c r="M256" s="415"/>
      <c r="N256" s="415"/>
      <c r="O256" s="415"/>
      <c r="P256" s="415"/>
      <c r="Q256" s="416">
        <f t="shared" si="16"/>
        <v>0</v>
      </c>
      <c r="R256" s="395" t="str">
        <f t="shared" si="15"/>
        <v>SI</v>
      </c>
      <c r="S256" s="417" t="str">
        <f t="shared" si="13"/>
        <v>Sin Riesgo</v>
      </c>
      <c r="T256" s="16"/>
    </row>
    <row r="257" spans="1:20" ht="32.1" customHeight="1" x14ac:dyDescent="0.2">
      <c r="A257" s="412" t="s">
        <v>168</v>
      </c>
      <c r="B257" s="412" t="s">
        <v>2155</v>
      </c>
      <c r="C257" s="420" t="s">
        <v>2156</v>
      </c>
      <c r="D257" s="413">
        <v>11</v>
      </c>
      <c r="E257" s="415"/>
      <c r="F257" s="415">
        <v>97.3</v>
      </c>
      <c r="G257" s="415"/>
      <c r="H257" s="415"/>
      <c r="I257" s="415"/>
      <c r="J257" s="415"/>
      <c r="K257" s="415"/>
      <c r="L257" s="415"/>
      <c r="M257" s="415"/>
      <c r="N257" s="415"/>
      <c r="O257" s="415"/>
      <c r="P257" s="415"/>
      <c r="Q257" s="416">
        <f t="shared" si="16"/>
        <v>97.3</v>
      </c>
      <c r="R257" s="395" t="str">
        <f t="shared" si="15"/>
        <v>NO</v>
      </c>
      <c r="S257" s="417" t="str">
        <f t="shared" si="13"/>
        <v>Inviable Sanitariamente</v>
      </c>
      <c r="T257" s="16"/>
    </row>
    <row r="258" spans="1:20" ht="32.1" customHeight="1" x14ac:dyDescent="0.2">
      <c r="A258" s="412" t="s">
        <v>168</v>
      </c>
      <c r="B258" s="412" t="s">
        <v>2157</v>
      </c>
      <c r="C258" s="420" t="s">
        <v>2158</v>
      </c>
      <c r="D258" s="413">
        <v>8</v>
      </c>
      <c r="E258" s="415"/>
      <c r="F258" s="415">
        <v>97.3</v>
      </c>
      <c r="G258" s="415"/>
      <c r="H258" s="415"/>
      <c r="I258" s="415"/>
      <c r="J258" s="415"/>
      <c r="K258" s="415"/>
      <c r="L258" s="415"/>
      <c r="M258" s="415"/>
      <c r="N258" s="415"/>
      <c r="O258" s="415"/>
      <c r="P258" s="415"/>
      <c r="Q258" s="416">
        <f t="shared" si="16"/>
        <v>97.3</v>
      </c>
      <c r="R258" s="395" t="str">
        <f t="shared" si="15"/>
        <v>NO</v>
      </c>
      <c r="S258" s="417" t="str">
        <f t="shared" si="13"/>
        <v>Inviable Sanitariamente</v>
      </c>
      <c r="T258" s="16"/>
    </row>
    <row r="259" spans="1:20" ht="32.1" customHeight="1" x14ac:dyDescent="0.2">
      <c r="A259" s="412" t="s">
        <v>168</v>
      </c>
      <c r="B259" s="412" t="s">
        <v>270</v>
      </c>
      <c r="C259" s="419" t="s">
        <v>2159</v>
      </c>
      <c r="D259" s="413">
        <v>11</v>
      </c>
      <c r="E259" s="415"/>
      <c r="F259" s="415">
        <v>97.3</v>
      </c>
      <c r="G259" s="415"/>
      <c r="H259" s="415"/>
      <c r="I259" s="415"/>
      <c r="J259" s="415"/>
      <c r="K259" s="415"/>
      <c r="L259" s="415"/>
      <c r="M259" s="415"/>
      <c r="N259" s="415"/>
      <c r="O259" s="415"/>
      <c r="P259" s="415"/>
      <c r="Q259" s="416">
        <f t="shared" si="16"/>
        <v>97.3</v>
      </c>
      <c r="R259" s="434" t="str">
        <f t="shared" si="15"/>
        <v>NO</v>
      </c>
      <c r="S259" s="417" t="str">
        <f t="shared" si="13"/>
        <v>Inviable Sanitariamente</v>
      </c>
      <c r="T259" s="16"/>
    </row>
    <row r="260" spans="1:20" ht="32.1" customHeight="1" x14ac:dyDescent="0.2">
      <c r="A260" s="412" t="s">
        <v>168</v>
      </c>
      <c r="B260" s="412" t="s">
        <v>2160</v>
      </c>
      <c r="C260" s="419" t="s">
        <v>2161</v>
      </c>
      <c r="D260" s="413">
        <v>11</v>
      </c>
      <c r="E260" s="415"/>
      <c r="F260" s="415">
        <v>97.3</v>
      </c>
      <c r="G260" s="415"/>
      <c r="H260" s="415"/>
      <c r="I260" s="415"/>
      <c r="J260" s="415"/>
      <c r="K260" s="415"/>
      <c r="L260" s="415"/>
      <c r="M260" s="415"/>
      <c r="N260" s="415"/>
      <c r="O260" s="415"/>
      <c r="P260" s="415"/>
      <c r="Q260" s="416">
        <f t="shared" si="16"/>
        <v>97.3</v>
      </c>
      <c r="R260" s="395" t="str">
        <f t="shared" si="15"/>
        <v>NO</v>
      </c>
      <c r="S260" s="417" t="str">
        <f t="shared" si="13"/>
        <v>Inviable Sanitariamente</v>
      </c>
      <c r="T260" s="16"/>
    </row>
    <row r="261" spans="1:20" ht="32.1" customHeight="1" x14ac:dyDescent="0.2">
      <c r="A261" s="412" t="s">
        <v>168</v>
      </c>
      <c r="B261" s="412" t="s">
        <v>2162</v>
      </c>
      <c r="C261" s="419" t="s">
        <v>2163</v>
      </c>
      <c r="D261" s="413">
        <v>104</v>
      </c>
      <c r="E261" s="415"/>
      <c r="F261" s="415">
        <v>97.3</v>
      </c>
      <c r="G261" s="415"/>
      <c r="H261" s="415"/>
      <c r="I261" s="415"/>
      <c r="J261" s="415"/>
      <c r="K261" s="415"/>
      <c r="L261" s="415"/>
      <c r="M261" s="415"/>
      <c r="N261" s="415"/>
      <c r="O261" s="415"/>
      <c r="P261" s="415"/>
      <c r="Q261" s="416">
        <f t="shared" si="16"/>
        <v>97.3</v>
      </c>
      <c r="R261" s="395" t="str">
        <f t="shared" si="15"/>
        <v>NO</v>
      </c>
      <c r="S261" s="417" t="str">
        <f t="shared" si="13"/>
        <v>Inviable Sanitariamente</v>
      </c>
      <c r="T261" s="16"/>
    </row>
    <row r="262" spans="1:20" ht="32.1" customHeight="1" x14ac:dyDescent="0.2">
      <c r="A262" s="412" t="s">
        <v>168</v>
      </c>
      <c r="B262" s="412" t="s">
        <v>2164</v>
      </c>
      <c r="C262" s="419" t="s">
        <v>2165</v>
      </c>
      <c r="D262" s="413">
        <v>104</v>
      </c>
      <c r="E262" s="415"/>
      <c r="F262" s="415">
        <v>97.3</v>
      </c>
      <c r="G262" s="415"/>
      <c r="H262" s="415"/>
      <c r="I262" s="415">
        <v>97.3</v>
      </c>
      <c r="J262" s="415"/>
      <c r="K262" s="415"/>
      <c r="L262" s="415"/>
      <c r="M262" s="415"/>
      <c r="N262" s="415"/>
      <c r="O262" s="415"/>
      <c r="P262" s="415"/>
      <c r="Q262" s="416">
        <f t="shared" si="16"/>
        <v>97.3</v>
      </c>
      <c r="R262" s="395" t="str">
        <f t="shared" si="15"/>
        <v>NO</v>
      </c>
      <c r="S262" s="417" t="str">
        <f t="shared" si="13"/>
        <v>Inviable Sanitariamente</v>
      </c>
      <c r="T262" s="16"/>
    </row>
    <row r="263" spans="1:20" ht="32.1" customHeight="1" x14ac:dyDescent="0.2">
      <c r="A263" s="412" t="s">
        <v>168</v>
      </c>
      <c r="B263" s="412" t="s">
        <v>2166</v>
      </c>
      <c r="C263" s="419" t="s">
        <v>2167</v>
      </c>
      <c r="D263" s="413">
        <v>7</v>
      </c>
      <c r="E263" s="415"/>
      <c r="F263" s="415">
        <v>97.3</v>
      </c>
      <c r="G263" s="415"/>
      <c r="H263" s="415"/>
      <c r="I263" s="415"/>
      <c r="J263" s="415"/>
      <c r="K263" s="415"/>
      <c r="L263" s="415"/>
      <c r="M263" s="415"/>
      <c r="N263" s="415"/>
      <c r="O263" s="415"/>
      <c r="P263" s="415"/>
      <c r="Q263" s="416">
        <f t="shared" si="16"/>
        <v>97.3</v>
      </c>
      <c r="R263" s="395" t="str">
        <f t="shared" si="15"/>
        <v>NO</v>
      </c>
      <c r="S263" s="417" t="str">
        <f t="shared" si="13"/>
        <v>Inviable Sanitariamente</v>
      </c>
      <c r="T263" s="16"/>
    </row>
    <row r="264" spans="1:20" ht="32.1" customHeight="1" x14ac:dyDescent="0.2">
      <c r="A264" s="412" t="s">
        <v>168</v>
      </c>
      <c r="B264" s="412" t="s">
        <v>2168</v>
      </c>
      <c r="C264" s="419" t="s">
        <v>2169</v>
      </c>
      <c r="D264" s="413">
        <v>108</v>
      </c>
      <c r="E264" s="415"/>
      <c r="F264" s="415"/>
      <c r="G264" s="415"/>
      <c r="H264" s="415"/>
      <c r="I264" s="415"/>
      <c r="J264" s="415">
        <v>97.34</v>
      </c>
      <c r="K264" s="415"/>
      <c r="L264" s="415"/>
      <c r="M264" s="415"/>
      <c r="N264" s="415"/>
      <c r="O264" s="415"/>
      <c r="P264" s="415"/>
      <c r="Q264" s="416">
        <f t="shared" si="16"/>
        <v>97.34</v>
      </c>
      <c r="R264" s="395" t="str">
        <f t="shared" si="15"/>
        <v>NO</v>
      </c>
      <c r="S264" s="417" t="str">
        <f t="shared" si="13"/>
        <v>Inviable Sanitariamente</v>
      </c>
      <c r="T264" s="16"/>
    </row>
    <row r="265" spans="1:20" ht="32.1" customHeight="1" x14ac:dyDescent="0.2">
      <c r="A265" s="412" t="s">
        <v>168</v>
      </c>
      <c r="B265" s="412" t="s">
        <v>2170</v>
      </c>
      <c r="C265" s="419" t="s">
        <v>2171</v>
      </c>
      <c r="D265" s="413">
        <v>77</v>
      </c>
      <c r="E265" s="415"/>
      <c r="F265" s="415"/>
      <c r="G265" s="415"/>
      <c r="H265" s="415"/>
      <c r="I265" s="415"/>
      <c r="J265" s="415">
        <v>53</v>
      </c>
      <c r="K265" s="415"/>
      <c r="L265" s="415"/>
      <c r="M265" s="415"/>
      <c r="N265" s="415"/>
      <c r="O265" s="415"/>
      <c r="P265" s="415"/>
      <c r="Q265" s="416">
        <f t="shared" si="16"/>
        <v>53</v>
      </c>
      <c r="R265" s="395" t="str">
        <f t="shared" si="15"/>
        <v>NO</v>
      </c>
      <c r="S265" s="417" t="str">
        <f t="shared" si="13"/>
        <v>Alto</v>
      </c>
      <c r="T265" s="16"/>
    </row>
    <row r="266" spans="1:20" ht="32.1" customHeight="1" x14ac:dyDescent="0.2">
      <c r="A266" s="412" t="s">
        <v>168</v>
      </c>
      <c r="B266" s="412" t="s">
        <v>2172</v>
      </c>
      <c r="C266" s="419" t="s">
        <v>2173</v>
      </c>
      <c r="D266" s="413">
        <v>98</v>
      </c>
      <c r="E266" s="415"/>
      <c r="F266" s="415"/>
      <c r="G266" s="415"/>
      <c r="H266" s="415"/>
      <c r="I266" s="415"/>
      <c r="J266" s="415">
        <v>97.34</v>
      </c>
      <c r="K266" s="415"/>
      <c r="L266" s="415"/>
      <c r="M266" s="415"/>
      <c r="N266" s="415"/>
      <c r="O266" s="415"/>
      <c r="P266" s="415"/>
      <c r="Q266" s="416">
        <f t="shared" si="16"/>
        <v>97.34</v>
      </c>
      <c r="R266" s="395" t="str">
        <f t="shared" si="15"/>
        <v>NO</v>
      </c>
      <c r="S266" s="417" t="str">
        <f t="shared" si="13"/>
        <v>Inviable Sanitariamente</v>
      </c>
      <c r="T266" s="16"/>
    </row>
    <row r="267" spans="1:20" ht="32.1" customHeight="1" x14ac:dyDescent="0.2">
      <c r="A267" s="412" t="s">
        <v>168</v>
      </c>
      <c r="B267" s="412" t="s">
        <v>2174</v>
      </c>
      <c r="C267" s="419" t="s">
        <v>2175</v>
      </c>
      <c r="D267" s="413">
        <v>218</v>
      </c>
      <c r="E267" s="415"/>
      <c r="F267" s="415"/>
      <c r="G267" s="415"/>
      <c r="H267" s="415"/>
      <c r="I267" s="415"/>
      <c r="J267" s="415">
        <v>97.34</v>
      </c>
      <c r="K267" s="415"/>
      <c r="L267" s="415"/>
      <c r="M267" s="415"/>
      <c r="N267" s="415"/>
      <c r="O267" s="415"/>
      <c r="P267" s="415"/>
      <c r="Q267" s="416">
        <f t="shared" si="16"/>
        <v>97.34</v>
      </c>
      <c r="R267" s="395" t="str">
        <f t="shared" si="15"/>
        <v>NO</v>
      </c>
      <c r="S267" s="417" t="str">
        <f t="shared" ref="S267:S330" si="17">IF(Q267&lt;5,"Sin Riesgo",IF(Q267 &lt;=14,"Bajo",IF(Q267&lt;=35,"Medio",IF(Q267&lt;=80,"Alto","Inviable Sanitariamente"))))</f>
        <v>Inviable Sanitariamente</v>
      </c>
      <c r="T267" s="16"/>
    </row>
    <row r="268" spans="1:20" ht="32.1" customHeight="1" x14ac:dyDescent="0.2">
      <c r="A268" s="412" t="s">
        <v>168</v>
      </c>
      <c r="B268" s="412" t="s">
        <v>2176</v>
      </c>
      <c r="C268" s="419" t="s">
        <v>2177</v>
      </c>
      <c r="D268" s="413">
        <v>90</v>
      </c>
      <c r="E268" s="415"/>
      <c r="F268" s="415"/>
      <c r="G268" s="415"/>
      <c r="H268" s="415"/>
      <c r="I268" s="415"/>
      <c r="J268" s="415">
        <v>97.34</v>
      </c>
      <c r="K268" s="415"/>
      <c r="L268" s="415"/>
      <c r="M268" s="415"/>
      <c r="N268" s="415"/>
      <c r="O268" s="415"/>
      <c r="P268" s="415"/>
      <c r="Q268" s="416">
        <f t="shared" si="16"/>
        <v>97.34</v>
      </c>
      <c r="R268" s="395" t="str">
        <f t="shared" si="15"/>
        <v>NO</v>
      </c>
      <c r="S268" s="417" t="str">
        <f t="shared" si="17"/>
        <v>Inviable Sanitariamente</v>
      </c>
      <c r="T268" s="20"/>
    </row>
    <row r="269" spans="1:20" ht="32.1" customHeight="1" x14ac:dyDescent="0.2">
      <c r="A269" s="412" t="s">
        <v>168</v>
      </c>
      <c r="B269" s="412" t="s">
        <v>2178</v>
      </c>
      <c r="C269" s="419" t="s">
        <v>2179</v>
      </c>
      <c r="D269" s="413">
        <v>101</v>
      </c>
      <c r="E269" s="415"/>
      <c r="F269" s="415"/>
      <c r="G269" s="415"/>
      <c r="H269" s="415"/>
      <c r="I269" s="415"/>
      <c r="J269" s="415">
        <v>97.34</v>
      </c>
      <c r="K269" s="415"/>
      <c r="L269" s="415"/>
      <c r="M269" s="415"/>
      <c r="N269" s="415"/>
      <c r="O269" s="415"/>
      <c r="P269" s="415"/>
      <c r="Q269" s="416">
        <f t="shared" si="16"/>
        <v>97.34</v>
      </c>
      <c r="R269" s="395" t="str">
        <f t="shared" si="15"/>
        <v>NO</v>
      </c>
      <c r="S269" s="417" t="str">
        <f t="shared" si="17"/>
        <v>Inviable Sanitariamente</v>
      </c>
      <c r="T269" s="20"/>
    </row>
    <row r="270" spans="1:20" ht="32.1" customHeight="1" x14ac:dyDescent="0.2">
      <c r="A270" s="412" t="s">
        <v>168</v>
      </c>
      <c r="B270" s="412" t="s">
        <v>2180</v>
      </c>
      <c r="C270" s="420" t="s">
        <v>2181</v>
      </c>
      <c r="D270" s="413">
        <v>95</v>
      </c>
      <c r="E270" s="415"/>
      <c r="F270" s="415"/>
      <c r="G270" s="415"/>
      <c r="H270" s="415"/>
      <c r="I270" s="415"/>
      <c r="J270" s="415">
        <v>97.34</v>
      </c>
      <c r="K270" s="415"/>
      <c r="L270" s="415"/>
      <c r="M270" s="415"/>
      <c r="N270" s="415"/>
      <c r="O270" s="415"/>
      <c r="P270" s="415"/>
      <c r="Q270" s="416">
        <f t="shared" si="16"/>
        <v>97.34</v>
      </c>
      <c r="R270" s="395" t="str">
        <f t="shared" si="15"/>
        <v>NO</v>
      </c>
      <c r="S270" s="417" t="str">
        <f t="shared" si="17"/>
        <v>Inviable Sanitariamente</v>
      </c>
      <c r="T270" s="16"/>
    </row>
    <row r="271" spans="1:20" ht="32.1" customHeight="1" x14ac:dyDescent="0.2">
      <c r="A271" s="412" t="s">
        <v>168</v>
      </c>
      <c r="B271" s="412" t="s">
        <v>2182</v>
      </c>
      <c r="C271" s="419" t="s">
        <v>2183</v>
      </c>
      <c r="D271" s="413">
        <v>131</v>
      </c>
      <c r="E271" s="415"/>
      <c r="F271" s="415">
        <v>97.3</v>
      </c>
      <c r="G271" s="415"/>
      <c r="H271" s="415"/>
      <c r="I271" s="415"/>
      <c r="J271" s="415"/>
      <c r="K271" s="415"/>
      <c r="L271" s="415"/>
      <c r="M271" s="415"/>
      <c r="N271" s="415"/>
      <c r="O271" s="415"/>
      <c r="P271" s="415"/>
      <c r="Q271" s="416">
        <f t="shared" si="16"/>
        <v>97.3</v>
      </c>
      <c r="R271" s="395" t="str">
        <f t="shared" si="15"/>
        <v>NO</v>
      </c>
      <c r="S271" s="417" t="str">
        <f t="shared" si="17"/>
        <v>Inviable Sanitariamente</v>
      </c>
      <c r="T271" s="16"/>
    </row>
    <row r="272" spans="1:20" ht="32.1" customHeight="1" x14ac:dyDescent="0.2">
      <c r="A272" s="412" t="s">
        <v>168</v>
      </c>
      <c r="B272" s="412" t="s">
        <v>2184</v>
      </c>
      <c r="C272" s="419" t="s">
        <v>2185</v>
      </c>
      <c r="D272" s="413">
        <v>40</v>
      </c>
      <c r="E272" s="415"/>
      <c r="F272" s="415">
        <v>97.3</v>
      </c>
      <c r="G272" s="415"/>
      <c r="H272" s="415"/>
      <c r="I272" s="415"/>
      <c r="J272" s="415"/>
      <c r="K272" s="415"/>
      <c r="L272" s="415"/>
      <c r="M272" s="415"/>
      <c r="N272" s="415"/>
      <c r="O272" s="415"/>
      <c r="P272" s="415"/>
      <c r="Q272" s="416">
        <f t="shared" si="16"/>
        <v>97.3</v>
      </c>
      <c r="R272" s="395" t="str">
        <f t="shared" si="15"/>
        <v>NO</v>
      </c>
      <c r="S272" s="417" t="str">
        <f t="shared" si="17"/>
        <v>Inviable Sanitariamente</v>
      </c>
      <c r="T272" s="16"/>
    </row>
    <row r="273" spans="1:20" ht="32.1" customHeight="1" x14ac:dyDescent="0.2">
      <c r="A273" s="412" t="s">
        <v>168</v>
      </c>
      <c r="B273" s="412" t="s">
        <v>2186</v>
      </c>
      <c r="C273" s="419" t="s">
        <v>2187</v>
      </c>
      <c r="D273" s="413">
        <v>38</v>
      </c>
      <c r="E273" s="415"/>
      <c r="F273" s="415">
        <v>97.3</v>
      </c>
      <c r="G273" s="415"/>
      <c r="H273" s="415"/>
      <c r="I273" s="415"/>
      <c r="J273" s="415"/>
      <c r="K273" s="415"/>
      <c r="L273" s="415"/>
      <c r="M273" s="415"/>
      <c r="N273" s="415"/>
      <c r="O273" s="415"/>
      <c r="P273" s="415"/>
      <c r="Q273" s="416">
        <f t="shared" si="16"/>
        <v>97.3</v>
      </c>
      <c r="R273" s="395" t="str">
        <f t="shared" si="15"/>
        <v>NO</v>
      </c>
      <c r="S273" s="417" t="str">
        <f t="shared" si="17"/>
        <v>Inviable Sanitariamente</v>
      </c>
      <c r="T273" s="16"/>
    </row>
    <row r="274" spans="1:20" ht="32.1" customHeight="1" x14ac:dyDescent="0.2">
      <c r="A274" s="412" t="s">
        <v>168</v>
      </c>
      <c r="B274" s="412" t="s">
        <v>61</v>
      </c>
      <c r="C274" s="419" t="s">
        <v>2188</v>
      </c>
      <c r="D274" s="413">
        <v>19</v>
      </c>
      <c r="E274" s="415"/>
      <c r="F274" s="415">
        <v>97.3</v>
      </c>
      <c r="G274" s="415"/>
      <c r="H274" s="415"/>
      <c r="I274" s="415"/>
      <c r="J274" s="415"/>
      <c r="K274" s="415"/>
      <c r="L274" s="415"/>
      <c r="M274" s="415"/>
      <c r="N274" s="415"/>
      <c r="O274" s="415"/>
      <c r="P274" s="415"/>
      <c r="Q274" s="416">
        <f t="shared" si="16"/>
        <v>97.3</v>
      </c>
      <c r="R274" s="395" t="str">
        <f t="shared" si="15"/>
        <v>NO</v>
      </c>
      <c r="S274" s="417" t="str">
        <f t="shared" si="17"/>
        <v>Inviable Sanitariamente</v>
      </c>
      <c r="T274" s="16"/>
    </row>
    <row r="275" spans="1:20" ht="32.1" customHeight="1" x14ac:dyDescent="0.2">
      <c r="A275" s="412" t="s">
        <v>168</v>
      </c>
      <c r="B275" s="412" t="s">
        <v>2189</v>
      </c>
      <c r="C275" s="419" t="s">
        <v>2190</v>
      </c>
      <c r="D275" s="413">
        <v>115</v>
      </c>
      <c r="E275" s="415"/>
      <c r="F275" s="415"/>
      <c r="G275" s="415"/>
      <c r="H275" s="415"/>
      <c r="I275" s="415"/>
      <c r="J275" s="415">
        <v>97.3</v>
      </c>
      <c r="K275" s="415"/>
      <c r="L275" s="415"/>
      <c r="M275" s="415"/>
      <c r="N275" s="415"/>
      <c r="O275" s="415"/>
      <c r="P275" s="415"/>
      <c r="Q275" s="416">
        <f t="shared" si="16"/>
        <v>97.3</v>
      </c>
      <c r="R275" s="395" t="str">
        <f t="shared" si="15"/>
        <v>NO</v>
      </c>
      <c r="S275" s="417" t="str">
        <f t="shared" si="17"/>
        <v>Inviable Sanitariamente</v>
      </c>
      <c r="T275" s="16"/>
    </row>
    <row r="276" spans="1:20" ht="32.1" customHeight="1" x14ac:dyDescent="0.2">
      <c r="A276" s="412" t="s">
        <v>168</v>
      </c>
      <c r="B276" s="412" t="s">
        <v>2191</v>
      </c>
      <c r="C276" s="419" t="s">
        <v>2192</v>
      </c>
      <c r="D276" s="413">
        <v>42</v>
      </c>
      <c r="E276" s="415"/>
      <c r="F276" s="415"/>
      <c r="G276" s="415"/>
      <c r="H276" s="415"/>
      <c r="I276" s="415"/>
      <c r="J276" s="415">
        <v>97.3</v>
      </c>
      <c r="K276" s="415"/>
      <c r="L276" s="415"/>
      <c r="M276" s="415"/>
      <c r="N276" s="415"/>
      <c r="O276" s="415"/>
      <c r="P276" s="415"/>
      <c r="Q276" s="416">
        <f t="shared" si="16"/>
        <v>97.3</v>
      </c>
      <c r="R276" s="395" t="str">
        <f t="shared" si="15"/>
        <v>NO</v>
      </c>
      <c r="S276" s="417" t="str">
        <f t="shared" si="17"/>
        <v>Inviable Sanitariamente</v>
      </c>
      <c r="T276" s="16"/>
    </row>
    <row r="277" spans="1:20" ht="32.1" customHeight="1" x14ac:dyDescent="0.2">
      <c r="A277" s="412" t="s">
        <v>168</v>
      </c>
      <c r="B277" s="412" t="s">
        <v>2193</v>
      </c>
      <c r="C277" s="419" t="s">
        <v>2194</v>
      </c>
      <c r="D277" s="413">
        <v>42</v>
      </c>
      <c r="E277" s="415"/>
      <c r="F277" s="415"/>
      <c r="G277" s="415"/>
      <c r="H277" s="415"/>
      <c r="I277" s="415"/>
      <c r="J277" s="415">
        <v>97.3</v>
      </c>
      <c r="K277" s="415"/>
      <c r="L277" s="415">
        <v>97.34</v>
      </c>
      <c r="M277" s="415"/>
      <c r="N277" s="415"/>
      <c r="O277" s="415"/>
      <c r="P277" s="415"/>
      <c r="Q277" s="416">
        <f t="shared" si="16"/>
        <v>97.32</v>
      </c>
      <c r="R277" s="395" t="str">
        <f t="shared" si="15"/>
        <v>NO</v>
      </c>
      <c r="S277" s="417" t="str">
        <f t="shared" si="17"/>
        <v>Inviable Sanitariamente</v>
      </c>
      <c r="T277" s="16"/>
    </row>
    <row r="278" spans="1:20" ht="32.1" customHeight="1" x14ac:dyDescent="0.2">
      <c r="A278" s="412" t="s">
        <v>169</v>
      </c>
      <c r="B278" s="412" t="s">
        <v>2195</v>
      </c>
      <c r="C278" s="419" t="s">
        <v>2196</v>
      </c>
      <c r="D278" s="413">
        <v>80</v>
      </c>
      <c r="E278" s="415">
        <v>97.9</v>
      </c>
      <c r="F278" s="415"/>
      <c r="G278" s="415"/>
      <c r="H278" s="415"/>
      <c r="I278" s="415"/>
      <c r="J278" s="415"/>
      <c r="K278" s="415"/>
      <c r="L278" s="415"/>
      <c r="M278" s="415"/>
      <c r="N278" s="415"/>
      <c r="O278" s="415"/>
      <c r="P278" s="415"/>
      <c r="Q278" s="416">
        <f t="shared" si="16"/>
        <v>97.9</v>
      </c>
      <c r="R278" s="395" t="str">
        <f t="shared" si="15"/>
        <v>NO</v>
      </c>
      <c r="S278" s="417" t="str">
        <f t="shared" si="17"/>
        <v>Inviable Sanitariamente</v>
      </c>
      <c r="T278" s="16"/>
    </row>
    <row r="279" spans="1:20" ht="32.1" customHeight="1" x14ac:dyDescent="0.2">
      <c r="A279" s="412" t="s">
        <v>169</v>
      </c>
      <c r="B279" s="412" t="s">
        <v>2197</v>
      </c>
      <c r="C279" s="419" t="s">
        <v>2198</v>
      </c>
      <c r="D279" s="413">
        <v>40</v>
      </c>
      <c r="E279" s="415"/>
      <c r="F279" s="415"/>
      <c r="G279" s="415">
        <v>97.3</v>
      </c>
      <c r="H279" s="415"/>
      <c r="I279" s="415">
        <v>97.3</v>
      </c>
      <c r="J279" s="415"/>
      <c r="K279" s="415"/>
      <c r="L279" s="415"/>
      <c r="M279" s="415"/>
      <c r="N279" s="415">
        <v>97.3</v>
      </c>
      <c r="O279" s="415"/>
      <c r="P279" s="415"/>
      <c r="Q279" s="416">
        <f t="shared" si="16"/>
        <v>97.3</v>
      </c>
      <c r="R279" s="395" t="str">
        <f t="shared" si="15"/>
        <v>NO</v>
      </c>
      <c r="S279" s="417" t="str">
        <f t="shared" si="17"/>
        <v>Inviable Sanitariamente</v>
      </c>
      <c r="T279" s="16"/>
    </row>
    <row r="280" spans="1:20" ht="32.1" customHeight="1" x14ac:dyDescent="0.2">
      <c r="A280" s="412" t="s">
        <v>169</v>
      </c>
      <c r="B280" s="412" t="s">
        <v>2199</v>
      </c>
      <c r="C280" s="419" t="s">
        <v>2200</v>
      </c>
      <c r="D280" s="413">
        <v>26</v>
      </c>
      <c r="E280" s="415">
        <v>0</v>
      </c>
      <c r="F280" s="415"/>
      <c r="G280" s="415"/>
      <c r="H280" s="415"/>
      <c r="I280" s="415"/>
      <c r="J280" s="415"/>
      <c r="K280" s="415"/>
      <c r="L280" s="415"/>
      <c r="M280" s="415"/>
      <c r="N280" s="415"/>
      <c r="O280" s="415"/>
      <c r="P280" s="415"/>
      <c r="Q280" s="416">
        <f t="shared" si="16"/>
        <v>0</v>
      </c>
      <c r="R280" s="395" t="str">
        <f t="shared" si="15"/>
        <v>SI</v>
      </c>
      <c r="S280" s="417" t="str">
        <f t="shared" si="17"/>
        <v>Sin Riesgo</v>
      </c>
      <c r="T280" s="16"/>
    </row>
    <row r="281" spans="1:20" ht="32.1" customHeight="1" x14ac:dyDescent="0.2">
      <c r="A281" s="412" t="s">
        <v>169</v>
      </c>
      <c r="B281" s="412" t="s">
        <v>1786</v>
      </c>
      <c r="C281" s="419" t="s">
        <v>2201</v>
      </c>
      <c r="D281" s="413">
        <v>57</v>
      </c>
      <c r="E281" s="415">
        <v>97.3</v>
      </c>
      <c r="F281" s="415"/>
      <c r="G281" s="415"/>
      <c r="H281" s="415"/>
      <c r="I281" s="415"/>
      <c r="J281" s="415"/>
      <c r="K281" s="415"/>
      <c r="L281" s="415"/>
      <c r="M281" s="415"/>
      <c r="N281" s="415"/>
      <c r="O281" s="415"/>
      <c r="P281" s="415"/>
      <c r="Q281" s="416">
        <f t="shared" si="16"/>
        <v>97.3</v>
      </c>
      <c r="R281" s="395" t="str">
        <f t="shared" si="15"/>
        <v>NO</v>
      </c>
      <c r="S281" s="417" t="str">
        <f t="shared" si="17"/>
        <v>Inviable Sanitariamente</v>
      </c>
      <c r="T281" s="16"/>
    </row>
    <row r="282" spans="1:20" ht="45.75" customHeight="1" x14ac:dyDescent="0.2">
      <c r="A282" s="412" t="s">
        <v>169</v>
      </c>
      <c r="B282" s="412" t="s">
        <v>2202</v>
      </c>
      <c r="C282" s="419" t="s">
        <v>2203</v>
      </c>
      <c r="D282" s="413">
        <v>60</v>
      </c>
      <c r="E282" s="415"/>
      <c r="F282" s="415"/>
      <c r="G282" s="415"/>
      <c r="H282" s="415"/>
      <c r="I282" s="415">
        <v>76.92</v>
      </c>
      <c r="J282" s="415"/>
      <c r="K282" s="415"/>
      <c r="L282" s="415"/>
      <c r="M282" s="415"/>
      <c r="N282" s="415"/>
      <c r="O282" s="415"/>
      <c r="P282" s="415"/>
      <c r="Q282" s="416">
        <f t="shared" si="16"/>
        <v>76.92</v>
      </c>
      <c r="R282" s="395" t="str">
        <f t="shared" si="15"/>
        <v>NO</v>
      </c>
      <c r="S282" s="417" t="str">
        <f t="shared" si="17"/>
        <v>Alto</v>
      </c>
      <c r="T282" s="16"/>
    </row>
    <row r="283" spans="1:20" ht="32.1" customHeight="1" x14ac:dyDescent="0.2">
      <c r="A283" s="412" t="s">
        <v>169</v>
      </c>
      <c r="B283" s="412" t="s">
        <v>2204</v>
      </c>
      <c r="C283" s="419" t="s">
        <v>2205</v>
      </c>
      <c r="D283" s="413">
        <v>22</v>
      </c>
      <c r="E283" s="415">
        <v>97.3</v>
      </c>
      <c r="F283" s="415"/>
      <c r="G283" s="415"/>
      <c r="H283" s="415"/>
      <c r="I283" s="415"/>
      <c r="J283" s="415">
        <v>97.3</v>
      </c>
      <c r="K283" s="415"/>
      <c r="L283" s="415"/>
      <c r="M283" s="415"/>
      <c r="N283" s="415"/>
      <c r="O283" s="415"/>
      <c r="P283" s="415"/>
      <c r="Q283" s="416">
        <f t="shared" si="16"/>
        <v>97.3</v>
      </c>
      <c r="R283" s="395" t="str">
        <f t="shared" si="15"/>
        <v>NO</v>
      </c>
      <c r="S283" s="417" t="str">
        <f t="shared" si="17"/>
        <v>Inviable Sanitariamente</v>
      </c>
      <c r="T283" s="16"/>
    </row>
    <row r="284" spans="1:20" ht="32.1" customHeight="1" x14ac:dyDescent="0.2">
      <c r="A284" s="412" t="s">
        <v>169</v>
      </c>
      <c r="B284" s="412" t="s">
        <v>2206</v>
      </c>
      <c r="C284" s="419" t="s">
        <v>2207</v>
      </c>
      <c r="D284" s="413">
        <v>70</v>
      </c>
      <c r="E284" s="415"/>
      <c r="F284" s="415">
        <v>97.3</v>
      </c>
      <c r="G284" s="415"/>
      <c r="H284" s="415"/>
      <c r="I284" s="415"/>
      <c r="J284" s="415">
        <v>97.3</v>
      </c>
      <c r="K284" s="415"/>
      <c r="L284" s="415"/>
      <c r="M284" s="415"/>
      <c r="N284" s="415"/>
      <c r="O284" s="415"/>
      <c r="P284" s="415"/>
      <c r="Q284" s="416">
        <f t="shared" si="16"/>
        <v>97.3</v>
      </c>
      <c r="R284" s="395" t="str">
        <f t="shared" si="15"/>
        <v>NO</v>
      </c>
      <c r="S284" s="417" t="str">
        <f t="shared" si="17"/>
        <v>Inviable Sanitariamente</v>
      </c>
      <c r="T284" s="16"/>
    </row>
    <row r="285" spans="1:20" ht="32.1" customHeight="1" x14ac:dyDescent="0.2">
      <c r="A285" s="412" t="s">
        <v>169</v>
      </c>
      <c r="B285" s="412" t="s">
        <v>2208</v>
      </c>
      <c r="C285" s="419" t="s">
        <v>2209</v>
      </c>
      <c r="D285" s="413">
        <v>84</v>
      </c>
      <c r="E285" s="415"/>
      <c r="F285" s="415"/>
      <c r="G285" s="415"/>
      <c r="H285" s="415"/>
      <c r="I285" s="415"/>
      <c r="J285" s="415">
        <v>41.96</v>
      </c>
      <c r="K285" s="415"/>
      <c r="L285" s="415"/>
      <c r="M285" s="415"/>
      <c r="N285" s="415"/>
      <c r="O285" s="415"/>
      <c r="P285" s="415"/>
      <c r="Q285" s="416">
        <f t="shared" si="16"/>
        <v>41.96</v>
      </c>
      <c r="R285" s="395" t="str">
        <f t="shared" si="15"/>
        <v>NO</v>
      </c>
      <c r="S285" s="417" t="str">
        <f t="shared" si="17"/>
        <v>Alto</v>
      </c>
      <c r="T285" s="16"/>
    </row>
    <row r="286" spans="1:20" ht="32.1" customHeight="1" x14ac:dyDescent="0.2">
      <c r="A286" s="412" t="s">
        <v>169</v>
      </c>
      <c r="B286" s="412" t="s">
        <v>651</v>
      </c>
      <c r="C286" s="419" t="s">
        <v>2210</v>
      </c>
      <c r="D286" s="413">
        <v>24</v>
      </c>
      <c r="E286" s="415">
        <v>76.92</v>
      </c>
      <c r="F286" s="415"/>
      <c r="G286" s="415"/>
      <c r="H286" s="415"/>
      <c r="I286" s="415"/>
      <c r="J286" s="415"/>
      <c r="K286" s="415"/>
      <c r="L286" s="415"/>
      <c r="M286" s="415"/>
      <c r="N286" s="415"/>
      <c r="O286" s="415"/>
      <c r="P286" s="415"/>
      <c r="Q286" s="416">
        <f>AVERAGE(E286:P286)</f>
        <v>76.92</v>
      </c>
      <c r="R286" s="395" t="str">
        <f t="shared" si="15"/>
        <v>NO</v>
      </c>
      <c r="S286" s="417" t="str">
        <f t="shared" si="17"/>
        <v>Alto</v>
      </c>
      <c r="T286" s="16"/>
    </row>
    <row r="287" spans="1:20" ht="32.1" customHeight="1" x14ac:dyDescent="0.2">
      <c r="A287" s="412" t="s">
        <v>169</v>
      </c>
      <c r="B287" s="412" t="s">
        <v>2211</v>
      </c>
      <c r="C287" s="419" t="s">
        <v>2212</v>
      </c>
      <c r="D287" s="413">
        <v>48</v>
      </c>
      <c r="E287" s="415"/>
      <c r="F287" s="415"/>
      <c r="G287" s="415">
        <v>53.1</v>
      </c>
      <c r="H287" s="415"/>
      <c r="I287" s="415"/>
      <c r="J287" s="415"/>
      <c r="K287" s="415"/>
      <c r="L287" s="415"/>
      <c r="M287" s="415"/>
      <c r="N287" s="415"/>
      <c r="O287" s="415">
        <v>53.1</v>
      </c>
      <c r="P287" s="415"/>
      <c r="Q287" s="416">
        <f t="shared" si="16"/>
        <v>53.1</v>
      </c>
      <c r="R287" s="395" t="str">
        <f t="shared" si="15"/>
        <v>NO</v>
      </c>
      <c r="S287" s="417" t="str">
        <f t="shared" si="17"/>
        <v>Alto</v>
      </c>
      <c r="T287" s="16"/>
    </row>
    <row r="288" spans="1:20" ht="32.1" customHeight="1" x14ac:dyDescent="0.2">
      <c r="A288" s="412" t="s">
        <v>169</v>
      </c>
      <c r="B288" s="412" t="s">
        <v>2213</v>
      </c>
      <c r="C288" s="419" t="s">
        <v>2214</v>
      </c>
      <c r="D288" s="413">
        <v>61</v>
      </c>
      <c r="E288" s="415"/>
      <c r="F288" s="415"/>
      <c r="G288" s="415">
        <v>97.3</v>
      </c>
      <c r="H288" s="415"/>
      <c r="I288" s="415"/>
      <c r="J288" s="415">
        <v>97.3</v>
      </c>
      <c r="K288" s="415"/>
      <c r="L288" s="415"/>
      <c r="M288" s="415"/>
      <c r="N288" s="415"/>
      <c r="O288" s="415"/>
      <c r="P288" s="415"/>
      <c r="Q288" s="416">
        <f t="shared" si="16"/>
        <v>97.3</v>
      </c>
      <c r="R288" s="395" t="str">
        <f t="shared" si="15"/>
        <v>NO</v>
      </c>
      <c r="S288" s="417" t="str">
        <f t="shared" si="17"/>
        <v>Inviable Sanitariamente</v>
      </c>
      <c r="T288" s="16"/>
    </row>
    <row r="289" spans="1:20" ht="32.1" customHeight="1" x14ac:dyDescent="0.2">
      <c r="A289" s="412" t="s">
        <v>169</v>
      </c>
      <c r="B289" s="412" t="s">
        <v>2197</v>
      </c>
      <c r="C289" s="419" t="s">
        <v>2215</v>
      </c>
      <c r="D289" s="413">
        <v>75</v>
      </c>
      <c r="E289" s="415"/>
      <c r="F289" s="415"/>
      <c r="G289" s="415"/>
      <c r="H289" s="415"/>
      <c r="I289" s="415"/>
      <c r="J289" s="415"/>
      <c r="K289" s="415">
        <v>0</v>
      </c>
      <c r="L289" s="415"/>
      <c r="M289" s="415"/>
      <c r="N289" s="415"/>
      <c r="O289" s="415"/>
      <c r="P289" s="415"/>
      <c r="Q289" s="416">
        <f t="shared" si="16"/>
        <v>0</v>
      </c>
      <c r="R289" s="395" t="str">
        <f t="shared" si="15"/>
        <v>SI</v>
      </c>
      <c r="S289" s="417" t="str">
        <f t="shared" si="17"/>
        <v>Sin Riesgo</v>
      </c>
      <c r="T289" s="16"/>
    </row>
    <row r="290" spans="1:20" ht="32.1" customHeight="1" x14ac:dyDescent="0.2">
      <c r="A290" s="412" t="s">
        <v>169</v>
      </c>
      <c r="B290" s="412" t="s">
        <v>1053</v>
      </c>
      <c r="C290" s="419" t="s">
        <v>2216</v>
      </c>
      <c r="D290" s="413">
        <v>15</v>
      </c>
      <c r="E290" s="415"/>
      <c r="F290" s="415"/>
      <c r="G290" s="415">
        <v>97.3</v>
      </c>
      <c r="H290" s="415"/>
      <c r="I290" s="415"/>
      <c r="J290" s="415">
        <v>97.3</v>
      </c>
      <c r="K290" s="415"/>
      <c r="L290" s="415"/>
      <c r="M290" s="415"/>
      <c r="N290" s="415"/>
      <c r="O290" s="415"/>
      <c r="P290" s="415"/>
      <c r="Q290" s="416">
        <f t="shared" si="16"/>
        <v>97.3</v>
      </c>
      <c r="R290" s="395" t="str">
        <f t="shared" si="15"/>
        <v>NO</v>
      </c>
      <c r="S290" s="417" t="str">
        <f t="shared" si="17"/>
        <v>Inviable Sanitariamente</v>
      </c>
      <c r="T290" s="16"/>
    </row>
    <row r="291" spans="1:20" ht="32.1" customHeight="1" x14ac:dyDescent="0.2">
      <c r="A291" s="412" t="s">
        <v>169</v>
      </c>
      <c r="B291" s="412" t="s">
        <v>1783</v>
      </c>
      <c r="C291" s="419" t="s">
        <v>2217</v>
      </c>
      <c r="D291" s="413">
        <v>20</v>
      </c>
      <c r="E291" s="415"/>
      <c r="F291" s="415"/>
      <c r="G291" s="415"/>
      <c r="H291" s="415">
        <v>97.3</v>
      </c>
      <c r="I291" s="415">
        <v>53.1</v>
      </c>
      <c r="J291" s="415"/>
      <c r="K291" s="415"/>
      <c r="L291" s="415"/>
      <c r="M291" s="415"/>
      <c r="N291" s="415"/>
      <c r="O291" s="415">
        <v>97.3</v>
      </c>
      <c r="P291" s="415"/>
      <c r="Q291" s="416">
        <f t="shared" si="16"/>
        <v>82.566666666666663</v>
      </c>
      <c r="R291" s="395" t="str">
        <f t="shared" si="15"/>
        <v>NO</v>
      </c>
      <c r="S291" s="417" t="str">
        <f t="shared" si="17"/>
        <v>Inviable Sanitariamente</v>
      </c>
      <c r="T291" s="16"/>
    </row>
    <row r="292" spans="1:20" ht="32.1" customHeight="1" x14ac:dyDescent="0.2">
      <c r="A292" s="412" t="s">
        <v>169</v>
      </c>
      <c r="B292" s="406" t="s">
        <v>262</v>
      </c>
      <c r="C292" s="420" t="s">
        <v>2218</v>
      </c>
      <c r="D292" s="413">
        <v>207</v>
      </c>
      <c r="E292" s="415"/>
      <c r="F292" s="415"/>
      <c r="G292" s="415"/>
      <c r="H292" s="415"/>
      <c r="I292" s="415"/>
      <c r="J292" s="415">
        <v>97.3</v>
      </c>
      <c r="K292" s="415"/>
      <c r="L292" s="415"/>
      <c r="M292" s="415"/>
      <c r="N292" s="415"/>
      <c r="O292" s="415"/>
      <c r="P292" s="415"/>
      <c r="Q292" s="416">
        <f t="shared" si="16"/>
        <v>97.3</v>
      </c>
      <c r="R292" s="395" t="str">
        <f t="shared" si="15"/>
        <v>NO</v>
      </c>
      <c r="S292" s="417" t="str">
        <f t="shared" si="17"/>
        <v>Inviable Sanitariamente</v>
      </c>
      <c r="T292" s="16"/>
    </row>
    <row r="293" spans="1:20" ht="32.1" customHeight="1" x14ac:dyDescent="0.2">
      <c r="A293" s="412" t="s">
        <v>169</v>
      </c>
      <c r="B293" s="412" t="s">
        <v>2219</v>
      </c>
      <c r="C293" s="419" t="s">
        <v>2220</v>
      </c>
      <c r="D293" s="413">
        <v>12</v>
      </c>
      <c r="E293" s="415"/>
      <c r="F293" s="415"/>
      <c r="G293" s="415"/>
      <c r="H293" s="415"/>
      <c r="I293" s="415"/>
      <c r="J293" s="415">
        <v>42</v>
      </c>
      <c r="K293" s="415"/>
      <c r="L293" s="415"/>
      <c r="M293" s="415"/>
      <c r="N293" s="415"/>
      <c r="O293" s="415"/>
      <c r="P293" s="415"/>
      <c r="Q293" s="416">
        <f t="shared" si="16"/>
        <v>42</v>
      </c>
      <c r="R293" s="395" t="str">
        <f t="shared" si="15"/>
        <v>NO</v>
      </c>
      <c r="S293" s="417" t="str">
        <f t="shared" si="17"/>
        <v>Alto</v>
      </c>
      <c r="T293" s="16"/>
    </row>
    <row r="294" spans="1:20" ht="32.1" customHeight="1" x14ac:dyDescent="0.2">
      <c r="A294" s="412" t="s">
        <v>169</v>
      </c>
      <c r="B294" s="412" t="s">
        <v>2221</v>
      </c>
      <c r="C294" s="419" t="s">
        <v>2222</v>
      </c>
      <c r="D294" s="413">
        <v>70</v>
      </c>
      <c r="E294" s="415">
        <v>76.900000000000006</v>
      </c>
      <c r="F294" s="415"/>
      <c r="G294" s="415"/>
      <c r="H294" s="415"/>
      <c r="I294" s="415"/>
      <c r="J294" s="415"/>
      <c r="K294" s="415"/>
      <c r="L294" s="415"/>
      <c r="M294" s="415"/>
      <c r="N294" s="415"/>
      <c r="O294" s="415"/>
      <c r="P294" s="415"/>
      <c r="Q294" s="416">
        <f t="shared" si="16"/>
        <v>76.900000000000006</v>
      </c>
      <c r="R294" s="395" t="str">
        <f t="shared" si="15"/>
        <v>NO</v>
      </c>
      <c r="S294" s="417" t="str">
        <f t="shared" si="17"/>
        <v>Alto</v>
      </c>
      <c r="T294" s="16"/>
    </row>
    <row r="295" spans="1:20" ht="32.1" customHeight="1" x14ac:dyDescent="0.2">
      <c r="A295" s="412" t="s">
        <v>169</v>
      </c>
      <c r="B295" s="412" t="s">
        <v>2223</v>
      </c>
      <c r="C295" s="419" t="s">
        <v>2224</v>
      </c>
      <c r="D295" s="413">
        <v>120</v>
      </c>
      <c r="E295" s="415"/>
      <c r="F295" s="415"/>
      <c r="G295" s="415"/>
      <c r="H295" s="415"/>
      <c r="I295" s="415"/>
      <c r="J295" s="415">
        <v>0</v>
      </c>
      <c r="K295" s="415"/>
      <c r="L295" s="415"/>
      <c r="M295" s="415"/>
      <c r="N295" s="415"/>
      <c r="O295" s="415"/>
      <c r="P295" s="415"/>
      <c r="Q295" s="416">
        <f t="shared" si="16"/>
        <v>0</v>
      </c>
      <c r="R295" s="395" t="str">
        <f t="shared" si="15"/>
        <v>SI</v>
      </c>
      <c r="S295" s="417" t="str">
        <f t="shared" si="17"/>
        <v>Sin Riesgo</v>
      </c>
      <c r="T295" s="16"/>
    </row>
    <row r="296" spans="1:20" ht="32.1" customHeight="1" x14ac:dyDescent="0.2">
      <c r="A296" s="412" t="s">
        <v>169</v>
      </c>
      <c r="B296" s="412" t="s">
        <v>1822</v>
      </c>
      <c r="C296" s="419" t="s">
        <v>2225</v>
      </c>
      <c r="D296" s="413"/>
      <c r="E296" s="415">
        <v>76.900000000000006</v>
      </c>
      <c r="F296" s="415"/>
      <c r="G296" s="415"/>
      <c r="H296" s="415"/>
      <c r="I296" s="415"/>
      <c r="J296" s="415"/>
      <c r="K296" s="415"/>
      <c r="L296" s="415"/>
      <c r="M296" s="415"/>
      <c r="N296" s="415"/>
      <c r="O296" s="415"/>
      <c r="P296" s="415"/>
      <c r="Q296" s="416">
        <f t="shared" si="16"/>
        <v>76.900000000000006</v>
      </c>
      <c r="R296" s="395" t="str">
        <f t="shared" si="15"/>
        <v>NO</v>
      </c>
      <c r="S296" s="417" t="str">
        <f t="shared" si="17"/>
        <v>Alto</v>
      </c>
      <c r="T296" s="16"/>
    </row>
    <row r="297" spans="1:20" ht="32.1" customHeight="1" x14ac:dyDescent="0.2">
      <c r="A297" s="412" t="s">
        <v>169</v>
      </c>
      <c r="B297" s="412" t="s">
        <v>2226</v>
      </c>
      <c r="C297" s="419" t="s">
        <v>2227</v>
      </c>
      <c r="D297" s="413"/>
      <c r="E297" s="415">
        <v>76.92</v>
      </c>
      <c r="F297" s="415"/>
      <c r="G297" s="415"/>
      <c r="H297" s="415"/>
      <c r="I297" s="415"/>
      <c r="J297" s="415"/>
      <c r="K297" s="415"/>
      <c r="L297" s="415"/>
      <c r="M297" s="415"/>
      <c r="N297" s="415"/>
      <c r="O297" s="415"/>
      <c r="P297" s="415"/>
      <c r="Q297" s="416">
        <f t="shared" si="16"/>
        <v>76.92</v>
      </c>
      <c r="R297" s="395" t="str">
        <f t="shared" si="15"/>
        <v>NO</v>
      </c>
      <c r="S297" s="417" t="str">
        <f t="shared" si="17"/>
        <v>Alto</v>
      </c>
      <c r="T297" s="16"/>
    </row>
    <row r="298" spans="1:20" ht="32.1" customHeight="1" x14ac:dyDescent="0.2">
      <c r="A298" s="412" t="s">
        <v>169</v>
      </c>
      <c r="B298" s="406" t="s">
        <v>2228</v>
      </c>
      <c r="C298" s="420" t="s">
        <v>2229</v>
      </c>
      <c r="D298" s="413">
        <v>49</v>
      </c>
      <c r="E298" s="415"/>
      <c r="F298" s="415"/>
      <c r="G298" s="415"/>
      <c r="H298" s="415"/>
      <c r="I298" s="415">
        <v>97.3</v>
      </c>
      <c r="J298" s="415"/>
      <c r="K298" s="415"/>
      <c r="L298" s="415"/>
      <c r="M298" s="415"/>
      <c r="N298" s="415"/>
      <c r="O298" s="415"/>
      <c r="P298" s="415"/>
      <c r="Q298" s="416">
        <f t="shared" si="16"/>
        <v>97.3</v>
      </c>
      <c r="R298" s="395" t="str">
        <f t="shared" si="15"/>
        <v>NO</v>
      </c>
      <c r="S298" s="417" t="str">
        <f t="shared" si="17"/>
        <v>Inviable Sanitariamente</v>
      </c>
      <c r="T298" s="16"/>
    </row>
    <row r="299" spans="1:20" ht="32.1" customHeight="1" x14ac:dyDescent="0.2">
      <c r="A299" s="412" t="s">
        <v>169</v>
      </c>
      <c r="B299" s="406" t="s">
        <v>59</v>
      </c>
      <c r="C299" s="420" t="s">
        <v>1034</v>
      </c>
      <c r="D299" s="413">
        <v>35</v>
      </c>
      <c r="E299" s="415"/>
      <c r="F299" s="415"/>
      <c r="G299" s="415"/>
      <c r="H299" s="415"/>
      <c r="I299" s="415">
        <v>76.900000000000006</v>
      </c>
      <c r="J299" s="415"/>
      <c r="K299" s="415"/>
      <c r="L299" s="415"/>
      <c r="M299" s="415"/>
      <c r="N299" s="415"/>
      <c r="O299" s="415"/>
      <c r="P299" s="415"/>
      <c r="Q299" s="416">
        <f t="shared" si="16"/>
        <v>76.900000000000006</v>
      </c>
      <c r="R299" s="395" t="str">
        <f t="shared" ref="R299:R363" si="18">IF(Q299&lt;5,"SI","NO")</f>
        <v>NO</v>
      </c>
      <c r="S299" s="417" t="str">
        <f t="shared" si="17"/>
        <v>Alto</v>
      </c>
      <c r="T299" s="16"/>
    </row>
    <row r="300" spans="1:20" ht="32.1" customHeight="1" x14ac:dyDescent="0.2">
      <c r="A300" s="412" t="s">
        <v>169</v>
      </c>
      <c r="B300" s="412" t="s">
        <v>2230</v>
      </c>
      <c r="C300" s="420" t="s">
        <v>2231</v>
      </c>
      <c r="D300" s="413">
        <v>40</v>
      </c>
      <c r="E300" s="415"/>
      <c r="F300" s="415">
        <v>97.3</v>
      </c>
      <c r="G300" s="415"/>
      <c r="H300" s="415"/>
      <c r="I300" s="415"/>
      <c r="J300" s="415">
        <v>97.3</v>
      </c>
      <c r="K300" s="415"/>
      <c r="L300" s="415"/>
      <c r="M300" s="415"/>
      <c r="N300" s="415"/>
      <c r="O300" s="415"/>
      <c r="P300" s="415"/>
      <c r="Q300" s="416">
        <f t="shared" ref="Q300:Q364" si="19">AVERAGE(E300:P300)</f>
        <v>97.3</v>
      </c>
      <c r="R300" s="395" t="str">
        <f t="shared" si="18"/>
        <v>NO</v>
      </c>
      <c r="S300" s="417" t="str">
        <f t="shared" si="17"/>
        <v>Inviable Sanitariamente</v>
      </c>
      <c r="T300" s="16"/>
    </row>
    <row r="301" spans="1:20" ht="32.1" customHeight="1" x14ac:dyDescent="0.2">
      <c r="A301" s="412" t="s">
        <v>169</v>
      </c>
      <c r="B301" s="412" t="s">
        <v>2232</v>
      </c>
      <c r="C301" s="419" t="s">
        <v>2233</v>
      </c>
      <c r="D301" s="413">
        <v>16</v>
      </c>
      <c r="E301" s="415"/>
      <c r="F301" s="415"/>
      <c r="G301" s="415"/>
      <c r="H301" s="415"/>
      <c r="I301" s="415">
        <v>97.9</v>
      </c>
      <c r="J301" s="415"/>
      <c r="K301" s="415"/>
      <c r="L301" s="415"/>
      <c r="M301" s="415"/>
      <c r="N301" s="415"/>
      <c r="O301" s="415"/>
      <c r="P301" s="415"/>
      <c r="Q301" s="416">
        <f t="shared" si="19"/>
        <v>97.9</v>
      </c>
      <c r="R301" s="395" t="str">
        <f t="shared" si="18"/>
        <v>NO</v>
      </c>
      <c r="S301" s="417" t="str">
        <f t="shared" si="17"/>
        <v>Inviable Sanitariamente</v>
      </c>
      <c r="T301" s="16"/>
    </row>
    <row r="302" spans="1:20" ht="32.1" customHeight="1" x14ac:dyDescent="0.2">
      <c r="A302" s="412" t="s">
        <v>169</v>
      </c>
      <c r="B302" s="435" t="s">
        <v>47</v>
      </c>
      <c r="C302" s="436" t="s">
        <v>4097</v>
      </c>
      <c r="D302" s="413">
        <v>10</v>
      </c>
      <c r="E302" s="415"/>
      <c r="F302" s="415"/>
      <c r="G302" s="415"/>
      <c r="H302" s="415"/>
      <c r="I302" s="415"/>
      <c r="J302" s="415">
        <v>97.3</v>
      </c>
      <c r="K302" s="415"/>
      <c r="L302" s="415"/>
      <c r="M302" s="415"/>
      <c r="N302" s="415"/>
      <c r="O302" s="415"/>
      <c r="P302" s="415"/>
      <c r="Q302" s="416">
        <f t="shared" si="19"/>
        <v>97.3</v>
      </c>
      <c r="R302" s="395" t="str">
        <f t="shared" si="18"/>
        <v>NO</v>
      </c>
      <c r="S302" s="417" t="str">
        <f t="shared" si="17"/>
        <v>Inviable Sanitariamente</v>
      </c>
      <c r="T302" s="16"/>
    </row>
    <row r="303" spans="1:20" ht="32.1" customHeight="1" x14ac:dyDescent="0.2">
      <c r="A303" s="412" t="s">
        <v>171</v>
      </c>
      <c r="B303" s="412" t="s">
        <v>2234</v>
      </c>
      <c r="C303" s="419" t="s">
        <v>2235</v>
      </c>
      <c r="D303" s="413">
        <v>50</v>
      </c>
      <c r="E303" s="415">
        <v>97.35</v>
      </c>
      <c r="F303" s="415"/>
      <c r="G303" s="415"/>
      <c r="H303" s="415"/>
      <c r="I303" s="415"/>
      <c r="J303" s="415"/>
      <c r="K303" s="415"/>
      <c r="L303" s="415"/>
      <c r="M303" s="415"/>
      <c r="N303" s="415"/>
      <c r="O303" s="415"/>
      <c r="P303" s="415"/>
      <c r="Q303" s="416">
        <f t="shared" si="19"/>
        <v>97.35</v>
      </c>
      <c r="R303" s="395" t="str">
        <f t="shared" si="18"/>
        <v>NO</v>
      </c>
      <c r="S303" s="417" t="str">
        <f t="shared" si="17"/>
        <v>Inviable Sanitariamente</v>
      </c>
      <c r="T303" s="16"/>
    </row>
    <row r="304" spans="1:20" ht="32.1" customHeight="1" x14ac:dyDescent="0.2">
      <c r="A304" s="412" t="s">
        <v>171</v>
      </c>
      <c r="B304" s="412" t="s">
        <v>2236</v>
      </c>
      <c r="C304" s="419" t="s">
        <v>2237</v>
      </c>
      <c r="D304" s="413">
        <v>44</v>
      </c>
      <c r="E304" s="415"/>
      <c r="F304" s="415"/>
      <c r="G304" s="415"/>
      <c r="H304" s="415"/>
      <c r="I304" s="415"/>
      <c r="J304" s="415"/>
      <c r="K304" s="415">
        <v>97.35</v>
      </c>
      <c r="L304" s="415"/>
      <c r="M304" s="415"/>
      <c r="N304" s="415"/>
      <c r="O304" s="415"/>
      <c r="P304" s="415"/>
      <c r="Q304" s="416">
        <f t="shared" si="19"/>
        <v>97.35</v>
      </c>
      <c r="R304" s="395" t="str">
        <f t="shared" si="18"/>
        <v>NO</v>
      </c>
      <c r="S304" s="417" t="str">
        <f t="shared" si="17"/>
        <v>Inviable Sanitariamente</v>
      </c>
      <c r="T304" s="16"/>
    </row>
    <row r="305" spans="1:20" ht="32.1" customHeight="1" x14ac:dyDescent="0.2">
      <c r="A305" s="412" t="s">
        <v>171</v>
      </c>
      <c r="B305" s="412" t="s">
        <v>2141</v>
      </c>
      <c r="C305" s="419" t="s">
        <v>2238</v>
      </c>
      <c r="D305" s="364">
        <v>14</v>
      </c>
      <c r="E305" s="415"/>
      <c r="F305" s="415"/>
      <c r="G305" s="415"/>
      <c r="H305" s="415"/>
      <c r="I305" s="415"/>
      <c r="J305" s="415">
        <v>97.35</v>
      </c>
      <c r="K305" s="415"/>
      <c r="L305" s="415"/>
      <c r="M305" s="415"/>
      <c r="N305" s="415"/>
      <c r="O305" s="415"/>
      <c r="P305" s="415"/>
      <c r="Q305" s="416">
        <f t="shared" si="19"/>
        <v>97.35</v>
      </c>
      <c r="R305" s="395" t="str">
        <f t="shared" si="18"/>
        <v>NO</v>
      </c>
      <c r="S305" s="417" t="str">
        <f t="shared" si="17"/>
        <v>Inviable Sanitariamente</v>
      </c>
      <c r="T305" s="16"/>
    </row>
    <row r="306" spans="1:20" ht="32.1" customHeight="1" x14ac:dyDescent="0.2">
      <c r="A306" s="412" t="s">
        <v>171</v>
      </c>
      <c r="B306" s="421" t="s">
        <v>576</v>
      </c>
      <c r="C306" s="419" t="s">
        <v>2239</v>
      </c>
      <c r="D306" s="364">
        <v>25</v>
      </c>
      <c r="E306" s="415"/>
      <c r="F306" s="415"/>
      <c r="G306" s="415">
        <v>97.35</v>
      </c>
      <c r="H306" s="415"/>
      <c r="I306" s="415"/>
      <c r="J306" s="415"/>
      <c r="K306" s="415"/>
      <c r="L306" s="415"/>
      <c r="M306" s="415"/>
      <c r="N306" s="415"/>
      <c r="O306" s="415"/>
      <c r="P306" s="415"/>
      <c r="Q306" s="416">
        <f t="shared" si="19"/>
        <v>97.35</v>
      </c>
      <c r="R306" s="395" t="str">
        <f t="shared" si="18"/>
        <v>NO</v>
      </c>
      <c r="S306" s="417" t="str">
        <f t="shared" si="17"/>
        <v>Inviable Sanitariamente</v>
      </c>
      <c r="T306" s="16"/>
    </row>
    <row r="307" spans="1:20" ht="32.1" customHeight="1" x14ac:dyDescent="0.2">
      <c r="A307" s="412" t="s">
        <v>171</v>
      </c>
      <c r="B307" s="412" t="s">
        <v>2240</v>
      </c>
      <c r="C307" s="419" t="s">
        <v>2241</v>
      </c>
      <c r="D307" s="413">
        <v>18</v>
      </c>
      <c r="E307" s="415">
        <v>97.35</v>
      </c>
      <c r="F307" s="415">
        <v>97.35</v>
      </c>
      <c r="G307" s="415"/>
      <c r="H307" s="415"/>
      <c r="I307" s="415"/>
      <c r="J307" s="415"/>
      <c r="K307" s="415"/>
      <c r="L307" s="415"/>
      <c r="M307" s="415"/>
      <c r="N307" s="415"/>
      <c r="O307" s="415"/>
      <c r="P307" s="415"/>
      <c r="Q307" s="416">
        <f t="shared" si="19"/>
        <v>97.35</v>
      </c>
      <c r="R307" s="395" t="str">
        <f t="shared" si="18"/>
        <v>NO</v>
      </c>
      <c r="S307" s="417" t="str">
        <f t="shared" si="17"/>
        <v>Inviable Sanitariamente</v>
      </c>
      <c r="T307" s="16"/>
    </row>
    <row r="308" spans="1:20" ht="32.1" customHeight="1" x14ac:dyDescent="0.2">
      <c r="A308" s="412" t="s">
        <v>171</v>
      </c>
      <c r="B308" s="412" t="s">
        <v>2242</v>
      </c>
      <c r="C308" s="419" t="s">
        <v>2243</v>
      </c>
      <c r="D308" s="364">
        <v>43</v>
      </c>
      <c r="E308" s="415"/>
      <c r="F308" s="415">
        <v>97.35</v>
      </c>
      <c r="G308" s="415"/>
      <c r="H308" s="415"/>
      <c r="I308" s="415"/>
      <c r="J308" s="415"/>
      <c r="K308" s="415"/>
      <c r="L308" s="415"/>
      <c r="M308" s="415"/>
      <c r="N308" s="415"/>
      <c r="O308" s="415"/>
      <c r="P308" s="415"/>
      <c r="Q308" s="416">
        <f t="shared" si="19"/>
        <v>97.35</v>
      </c>
      <c r="R308" s="395" t="str">
        <f t="shared" si="18"/>
        <v>NO</v>
      </c>
      <c r="S308" s="417" t="str">
        <f t="shared" si="17"/>
        <v>Inviable Sanitariamente</v>
      </c>
      <c r="T308" s="16"/>
    </row>
    <row r="309" spans="1:20" ht="32.1" customHeight="1" x14ac:dyDescent="0.2">
      <c r="A309" s="412" t="s">
        <v>171</v>
      </c>
      <c r="B309" s="412" t="s">
        <v>10</v>
      </c>
      <c r="C309" s="419" t="s">
        <v>2244</v>
      </c>
      <c r="D309" s="364">
        <v>14</v>
      </c>
      <c r="E309" s="415"/>
      <c r="F309" s="415"/>
      <c r="G309" s="415"/>
      <c r="H309" s="415"/>
      <c r="I309" s="415"/>
      <c r="J309" s="415">
        <v>100</v>
      </c>
      <c r="K309" s="415"/>
      <c r="L309" s="415"/>
      <c r="M309" s="415"/>
      <c r="N309" s="415"/>
      <c r="O309" s="415"/>
      <c r="P309" s="415"/>
      <c r="Q309" s="416">
        <f t="shared" si="19"/>
        <v>100</v>
      </c>
      <c r="R309" s="395" t="str">
        <f t="shared" si="18"/>
        <v>NO</v>
      </c>
      <c r="S309" s="417" t="str">
        <f t="shared" si="17"/>
        <v>Inviable Sanitariamente</v>
      </c>
      <c r="T309" s="16"/>
    </row>
    <row r="310" spans="1:20" ht="32.1" customHeight="1" x14ac:dyDescent="0.2">
      <c r="A310" s="412" t="s">
        <v>171</v>
      </c>
      <c r="B310" s="412" t="s">
        <v>674</v>
      </c>
      <c r="C310" s="419" t="s">
        <v>2245</v>
      </c>
      <c r="D310" s="364">
        <v>35</v>
      </c>
      <c r="E310" s="415"/>
      <c r="F310" s="415"/>
      <c r="G310" s="415"/>
      <c r="H310" s="415">
        <v>97.35</v>
      </c>
      <c r="I310" s="415"/>
      <c r="J310" s="415"/>
      <c r="K310" s="415"/>
      <c r="L310" s="415">
        <v>97.35</v>
      </c>
      <c r="M310" s="415"/>
      <c r="N310" s="415"/>
      <c r="O310" s="415"/>
      <c r="P310" s="415"/>
      <c r="Q310" s="416">
        <f t="shared" si="19"/>
        <v>97.35</v>
      </c>
      <c r="R310" s="395" t="str">
        <f t="shared" si="18"/>
        <v>NO</v>
      </c>
      <c r="S310" s="417" t="str">
        <f t="shared" si="17"/>
        <v>Inviable Sanitariamente</v>
      </c>
      <c r="T310" s="16"/>
    </row>
    <row r="311" spans="1:20" ht="32.1" customHeight="1" x14ac:dyDescent="0.2">
      <c r="A311" s="412" t="s">
        <v>171</v>
      </c>
      <c r="B311" s="412" t="s">
        <v>2246</v>
      </c>
      <c r="C311" s="419" t="s">
        <v>2247</v>
      </c>
      <c r="D311" s="364">
        <v>11</v>
      </c>
      <c r="E311" s="415">
        <v>0</v>
      </c>
      <c r="F311" s="415">
        <v>97.35</v>
      </c>
      <c r="G311" s="415"/>
      <c r="H311" s="415"/>
      <c r="I311" s="415"/>
      <c r="J311" s="415">
        <v>97.35</v>
      </c>
      <c r="K311" s="415"/>
      <c r="L311" s="415"/>
      <c r="M311" s="415"/>
      <c r="N311" s="415"/>
      <c r="O311" s="415"/>
      <c r="P311" s="415"/>
      <c r="Q311" s="416">
        <f t="shared" si="19"/>
        <v>64.899999999999991</v>
      </c>
      <c r="R311" s="395" t="str">
        <f t="shared" si="18"/>
        <v>NO</v>
      </c>
      <c r="S311" s="417" t="str">
        <f t="shared" si="17"/>
        <v>Alto</v>
      </c>
      <c r="T311" s="16"/>
    </row>
    <row r="312" spans="1:20" ht="32.1" customHeight="1" x14ac:dyDescent="0.2">
      <c r="A312" s="412" t="s">
        <v>171</v>
      </c>
      <c r="B312" s="412" t="s">
        <v>2248</v>
      </c>
      <c r="C312" s="419" t="s">
        <v>2249</v>
      </c>
      <c r="D312" s="364">
        <v>8</v>
      </c>
      <c r="E312" s="415"/>
      <c r="F312" s="415">
        <v>97.35</v>
      </c>
      <c r="G312" s="415"/>
      <c r="H312" s="415"/>
      <c r="I312" s="415"/>
      <c r="J312" s="415"/>
      <c r="K312" s="415"/>
      <c r="L312" s="415"/>
      <c r="M312" s="415"/>
      <c r="N312" s="415"/>
      <c r="O312" s="415"/>
      <c r="P312" s="415"/>
      <c r="Q312" s="416">
        <f t="shared" si="19"/>
        <v>97.35</v>
      </c>
      <c r="R312" s="395" t="str">
        <f t="shared" si="18"/>
        <v>NO</v>
      </c>
      <c r="S312" s="417" t="str">
        <f t="shared" si="17"/>
        <v>Inviable Sanitariamente</v>
      </c>
      <c r="T312" s="16"/>
    </row>
    <row r="313" spans="1:20" ht="32.1" customHeight="1" x14ac:dyDescent="0.2">
      <c r="A313" s="412" t="s">
        <v>171</v>
      </c>
      <c r="B313" s="412" t="s">
        <v>2250</v>
      </c>
      <c r="C313" s="419" t="s">
        <v>2251</v>
      </c>
      <c r="D313" s="364">
        <v>18</v>
      </c>
      <c r="E313" s="415"/>
      <c r="F313" s="415"/>
      <c r="G313" s="415"/>
      <c r="H313" s="415"/>
      <c r="I313" s="415"/>
      <c r="J313" s="415">
        <v>97.35</v>
      </c>
      <c r="K313" s="415"/>
      <c r="L313" s="415"/>
      <c r="M313" s="415"/>
      <c r="N313" s="415"/>
      <c r="O313" s="415"/>
      <c r="P313" s="415"/>
      <c r="Q313" s="416">
        <f t="shared" si="19"/>
        <v>97.35</v>
      </c>
      <c r="R313" s="395" t="str">
        <f t="shared" si="18"/>
        <v>NO</v>
      </c>
      <c r="S313" s="417" t="str">
        <f t="shared" si="17"/>
        <v>Inviable Sanitariamente</v>
      </c>
      <c r="T313" s="16"/>
    </row>
    <row r="314" spans="1:20" ht="32.1" customHeight="1" x14ac:dyDescent="0.2">
      <c r="A314" s="412" t="s">
        <v>171</v>
      </c>
      <c r="B314" s="412" t="s">
        <v>2252</v>
      </c>
      <c r="C314" s="419" t="s">
        <v>2253</v>
      </c>
      <c r="D314" s="413">
        <v>37</v>
      </c>
      <c r="E314" s="415">
        <v>97.35</v>
      </c>
      <c r="F314" s="415"/>
      <c r="G314" s="415"/>
      <c r="H314" s="415"/>
      <c r="I314" s="415"/>
      <c r="J314" s="415"/>
      <c r="K314" s="415"/>
      <c r="L314" s="415"/>
      <c r="M314" s="415"/>
      <c r="N314" s="415"/>
      <c r="O314" s="415"/>
      <c r="P314" s="415"/>
      <c r="Q314" s="416">
        <f t="shared" si="19"/>
        <v>97.35</v>
      </c>
      <c r="R314" s="395" t="str">
        <f t="shared" si="18"/>
        <v>NO</v>
      </c>
      <c r="S314" s="417" t="str">
        <f t="shared" si="17"/>
        <v>Inviable Sanitariamente</v>
      </c>
      <c r="T314" s="16"/>
    </row>
    <row r="315" spans="1:20" ht="32.1" customHeight="1" x14ac:dyDescent="0.2">
      <c r="A315" s="412" t="s">
        <v>171</v>
      </c>
      <c r="B315" s="406" t="s">
        <v>2254</v>
      </c>
      <c r="C315" s="420" t="s">
        <v>2255</v>
      </c>
      <c r="D315" s="364">
        <v>120</v>
      </c>
      <c r="E315" s="415">
        <v>97.35</v>
      </c>
      <c r="F315" s="415"/>
      <c r="G315" s="415"/>
      <c r="H315" s="415"/>
      <c r="I315" s="415"/>
      <c r="J315" s="415"/>
      <c r="K315" s="415"/>
      <c r="L315" s="415"/>
      <c r="M315" s="415"/>
      <c r="N315" s="415"/>
      <c r="O315" s="415"/>
      <c r="P315" s="415"/>
      <c r="Q315" s="416">
        <f t="shared" si="19"/>
        <v>97.35</v>
      </c>
      <c r="R315" s="395" t="str">
        <f t="shared" si="18"/>
        <v>NO</v>
      </c>
      <c r="S315" s="417" t="str">
        <f t="shared" si="17"/>
        <v>Inviable Sanitariamente</v>
      </c>
      <c r="T315" s="16"/>
    </row>
    <row r="316" spans="1:20" ht="32.1" customHeight="1" x14ac:dyDescent="0.2">
      <c r="A316" s="412" t="s">
        <v>171</v>
      </c>
      <c r="B316" s="406" t="s">
        <v>2256</v>
      </c>
      <c r="C316" s="420" t="s">
        <v>2257</v>
      </c>
      <c r="D316" s="364">
        <v>64</v>
      </c>
      <c r="E316" s="415"/>
      <c r="F316" s="415"/>
      <c r="G316" s="415"/>
      <c r="H316" s="415"/>
      <c r="I316" s="415"/>
      <c r="J316" s="415"/>
      <c r="K316" s="415"/>
      <c r="L316" s="415"/>
      <c r="M316" s="415"/>
      <c r="N316" s="415">
        <v>97.4</v>
      </c>
      <c r="O316" s="415"/>
      <c r="P316" s="415"/>
      <c r="Q316" s="416">
        <f t="shared" si="19"/>
        <v>97.4</v>
      </c>
      <c r="R316" s="395" t="str">
        <f t="shared" si="18"/>
        <v>NO</v>
      </c>
      <c r="S316" s="417" t="str">
        <f t="shared" si="17"/>
        <v>Inviable Sanitariamente</v>
      </c>
      <c r="T316" s="16"/>
    </row>
    <row r="317" spans="1:20" ht="32.1" customHeight="1" x14ac:dyDescent="0.2">
      <c r="A317" s="412" t="s">
        <v>171</v>
      </c>
      <c r="B317" s="412" t="s">
        <v>2258</v>
      </c>
      <c r="C317" s="419" t="s">
        <v>2259</v>
      </c>
      <c r="D317" s="413">
        <v>57</v>
      </c>
      <c r="E317" s="415"/>
      <c r="F317" s="415"/>
      <c r="G317" s="415"/>
      <c r="H317" s="415"/>
      <c r="I317" s="415"/>
      <c r="J317" s="415"/>
      <c r="K317" s="415"/>
      <c r="L317" s="415"/>
      <c r="M317" s="415"/>
      <c r="N317" s="415">
        <v>97.4</v>
      </c>
      <c r="O317" s="415"/>
      <c r="P317" s="415"/>
      <c r="Q317" s="416">
        <f t="shared" si="19"/>
        <v>97.4</v>
      </c>
      <c r="R317" s="395" t="str">
        <f t="shared" si="18"/>
        <v>NO</v>
      </c>
      <c r="S317" s="417" t="str">
        <f t="shared" si="17"/>
        <v>Inviable Sanitariamente</v>
      </c>
      <c r="T317" s="16"/>
    </row>
    <row r="318" spans="1:20" ht="32.1" customHeight="1" x14ac:dyDescent="0.2">
      <c r="A318" s="412" t="s">
        <v>171</v>
      </c>
      <c r="B318" s="412" t="s">
        <v>2260</v>
      </c>
      <c r="C318" s="419" t="s">
        <v>2261</v>
      </c>
      <c r="D318" s="413">
        <v>28</v>
      </c>
      <c r="E318" s="415">
        <v>26.55</v>
      </c>
      <c r="F318" s="415"/>
      <c r="G318" s="415"/>
      <c r="H318" s="415"/>
      <c r="I318" s="415"/>
      <c r="J318" s="415">
        <v>100</v>
      </c>
      <c r="K318" s="415"/>
      <c r="L318" s="415"/>
      <c r="M318" s="415"/>
      <c r="N318" s="415"/>
      <c r="O318" s="415"/>
      <c r="P318" s="415"/>
      <c r="Q318" s="416">
        <f t="shared" si="19"/>
        <v>63.274999999999999</v>
      </c>
      <c r="R318" s="395" t="str">
        <f t="shared" si="18"/>
        <v>NO</v>
      </c>
      <c r="S318" s="417" t="str">
        <f t="shared" si="17"/>
        <v>Alto</v>
      </c>
      <c r="T318" s="16"/>
    </row>
    <row r="319" spans="1:20" ht="32.1" customHeight="1" x14ac:dyDescent="0.2">
      <c r="A319" s="412" t="s">
        <v>171</v>
      </c>
      <c r="B319" s="412" t="s">
        <v>2262</v>
      </c>
      <c r="C319" s="419" t="s">
        <v>2263</v>
      </c>
      <c r="D319" s="413">
        <v>59</v>
      </c>
      <c r="E319" s="415">
        <v>26.55</v>
      </c>
      <c r="F319" s="415"/>
      <c r="G319" s="415"/>
      <c r="H319" s="415"/>
      <c r="I319" s="415"/>
      <c r="J319" s="415">
        <v>0</v>
      </c>
      <c r="K319" s="415"/>
      <c r="L319" s="415"/>
      <c r="M319" s="415"/>
      <c r="N319" s="415"/>
      <c r="O319" s="415"/>
      <c r="P319" s="415"/>
      <c r="Q319" s="416">
        <f t="shared" si="19"/>
        <v>13.275</v>
      </c>
      <c r="R319" s="395" t="str">
        <f t="shared" si="18"/>
        <v>NO</v>
      </c>
      <c r="S319" s="417" t="str">
        <f t="shared" si="17"/>
        <v>Bajo</v>
      </c>
      <c r="T319" s="16"/>
    </row>
    <row r="320" spans="1:20" ht="32.1" customHeight="1" x14ac:dyDescent="0.2">
      <c r="A320" s="412" t="s">
        <v>171</v>
      </c>
      <c r="B320" s="412" t="s">
        <v>2264</v>
      </c>
      <c r="C320" s="419" t="s">
        <v>2265</v>
      </c>
      <c r="D320" s="364">
        <v>22</v>
      </c>
      <c r="E320" s="415"/>
      <c r="F320" s="415"/>
      <c r="G320" s="415"/>
      <c r="H320" s="415"/>
      <c r="I320" s="415">
        <v>97.35</v>
      </c>
      <c r="J320" s="415"/>
      <c r="K320" s="415"/>
      <c r="L320" s="415"/>
      <c r="M320" s="415"/>
      <c r="N320" s="415"/>
      <c r="O320" s="415"/>
      <c r="P320" s="415"/>
      <c r="Q320" s="416">
        <f t="shared" si="19"/>
        <v>97.35</v>
      </c>
      <c r="R320" s="395" t="str">
        <f t="shared" si="18"/>
        <v>NO</v>
      </c>
      <c r="S320" s="417" t="str">
        <f t="shared" si="17"/>
        <v>Inviable Sanitariamente</v>
      </c>
      <c r="T320" s="16"/>
    </row>
    <row r="321" spans="1:20" ht="32.1" customHeight="1" x14ac:dyDescent="0.2">
      <c r="A321" s="412" t="s">
        <v>171</v>
      </c>
      <c r="B321" s="412" t="s">
        <v>2266</v>
      </c>
      <c r="C321" s="419" t="s">
        <v>2267</v>
      </c>
      <c r="D321" s="364"/>
      <c r="E321" s="415"/>
      <c r="F321" s="415"/>
      <c r="G321" s="415"/>
      <c r="H321" s="415"/>
      <c r="I321" s="415"/>
      <c r="J321" s="415"/>
      <c r="K321" s="415"/>
      <c r="L321" s="415"/>
      <c r="M321" s="415"/>
      <c r="N321" s="415"/>
      <c r="O321" s="415"/>
      <c r="P321" s="415"/>
      <c r="Q321" s="416" t="e">
        <f t="shared" si="19"/>
        <v>#DIV/0!</v>
      </c>
      <c r="R321" s="395" t="e">
        <f t="shared" si="18"/>
        <v>#DIV/0!</v>
      </c>
      <c r="S321" s="417" t="e">
        <f t="shared" si="17"/>
        <v>#DIV/0!</v>
      </c>
      <c r="T321" s="16"/>
    </row>
    <row r="322" spans="1:20" ht="32.1" customHeight="1" x14ac:dyDescent="0.2">
      <c r="A322" s="412" t="s">
        <v>172</v>
      </c>
      <c r="B322" s="437" t="s">
        <v>2268</v>
      </c>
      <c r="C322" s="419" t="s">
        <v>2269</v>
      </c>
      <c r="D322" s="364">
        <v>32</v>
      </c>
      <c r="E322" s="415"/>
      <c r="F322" s="415"/>
      <c r="G322" s="415"/>
      <c r="H322" s="415">
        <v>97.35</v>
      </c>
      <c r="I322" s="415"/>
      <c r="J322" s="415"/>
      <c r="K322" s="415"/>
      <c r="L322" s="415"/>
      <c r="M322" s="415">
        <v>97.4</v>
      </c>
      <c r="N322" s="415"/>
      <c r="O322" s="415"/>
      <c r="P322" s="415"/>
      <c r="Q322" s="416">
        <f t="shared" si="19"/>
        <v>97.375</v>
      </c>
      <c r="R322" s="395" t="str">
        <f t="shared" si="18"/>
        <v>NO</v>
      </c>
      <c r="S322" s="417" t="str">
        <f t="shared" si="17"/>
        <v>Inviable Sanitariamente</v>
      </c>
      <c r="T322" s="16"/>
    </row>
    <row r="323" spans="1:20" ht="32.1" customHeight="1" x14ac:dyDescent="0.2">
      <c r="A323" s="412" t="s">
        <v>172</v>
      </c>
      <c r="B323" s="437" t="s">
        <v>2270</v>
      </c>
      <c r="C323" s="419" t="s">
        <v>2271</v>
      </c>
      <c r="D323" s="364">
        <v>22</v>
      </c>
      <c r="E323" s="415"/>
      <c r="F323" s="415"/>
      <c r="G323" s="415"/>
      <c r="H323" s="415">
        <v>97.35</v>
      </c>
      <c r="I323" s="415"/>
      <c r="J323" s="415"/>
      <c r="K323" s="415"/>
      <c r="L323" s="415"/>
      <c r="M323" s="415">
        <v>97.4</v>
      </c>
      <c r="N323" s="415"/>
      <c r="O323" s="415"/>
      <c r="P323" s="415"/>
      <c r="Q323" s="416">
        <f t="shared" si="19"/>
        <v>97.375</v>
      </c>
      <c r="R323" s="395" t="str">
        <f t="shared" si="18"/>
        <v>NO</v>
      </c>
      <c r="S323" s="417" t="str">
        <f t="shared" si="17"/>
        <v>Inviable Sanitariamente</v>
      </c>
      <c r="T323" s="16"/>
    </row>
    <row r="324" spans="1:20" ht="32.1" customHeight="1" x14ac:dyDescent="0.2">
      <c r="A324" s="412" t="s">
        <v>172</v>
      </c>
      <c r="B324" s="437" t="s">
        <v>2272</v>
      </c>
      <c r="C324" s="419" t="s">
        <v>2273</v>
      </c>
      <c r="D324" s="364">
        <v>29</v>
      </c>
      <c r="E324" s="415"/>
      <c r="F324" s="415"/>
      <c r="G324" s="415"/>
      <c r="H324" s="415">
        <v>97.35</v>
      </c>
      <c r="I324" s="415"/>
      <c r="J324" s="415"/>
      <c r="K324" s="415"/>
      <c r="L324" s="415"/>
      <c r="M324" s="415">
        <v>97.4</v>
      </c>
      <c r="N324" s="415"/>
      <c r="O324" s="415"/>
      <c r="P324" s="415"/>
      <c r="Q324" s="416">
        <f t="shared" si="19"/>
        <v>97.375</v>
      </c>
      <c r="R324" s="395" t="str">
        <f t="shared" si="18"/>
        <v>NO</v>
      </c>
      <c r="S324" s="417" t="str">
        <f t="shared" si="17"/>
        <v>Inviable Sanitariamente</v>
      </c>
      <c r="T324" s="16"/>
    </row>
    <row r="325" spans="1:20" ht="32.1" customHeight="1" x14ac:dyDescent="0.2">
      <c r="A325" s="412" t="s">
        <v>172</v>
      </c>
      <c r="B325" s="437" t="s">
        <v>2274</v>
      </c>
      <c r="C325" s="419" t="s">
        <v>2275</v>
      </c>
      <c r="D325" s="364">
        <v>29</v>
      </c>
      <c r="E325" s="415"/>
      <c r="F325" s="415"/>
      <c r="G325" s="415"/>
      <c r="H325" s="415">
        <v>97.35</v>
      </c>
      <c r="I325" s="415"/>
      <c r="J325" s="415"/>
      <c r="K325" s="415"/>
      <c r="L325" s="415"/>
      <c r="M325" s="415">
        <v>97.4</v>
      </c>
      <c r="N325" s="415"/>
      <c r="O325" s="415"/>
      <c r="P325" s="415"/>
      <c r="Q325" s="416">
        <f t="shared" si="19"/>
        <v>97.375</v>
      </c>
      <c r="R325" s="395" t="str">
        <f t="shared" si="18"/>
        <v>NO</v>
      </c>
      <c r="S325" s="417" t="str">
        <f t="shared" si="17"/>
        <v>Inviable Sanitariamente</v>
      </c>
      <c r="T325" s="16"/>
    </row>
    <row r="326" spans="1:20" ht="32.1" customHeight="1" x14ac:dyDescent="0.2">
      <c r="A326" s="412" t="s">
        <v>172</v>
      </c>
      <c r="B326" s="437" t="s">
        <v>2276</v>
      </c>
      <c r="C326" s="419" t="s">
        <v>2277</v>
      </c>
      <c r="D326" s="364">
        <v>34</v>
      </c>
      <c r="E326" s="415"/>
      <c r="F326" s="415"/>
      <c r="G326" s="415"/>
      <c r="H326" s="415">
        <v>97.35</v>
      </c>
      <c r="I326" s="415"/>
      <c r="J326" s="415"/>
      <c r="K326" s="415"/>
      <c r="L326" s="415"/>
      <c r="M326" s="415">
        <v>97.4</v>
      </c>
      <c r="N326" s="415"/>
      <c r="O326" s="415"/>
      <c r="P326" s="415"/>
      <c r="Q326" s="416">
        <f t="shared" si="19"/>
        <v>97.375</v>
      </c>
      <c r="R326" s="395" t="str">
        <f t="shared" si="18"/>
        <v>NO</v>
      </c>
      <c r="S326" s="417" t="str">
        <f t="shared" si="17"/>
        <v>Inviable Sanitariamente</v>
      </c>
      <c r="T326" s="16"/>
    </row>
    <row r="327" spans="1:20" ht="32.1" customHeight="1" x14ac:dyDescent="0.2">
      <c r="A327" s="412" t="s">
        <v>172</v>
      </c>
      <c r="B327" s="437" t="s">
        <v>2278</v>
      </c>
      <c r="C327" s="419" t="s">
        <v>2279</v>
      </c>
      <c r="D327" s="364">
        <v>75</v>
      </c>
      <c r="E327" s="415"/>
      <c r="F327" s="415"/>
      <c r="G327" s="415"/>
      <c r="H327" s="415">
        <v>97.35</v>
      </c>
      <c r="I327" s="415"/>
      <c r="J327" s="415"/>
      <c r="K327" s="415"/>
      <c r="L327" s="415"/>
      <c r="M327" s="415">
        <v>97.4</v>
      </c>
      <c r="N327" s="415"/>
      <c r="O327" s="415"/>
      <c r="P327" s="415"/>
      <c r="Q327" s="416">
        <f t="shared" si="19"/>
        <v>97.375</v>
      </c>
      <c r="R327" s="395" t="str">
        <f t="shared" si="18"/>
        <v>NO</v>
      </c>
      <c r="S327" s="417" t="str">
        <f t="shared" si="17"/>
        <v>Inviable Sanitariamente</v>
      </c>
      <c r="T327" s="16"/>
    </row>
    <row r="328" spans="1:20" ht="32.1" customHeight="1" x14ac:dyDescent="0.2">
      <c r="A328" s="412" t="s">
        <v>173</v>
      </c>
      <c r="B328" s="412" t="s">
        <v>2280</v>
      </c>
      <c r="C328" s="419" t="s">
        <v>2281</v>
      </c>
      <c r="D328" s="364">
        <v>51</v>
      </c>
      <c r="E328" s="415"/>
      <c r="F328" s="415"/>
      <c r="G328" s="415">
        <v>53</v>
      </c>
      <c r="H328" s="415"/>
      <c r="I328" s="415"/>
      <c r="J328" s="415"/>
      <c r="K328" s="415"/>
      <c r="L328" s="415"/>
      <c r="M328" s="415"/>
      <c r="N328" s="415"/>
      <c r="O328" s="415"/>
      <c r="P328" s="415"/>
      <c r="Q328" s="416">
        <f t="shared" si="19"/>
        <v>53</v>
      </c>
      <c r="R328" s="395" t="str">
        <f t="shared" si="18"/>
        <v>NO</v>
      </c>
      <c r="S328" s="417" t="str">
        <f t="shared" si="17"/>
        <v>Alto</v>
      </c>
      <c r="T328" s="16"/>
    </row>
    <row r="329" spans="1:20" ht="32.1" customHeight="1" x14ac:dyDescent="0.2">
      <c r="A329" s="412" t="s">
        <v>173</v>
      </c>
      <c r="B329" s="412" t="s">
        <v>966</v>
      </c>
      <c r="C329" s="419" t="s">
        <v>2282</v>
      </c>
      <c r="D329" s="364"/>
      <c r="E329" s="415"/>
      <c r="F329" s="415"/>
      <c r="G329" s="415"/>
      <c r="H329" s="415"/>
      <c r="I329" s="415"/>
      <c r="J329" s="415"/>
      <c r="K329" s="415"/>
      <c r="L329" s="415"/>
      <c r="M329" s="415"/>
      <c r="N329" s="415"/>
      <c r="O329" s="415"/>
      <c r="P329" s="415"/>
      <c r="Q329" s="416" t="e">
        <f t="shared" si="19"/>
        <v>#DIV/0!</v>
      </c>
      <c r="R329" s="395" t="e">
        <f t="shared" si="18"/>
        <v>#DIV/0!</v>
      </c>
      <c r="S329" s="417" t="e">
        <f t="shared" si="17"/>
        <v>#DIV/0!</v>
      </c>
      <c r="T329" s="16"/>
    </row>
    <row r="330" spans="1:20" ht="32.1" customHeight="1" x14ac:dyDescent="0.2">
      <c r="A330" s="412" t="s">
        <v>173</v>
      </c>
      <c r="B330" s="412" t="s">
        <v>2283</v>
      </c>
      <c r="C330" s="419" t="s">
        <v>2284</v>
      </c>
      <c r="D330" s="364">
        <v>28</v>
      </c>
      <c r="E330" s="415"/>
      <c r="F330" s="415"/>
      <c r="G330" s="415">
        <v>53</v>
      </c>
      <c r="H330" s="415"/>
      <c r="I330" s="415">
        <v>53</v>
      </c>
      <c r="J330" s="415"/>
      <c r="K330" s="415"/>
      <c r="L330" s="415"/>
      <c r="M330" s="415"/>
      <c r="N330" s="415"/>
      <c r="O330" s="415"/>
      <c r="P330" s="415"/>
      <c r="Q330" s="416">
        <f t="shared" si="19"/>
        <v>53</v>
      </c>
      <c r="R330" s="395" t="str">
        <f t="shared" si="18"/>
        <v>NO</v>
      </c>
      <c r="S330" s="417" t="str">
        <f t="shared" si="17"/>
        <v>Alto</v>
      </c>
      <c r="T330" s="16"/>
    </row>
    <row r="331" spans="1:20" ht="32.1" customHeight="1" x14ac:dyDescent="0.2">
      <c r="A331" s="412" t="s">
        <v>173</v>
      </c>
      <c r="B331" s="412" t="s">
        <v>2285</v>
      </c>
      <c r="C331" s="419" t="s">
        <v>2286</v>
      </c>
      <c r="D331" s="413">
        <v>28</v>
      </c>
      <c r="E331" s="415"/>
      <c r="F331" s="415"/>
      <c r="G331" s="415"/>
      <c r="H331" s="415"/>
      <c r="I331" s="415"/>
      <c r="J331" s="415"/>
      <c r="K331" s="415">
        <v>53</v>
      </c>
      <c r="L331" s="415"/>
      <c r="M331" s="415"/>
      <c r="N331" s="415"/>
      <c r="O331" s="415">
        <v>53</v>
      </c>
      <c r="P331" s="415"/>
      <c r="Q331" s="416">
        <f t="shared" si="19"/>
        <v>53</v>
      </c>
      <c r="R331" s="395" t="str">
        <f t="shared" si="18"/>
        <v>NO</v>
      </c>
      <c r="S331" s="417" t="str">
        <f t="shared" ref="S331:S395" si="20">IF(Q331&lt;5,"Sin Riesgo",IF(Q331 &lt;=14,"Bajo",IF(Q331&lt;=35,"Medio",IF(Q331&lt;=80,"Alto","Inviable Sanitariamente"))))</f>
        <v>Alto</v>
      </c>
      <c r="T331" s="16"/>
    </row>
    <row r="332" spans="1:20" ht="32.1" customHeight="1" x14ac:dyDescent="0.2">
      <c r="A332" s="412" t="s">
        <v>173</v>
      </c>
      <c r="B332" s="412" t="s">
        <v>2287</v>
      </c>
      <c r="C332" s="419" t="s">
        <v>2288</v>
      </c>
      <c r="D332" s="413">
        <v>33</v>
      </c>
      <c r="E332" s="415"/>
      <c r="F332" s="415"/>
      <c r="G332" s="415">
        <v>53</v>
      </c>
      <c r="H332" s="415"/>
      <c r="I332" s="415"/>
      <c r="J332" s="415"/>
      <c r="K332" s="415"/>
      <c r="L332" s="415"/>
      <c r="M332" s="415"/>
      <c r="N332" s="415"/>
      <c r="O332" s="415"/>
      <c r="P332" s="415"/>
      <c r="Q332" s="416">
        <f t="shared" si="19"/>
        <v>53</v>
      </c>
      <c r="R332" s="395" t="str">
        <f t="shared" si="18"/>
        <v>NO</v>
      </c>
      <c r="S332" s="417" t="str">
        <f t="shared" si="20"/>
        <v>Alto</v>
      </c>
      <c r="T332" s="16"/>
    </row>
    <row r="333" spans="1:20" ht="32.1" customHeight="1" x14ac:dyDescent="0.2">
      <c r="A333" s="412" t="s">
        <v>173</v>
      </c>
      <c r="B333" s="412" t="s">
        <v>2289</v>
      </c>
      <c r="C333" s="419" t="s">
        <v>2290</v>
      </c>
      <c r="D333" s="364">
        <v>55</v>
      </c>
      <c r="E333" s="415"/>
      <c r="F333" s="415"/>
      <c r="G333" s="415"/>
      <c r="H333" s="415"/>
      <c r="I333" s="415"/>
      <c r="J333" s="415">
        <v>53</v>
      </c>
      <c r="K333" s="415"/>
      <c r="L333" s="415"/>
      <c r="M333" s="415"/>
      <c r="N333" s="415"/>
      <c r="O333" s="415"/>
      <c r="P333" s="415"/>
      <c r="Q333" s="416">
        <f t="shared" si="19"/>
        <v>53</v>
      </c>
      <c r="R333" s="395" t="str">
        <f t="shared" si="18"/>
        <v>NO</v>
      </c>
      <c r="S333" s="417" t="str">
        <f t="shared" si="20"/>
        <v>Alto</v>
      </c>
      <c r="T333" s="16"/>
    </row>
    <row r="334" spans="1:20" ht="32.1" customHeight="1" x14ac:dyDescent="0.2">
      <c r="A334" s="412" t="s">
        <v>173</v>
      </c>
      <c r="B334" s="412" t="s">
        <v>2291</v>
      </c>
      <c r="C334" s="419" t="s">
        <v>2292</v>
      </c>
      <c r="D334" s="364">
        <v>54</v>
      </c>
      <c r="E334" s="415"/>
      <c r="F334" s="415">
        <v>0</v>
      </c>
      <c r="G334" s="415"/>
      <c r="H334" s="415"/>
      <c r="I334" s="415"/>
      <c r="J334" s="415"/>
      <c r="K334" s="415"/>
      <c r="L334" s="415"/>
      <c r="M334" s="415"/>
      <c r="N334" s="415">
        <v>0</v>
      </c>
      <c r="O334" s="415"/>
      <c r="P334" s="415"/>
      <c r="Q334" s="416">
        <f t="shared" si="19"/>
        <v>0</v>
      </c>
      <c r="R334" s="395" t="str">
        <f t="shared" si="18"/>
        <v>SI</v>
      </c>
      <c r="S334" s="417" t="str">
        <f t="shared" si="20"/>
        <v>Sin Riesgo</v>
      </c>
      <c r="T334" s="16"/>
    </row>
    <row r="335" spans="1:20" ht="32.1" customHeight="1" x14ac:dyDescent="0.2">
      <c r="A335" s="412" t="s">
        <v>173</v>
      </c>
      <c r="B335" s="406" t="s">
        <v>2293</v>
      </c>
      <c r="C335" s="420" t="s">
        <v>2294</v>
      </c>
      <c r="D335" s="413">
        <v>67</v>
      </c>
      <c r="E335" s="415"/>
      <c r="F335" s="415"/>
      <c r="G335" s="415">
        <v>53</v>
      </c>
      <c r="H335" s="415"/>
      <c r="I335" s="415"/>
      <c r="J335" s="415"/>
      <c r="K335" s="415"/>
      <c r="L335" s="415"/>
      <c r="M335" s="415"/>
      <c r="N335" s="415">
        <v>53</v>
      </c>
      <c r="O335" s="415"/>
      <c r="P335" s="415"/>
      <c r="Q335" s="416">
        <f t="shared" si="19"/>
        <v>53</v>
      </c>
      <c r="R335" s="395" t="str">
        <f t="shared" si="18"/>
        <v>NO</v>
      </c>
      <c r="S335" s="417" t="str">
        <f t="shared" si="20"/>
        <v>Alto</v>
      </c>
      <c r="T335" s="16"/>
    </row>
    <row r="336" spans="1:20" ht="32.1" customHeight="1" x14ac:dyDescent="0.2">
      <c r="A336" s="412" t="s">
        <v>173</v>
      </c>
      <c r="B336" s="412" t="s">
        <v>61</v>
      </c>
      <c r="C336" s="419" t="s">
        <v>2295</v>
      </c>
      <c r="D336" s="413">
        <v>20</v>
      </c>
      <c r="E336" s="415"/>
      <c r="F336" s="415"/>
      <c r="G336" s="415"/>
      <c r="H336" s="415"/>
      <c r="I336" s="415">
        <v>53</v>
      </c>
      <c r="J336" s="415"/>
      <c r="K336" s="415"/>
      <c r="L336" s="415"/>
      <c r="M336" s="415"/>
      <c r="N336" s="415"/>
      <c r="O336" s="415"/>
      <c r="P336" s="415"/>
      <c r="Q336" s="416">
        <f t="shared" si="19"/>
        <v>53</v>
      </c>
      <c r="R336" s="395" t="str">
        <f t="shared" si="18"/>
        <v>NO</v>
      </c>
      <c r="S336" s="417" t="str">
        <f t="shared" si="20"/>
        <v>Alto</v>
      </c>
      <c r="T336" s="16"/>
    </row>
    <row r="337" spans="1:20" ht="32.1" customHeight="1" x14ac:dyDescent="0.2">
      <c r="A337" s="412" t="s">
        <v>173</v>
      </c>
      <c r="B337" s="412" t="s">
        <v>2296</v>
      </c>
      <c r="C337" s="419" t="s">
        <v>2297</v>
      </c>
      <c r="D337" s="413">
        <v>24</v>
      </c>
      <c r="E337" s="415"/>
      <c r="F337" s="415">
        <v>53</v>
      </c>
      <c r="G337" s="415"/>
      <c r="H337" s="415"/>
      <c r="I337" s="415"/>
      <c r="J337" s="415"/>
      <c r="K337" s="415"/>
      <c r="L337" s="415"/>
      <c r="M337" s="415"/>
      <c r="N337" s="415"/>
      <c r="O337" s="415"/>
      <c r="P337" s="415"/>
      <c r="Q337" s="416">
        <f t="shared" si="19"/>
        <v>53</v>
      </c>
      <c r="R337" s="395" t="str">
        <f t="shared" si="18"/>
        <v>NO</v>
      </c>
      <c r="S337" s="417" t="str">
        <f t="shared" si="20"/>
        <v>Alto</v>
      </c>
      <c r="T337" s="16"/>
    </row>
    <row r="338" spans="1:20" ht="32.1" customHeight="1" x14ac:dyDescent="0.2">
      <c r="A338" s="412" t="s">
        <v>173</v>
      </c>
      <c r="B338" s="412" t="s">
        <v>2298</v>
      </c>
      <c r="C338" s="419" t="s">
        <v>2299</v>
      </c>
      <c r="D338" s="364">
        <v>26</v>
      </c>
      <c r="E338" s="415"/>
      <c r="F338" s="415"/>
      <c r="G338" s="415">
        <v>53</v>
      </c>
      <c r="H338" s="415"/>
      <c r="I338" s="415">
        <v>53</v>
      </c>
      <c r="J338" s="415"/>
      <c r="K338" s="415"/>
      <c r="L338" s="415"/>
      <c r="M338" s="415"/>
      <c r="N338" s="415"/>
      <c r="O338" s="415"/>
      <c r="P338" s="415"/>
      <c r="Q338" s="416">
        <f t="shared" si="19"/>
        <v>53</v>
      </c>
      <c r="R338" s="395" t="str">
        <f t="shared" si="18"/>
        <v>NO</v>
      </c>
      <c r="S338" s="417" t="str">
        <f t="shared" si="20"/>
        <v>Alto</v>
      </c>
      <c r="T338" s="16"/>
    </row>
    <row r="339" spans="1:20" ht="32.1" customHeight="1" x14ac:dyDescent="0.2">
      <c r="A339" s="412" t="s">
        <v>173</v>
      </c>
      <c r="B339" s="412" t="s">
        <v>2300</v>
      </c>
      <c r="C339" s="419" t="s">
        <v>2301</v>
      </c>
      <c r="D339" s="413">
        <v>180</v>
      </c>
      <c r="E339" s="415"/>
      <c r="F339" s="415">
        <v>0</v>
      </c>
      <c r="G339" s="415"/>
      <c r="H339" s="415"/>
      <c r="I339" s="415"/>
      <c r="J339" s="415"/>
      <c r="K339" s="415"/>
      <c r="L339" s="415"/>
      <c r="M339" s="415"/>
      <c r="N339" s="415">
        <v>0</v>
      </c>
      <c r="O339" s="415"/>
      <c r="P339" s="415"/>
      <c r="Q339" s="416">
        <f t="shared" si="19"/>
        <v>0</v>
      </c>
      <c r="R339" s="395" t="str">
        <f t="shared" si="18"/>
        <v>SI</v>
      </c>
      <c r="S339" s="417" t="str">
        <f t="shared" si="20"/>
        <v>Sin Riesgo</v>
      </c>
      <c r="T339" s="16"/>
    </row>
    <row r="340" spans="1:20" ht="32.1" customHeight="1" x14ac:dyDescent="0.2">
      <c r="A340" s="412" t="s">
        <v>173</v>
      </c>
      <c r="B340" s="412" t="s">
        <v>2302</v>
      </c>
      <c r="C340" s="419" t="s">
        <v>2303</v>
      </c>
      <c r="D340" s="364">
        <v>240</v>
      </c>
      <c r="E340" s="415"/>
      <c r="F340" s="415"/>
      <c r="G340" s="415">
        <v>53</v>
      </c>
      <c r="H340" s="415"/>
      <c r="I340" s="415">
        <v>53</v>
      </c>
      <c r="J340" s="415"/>
      <c r="K340" s="415"/>
      <c r="L340" s="415"/>
      <c r="M340" s="415"/>
      <c r="N340" s="415">
        <v>53</v>
      </c>
      <c r="O340" s="415"/>
      <c r="P340" s="415"/>
      <c r="Q340" s="416">
        <f t="shared" si="19"/>
        <v>53</v>
      </c>
      <c r="R340" s="395" t="str">
        <f t="shared" si="18"/>
        <v>NO</v>
      </c>
      <c r="S340" s="417" t="str">
        <f t="shared" si="20"/>
        <v>Alto</v>
      </c>
      <c r="T340" s="16"/>
    </row>
    <row r="341" spans="1:20" ht="32.1" customHeight="1" x14ac:dyDescent="0.2">
      <c r="A341" s="412" t="s">
        <v>173</v>
      </c>
      <c r="B341" s="412" t="s">
        <v>2304</v>
      </c>
      <c r="C341" s="419" t="s">
        <v>2305</v>
      </c>
      <c r="D341" s="364">
        <v>82</v>
      </c>
      <c r="E341" s="415"/>
      <c r="F341" s="415"/>
      <c r="G341" s="415"/>
      <c r="H341" s="415"/>
      <c r="I341" s="415">
        <v>0</v>
      </c>
      <c r="J341" s="415"/>
      <c r="K341" s="415"/>
      <c r="L341" s="415"/>
      <c r="M341" s="415"/>
      <c r="N341" s="415"/>
      <c r="O341" s="415"/>
      <c r="P341" s="415"/>
      <c r="Q341" s="416">
        <f t="shared" si="19"/>
        <v>0</v>
      </c>
      <c r="R341" s="395" t="str">
        <f t="shared" si="18"/>
        <v>SI</v>
      </c>
      <c r="S341" s="417" t="str">
        <f t="shared" si="20"/>
        <v>Sin Riesgo</v>
      </c>
      <c r="T341" s="16"/>
    </row>
    <row r="342" spans="1:20" ht="32.1" customHeight="1" x14ac:dyDescent="0.2">
      <c r="A342" s="412" t="s">
        <v>173</v>
      </c>
      <c r="B342" s="412" t="s">
        <v>2306</v>
      </c>
      <c r="C342" s="419" t="s">
        <v>2307</v>
      </c>
      <c r="D342" s="413">
        <v>102</v>
      </c>
      <c r="E342" s="415"/>
      <c r="F342" s="415">
        <v>53</v>
      </c>
      <c r="G342" s="415"/>
      <c r="H342" s="415"/>
      <c r="I342" s="415"/>
      <c r="J342" s="415"/>
      <c r="K342" s="415"/>
      <c r="L342" s="415"/>
      <c r="M342" s="415"/>
      <c r="N342" s="415">
        <v>53</v>
      </c>
      <c r="O342" s="415"/>
      <c r="P342" s="415"/>
      <c r="Q342" s="416">
        <f t="shared" si="19"/>
        <v>53</v>
      </c>
      <c r="R342" s="395" t="str">
        <f t="shared" si="18"/>
        <v>NO</v>
      </c>
      <c r="S342" s="417" t="str">
        <f t="shared" si="20"/>
        <v>Alto</v>
      </c>
      <c r="T342" s="16"/>
    </row>
    <row r="343" spans="1:20" ht="32.1" customHeight="1" x14ac:dyDescent="0.2">
      <c r="A343" s="412" t="s">
        <v>173</v>
      </c>
      <c r="B343" s="412" t="s">
        <v>2308</v>
      </c>
      <c r="C343" s="419" t="s">
        <v>2309</v>
      </c>
      <c r="D343" s="413">
        <v>22</v>
      </c>
      <c r="E343" s="415"/>
      <c r="F343" s="415">
        <v>53</v>
      </c>
      <c r="G343" s="415"/>
      <c r="H343" s="415"/>
      <c r="I343" s="415"/>
      <c r="J343" s="415"/>
      <c r="K343" s="415"/>
      <c r="L343" s="415"/>
      <c r="M343" s="415"/>
      <c r="N343" s="415"/>
      <c r="O343" s="415"/>
      <c r="P343" s="415"/>
      <c r="Q343" s="416">
        <f t="shared" si="19"/>
        <v>53</v>
      </c>
      <c r="R343" s="395" t="str">
        <f t="shared" si="18"/>
        <v>NO</v>
      </c>
      <c r="S343" s="417" t="str">
        <f t="shared" si="20"/>
        <v>Alto</v>
      </c>
      <c r="T343" s="16"/>
    </row>
    <row r="344" spans="1:20" ht="32.1" customHeight="1" x14ac:dyDescent="0.2">
      <c r="A344" s="412" t="s">
        <v>173</v>
      </c>
      <c r="B344" s="412" t="s">
        <v>2310</v>
      </c>
      <c r="C344" s="419" t="s">
        <v>2311</v>
      </c>
      <c r="D344" s="413">
        <v>109</v>
      </c>
      <c r="E344" s="415"/>
      <c r="F344" s="415"/>
      <c r="G344" s="415"/>
      <c r="H344" s="415"/>
      <c r="I344" s="415">
        <v>53</v>
      </c>
      <c r="J344" s="415"/>
      <c r="K344" s="415"/>
      <c r="L344" s="415"/>
      <c r="M344" s="415"/>
      <c r="N344" s="415"/>
      <c r="O344" s="415"/>
      <c r="P344" s="415"/>
      <c r="Q344" s="416">
        <f t="shared" si="19"/>
        <v>53</v>
      </c>
      <c r="R344" s="395" t="str">
        <f t="shared" si="18"/>
        <v>NO</v>
      </c>
      <c r="S344" s="417" t="str">
        <f t="shared" si="20"/>
        <v>Alto</v>
      </c>
      <c r="T344" s="16"/>
    </row>
    <row r="345" spans="1:20" ht="32.1" customHeight="1" x14ac:dyDescent="0.2">
      <c r="A345" s="412" t="s">
        <v>173</v>
      </c>
      <c r="B345" s="412" t="s">
        <v>2312</v>
      </c>
      <c r="C345" s="419" t="s">
        <v>2313</v>
      </c>
      <c r="D345" s="413">
        <v>45</v>
      </c>
      <c r="E345" s="415"/>
      <c r="F345" s="415"/>
      <c r="G345" s="415"/>
      <c r="H345" s="415"/>
      <c r="I345" s="415">
        <v>53</v>
      </c>
      <c r="J345" s="415"/>
      <c r="K345" s="415"/>
      <c r="L345" s="415"/>
      <c r="M345" s="415"/>
      <c r="N345" s="415"/>
      <c r="O345" s="415"/>
      <c r="P345" s="415"/>
      <c r="Q345" s="416">
        <f t="shared" si="19"/>
        <v>53</v>
      </c>
      <c r="R345" s="395" t="str">
        <f t="shared" si="18"/>
        <v>NO</v>
      </c>
      <c r="S345" s="417" t="str">
        <f t="shared" si="20"/>
        <v>Alto</v>
      </c>
      <c r="T345" s="16"/>
    </row>
    <row r="346" spans="1:20" ht="32.1" customHeight="1" x14ac:dyDescent="0.2">
      <c r="A346" s="412" t="s">
        <v>173</v>
      </c>
      <c r="B346" s="412" t="s">
        <v>995</v>
      </c>
      <c r="C346" s="419" t="s">
        <v>2314</v>
      </c>
      <c r="D346" s="413">
        <v>44</v>
      </c>
      <c r="E346" s="415"/>
      <c r="F346" s="415"/>
      <c r="G346" s="415"/>
      <c r="H346" s="415"/>
      <c r="I346" s="415">
        <v>0</v>
      </c>
      <c r="J346" s="415"/>
      <c r="K346" s="415"/>
      <c r="L346" s="415"/>
      <c r="M346" s="415"/>
      <c r="N346" s="415"/>
      <c r="O346" s="415"/>
      <c r="P346" s="415"/>
      <c r="Q346" s="416">
        <f t="shared" si="19"/>
        <v>0</v>
      </c>
      <c r="R346" s="395" t="str">
        <f t="shared" si="18"/>
        <v>SI</v>
      </c>
      <c r="S346" s="417" t="str">
        <f t="shared" si="20"/>
        <v>Sin Riesgo</v>
      </c>
      <c r="T346" s="16"/>
    </row>
    <row r="347" spans="1:20" ht="32.1" customHeight="1" x14ac:dyDescent="0.2">
      <c r="A347" s="412" t="s">
        <v>173</v>
      </c>
      <c r="B347" s="412" t="s">
        <v>2315</v>
      </c>
      <c r="C347" s="419" t="s">
        <v>2316</v>
      </c>
      <c r="D347" s="413" t="s">
        <v>2317</v>
      </c>
      <c r="E347" s="415"/>
      <c r="F347" s="415"/>
      <c r="G347" s="415"/>
      <c r="H347" s="415"/>
      <c r="I347" s="415"/>
      <c r="J347" s="415"/>
      <c r="K347" s="415"/>
      <c r="L347" s="415"/>
      <c r="M347" s="415"/>
      <c r="N347" s="415"/>
      <c r="O347" s="415"/>
      <c r="P347" s="415"/>
      <c r="Q347" s="416" t="e">
        <f t="shared" si="19"/>
        <v>#DIV/0!</v>
      </c>
      <c r="R347" s="395" t="e">
        <f t="shared" si="18"/>
        <v>#DIV/0!</v>
      </c>
      <c r="S347" s="417" t="e">
        <f t="shared" si="20"/>
        <v>#DIV/0!</v>
      </c>
      <c r="T347" s="16"/>
    </row>
    <row r="348" spans="1:20" ht="32.1" customHeight="1" x14ac:dyDescent="0.2">
      <c r="A348" s="412" t="s">
        <v>173</v>
      </c>
      <c r="B348" s="406" t="s">
        <v>2318</v>
      </c>
      <c r="C348" s="420" t="s">
        <v>2319</v>
      </c>
      <c r="D348" s="413"/>
      <c r="E348" s="415"/>
      <c r="F348" s="415"/>
      <c r="G348" s="415"/>
      <c r="H348" s="415"/>
      <c r="I348" s="415"/>
      <c r="J348" s="415"/>
      <c r="K348" s="415"/>
      <c r="L348" s="415"/>
      <c r="M348" s="415"/>
      <c r="N348" s="415"/>
      <c r="O348" s="415"/>
      <c r="P348" s="415"/>
      <c r="Q348" s="416" t="e">
        <f t="shared" si="19"/>
        <v>#DIV/0!</v>
      </c>
      <c r="R348" s="395" t="e">
        <f t="shared" si="18"/>
        <v>#DIV/0!</v>
      </c>
      <c r="S348" s="417" t="e">
        <f t="shared" si="20"/>
        <v>#DIV/0!</v>
      </c>
      <c r="T348" s="16"/>
    </row>
    <row r="349" spans="1:20" ht="32.1" customHeight="1" x14ac:dyDescent="0.2">
      <c r="A349" s="412" t="s">
        <v>173</v>
      </c>
      <c r="B349" s="412" t="s">
        <v>2320</v>
      </c>
      <c r="C349" s="420" t="s">
        <v>2321</v>
      </c>
      <c r="D349" s="413">
        <v>28</v>
      </c>
      <c r="E349" s="415"/>
      <c r="F349" s="415">
        <v>53</v>
      </c>
      <c r="G349" s="415"/>
      <c r="H349" s="415"/>
      <c r="I349" s="415"/>
      <c r="J349" s="415"/>
      <c r="K349" s="415"/>
      <c r="L349" s="415"/>
      <c r="M349" s="415"/>
      <c r="N349" s="415"/>
      <c r="O349" s="415">
        <v>53</v>
      </c>
      <c r="P349" s="415"/>
      <c r="Q349" s="416">
        <f t="shared" si="19"/>
        <v>53</v>
      </c>
      <c r="R349" s="395" t="str">
        <f t="shared" si="18"/>
        <v>NO</v>
      </c>
      <c r="S349" s="417" t="str">
        <f t="shared" si="20"/>
        <v>Alto</v>
      </c>
      <c r="T349" s="16"/>
    </row>
    <row r="350" spans="1:20" ht="32.1" customHeight="1" x14ac:dyDescent="0.2">
      <c r="A350" s="412" t="s">
        <v>173</v>
      </c>
      <c r="B350" s="406" t="s">
        <v>2322</v>
      </c>
      <c r="C350" s="420" t="s">
        <v>2323</v>
      </c>
      <c r="D350" s="364">
        <v>21</v>
      </c>
      <c r="E350" s="415"/>
      <c r="F350" s="415">
        <v>53</v>
      </c>
      <c r="G350" s="415"/>
      <c r="H350" s="415"/>
      <c r="I350" s="415"/>
      <c r="J350" s="415"/>
      <c r="K350" s="415"/>
      <c r="L350" s="415"/>
      <c r="M350" s="415"/>
      <c r="N350" s="415"/>
      <c r="O350" s="415"/>
      <c r="P350" s="415"/>
      <c r="Q350" s="416">
        <f t="shared" si="19"/>
        <v>53</v>
      </c>
      <c r="R350" s="395" t="str">
        <f t="shared" si="18"/>
        <v>NO</v>
      </c>
      <c r="S350" s="417" t="str">
        <f t="shared" si="20"/>
        <v>Alto</v>
      </c>
      <c r="T350" s="16"/>
    </row>
    <row r="351" spans="1:20" ht="32.1" customHeight="1" x14ac:dyDescent="0.2">
      <c r="A351" s="412" t="s">
        <v>173</v>
      </c>
      <c r="B351" s="421" t="s">
        <v>2324</v>
      </c>
      <c r="C351" s="418" t="s">
        <v>2325</v>
      </c>
      <c r="D351" s="364">
        <v>22</v>
      </c>
      <c r="E351" s="415"/>
      <c r="F351" s="415"/>
      <c r="G351" s="415">
        <v>53</v>
      </c>
      <c r="H351" s="415"/>
      <c r="I351" s="415"/>
      <c r="J351" s="415"/>
      <c r="K351" s="415"/>
      <c r="L351" s="415"/>
      <c r="M351" s="415"/>
      <c r="N351" s="415"/>
      <c r="O351" s="415"/>
      <c r="P351" s="415"/>
      <c r="Q351" s="416">
        <f t="shared" si="19"/>
        <v>53</v>
      </c>
      <c r="R351" s="395" t="str">
        <f t="shared" si="18"/>
        <v>NO</v>
      </c>
      <c r="S351" s="417" t="str">
        <f t="shared" si="20"/>
        <v>Alto</v>
      </c>
      <c r="T351" s="16"/>
    </row>
    <row r="352" spans="1:20" ht="32.1" customHeight="1" x14ac:dyDescent="0.2">
      <c r="A352" s="412" t="s">
        <v>173</v>
      </c>
      <c r="B352" s="421" t="s">
        <v>2326</v>
      </c>
      <c r="C352" s="418" t="s">
        <v>2327</v>
      </c>
      <c r="D352" s="364">
        <v>21</v>
      </c>
      <c r="E352" s="415"/>
      <c r="F352" s="415">
        <v>53</v>
      </c>
      <c r="G352" s="415"/>
      <c r="H352" s="415"/>
      <c r="I352" s="415"/>
      <c r="J352" s="415"/>
      <c r="K352" s="415"/>
      <c r="L352" s="415"/>
      <c r="M352" s="415"/>
      <c r="N352" s="415"/>
      <c r="O352" s="415"/>
      <c r="P352" s="415"/>
      <c r="Q352" s="416">
        <f t="shared" si="19"/>
        <v>53</v>
      </c>
      <c r="R352" s="395" t="str">
        <f t="shared" si="18"/>
        <v>NO</v>
      </c>
      <c r="S352" s="417" t="str">
        <f t="shared" si="20"/>
        <v>Alto</v>
      </c>
      <c r="T352" s="16"/>
    </row>
    <row r="353" spans="1:20" ht="32.1" customHeight="1" x14ac:dyDescent="0.2">
      <c r="A353" s="412" t="s">
        <v>173</v>
      </c>
      <c r="B353" s="421" t="s">
        <v>2328</v>
      </c>
      <c r="C353" s="418" t="s">
        <v>2329</v>
      </c>
      <c r="D353" s="364">
        <v>53</v>
      </c>
      <c r="E353" s="415"/>
      <c r="F353" s="415"/>
      <c r="G353" s="415"/>
      <c r="H353" s="415"/>
      <c r="I353" s="415">
        <v>53</v>
      </c>
      <c r="J353" s="415"/>
      <c r="K353" s="415"/>
      <c r="L353" s="415"/>
      <c r="M353" s="415"/>
      <c r="N353" s="415"/>
      <c r="O353" s="415"/>
      <c r="P353" s="415"/>
      <c r="Q353" s="416">
        <f t="shared" si="19"/>
        <v>53</v>
      </c>
      <c r="R353" s="395" t="str">
        <f t="shared" si="18"/>
        <v>NO</v>
      </c>
      <c r="S353" s="417" t="str">
        <f t="shared" si="20"/>
        <v>Alto</v>
      </c>
      <c r="T353" s="16"/>
    </row>
    <row r="354" spans="1:20" ht="32.1" customHeight="1" x14ac:dyDescent="0.2">
      <c r="A354" s="412" t="s">
        <v>173</v>
      </c>
      <c r="B354" s="421" t="s">
        <v>2330</v>
      </c>
      <c r="C354" s="418" t="s">
        <v>2331</v>
      </c>
      <c r="D354" s="364">
        <v>32</v>
      </c>
      <c r="E354" s="415"/>
      <c r="F354" s="415"/>
      <c r="G354" s="415">
        <v>53</v>
      </c>
      <c r="H354" s="415"/>
      <c r="I354" s="415"/>
      <c r="J354" s="415"/>
      <c r="K354" s="415"/>
      <c r="L354" s="415"/>
      <c r="M354" s="415"/>
      <c r="N354" s="415">
        <v>53</v>
      </c>
      <c r="O354" s="415"/>
      <c r="P354" s="415"/>
      <c r="Q354" s="416">
        <f t="shared" si="19"/>
        <v>53</v>
      </c>
      <c r="R354" s="395" t="str">
        <f t="shared" si="18"/>
        <v>NO</v>
      </c>
      <c r="S354" s="417" t="str">
        <f t="shared" si="20"/>
        <v>Alto</v>
      </c>
      <c r="T354" s="16"/>
    </row>
    <row r="355" spans="1:20" ht="32.1" customHeight="1" x14ac:dyDescent="0.2">
      <c r="A355" s="412" t="s">
        <v>173</v>
      </c>
      <c r="B355" s="421" t="s">
        <v>4463</v>
      </c>
      <c r="C355" s="418" t="s">
        <v>4464</v>
      </c>
      <c r="D355" s="364">
        <v>53</v>
      </c>
      <c r="E355" s="415"/>
      <c r="F355" s="415"/>
      <c r="G355" s="415"/>
      <c r="H355" s="415"/>
      <c r="I355" s="415">
        <v>53</v>
      </c>
      <c r="J355" s="415"/>
      <c r="K355" s="415"/>
      <c r="L355" s="415"/>
      <c r="M355" s="415"/>
      <c r="N355" s="415">
        <v>53</v>
      </c>
      <c r="O355" s="415"/>
      <c r="P355" s="415"/>
      <c r="Q355" s="416">
        <f>AVERAGE(E355:P355)</f>
        <v>53</v>
      </c>
      <c r="R355" s="395" t="str">
        <f t="shared" si="18"/>
        <v>NO</v>
      </c>
      <c r="S355" s="417" t="str">
        <f t="shared" si="20"/>
        <v>Alto</v>
      </c>
      <c r="T355" s="16"/>
    </row>
    <row r="356" spans="1:20" ht="50.25" customHeight="1" x14ac:dyDescent="0.2">
      <c r="A356" s="412" t="s">
        <v>174</v>
      </c>
      <c r="B356" s="421" t="s">
        <v>2332</v>
      </c>
      <c r="C356" s="418" t="s">
        <v>2333</v>
      </c>
      <c r="D356" s="413">
        <v>390</v>
      </c>
      <c r="E356" s="415">
        <v>0</v>
      </c>
      <c r="F356" s="415"/>
      <c r="G356" s="415"/>
      <c r="H356" s="415"/>
      <c r="I356" s="415"/>
      <c r="J356" s="415">
        <v>0</v>
      </c>
      <c r="K356" s="415"/>
      <c r="L356" s="415">
        <v>0</v>
      </c>
      <c r="M356" s="415"/>
      <c r="N356" s="415">
        <v>0</v>
      </c>
      <c r="O356" s="415"/>
      <c r="P356" s="415"/>
      <c r="Q356" s="416">
        <f t="shared" si="19"/>
        <v>0</v>
      </c>
      <c r="R356" s="395" t="str">
        <f t="shared" si="18"/>
        <v>SI</v>
      </c>
      <c r="S356" s="417" t="str">
        <f t="shared" si="20"/>
        <v>Sin Riesgo</v>
      </c>
      <c r="T356" s="16"/>
    </row>
    <row r="357" spans="1:20" ht="32.1" customHeight="1" x14ac:dyDescent="0.2">
      <c r="A357" s="412" t="s">
        <v>174</v>
      </c>
      <c r="B357" s="421" t="s">
        <v>1319</v>
      </c>
      <c r="C357" s="418" t="s">
        <v>2334</v>
      </c>
      <c r="D357" s="413">
        <v>36</v>
      </c>
      <c r="E357" s="415">
        <v>0</v>
      </c>
      <c r="F357" s="415"/>
      <c r="G357" s="415"/>
      <c r="H357" s="415"/>
      <c r="I357" s="415"/>
      <c r="J357" s="415"/>
      <c r="K357" s="415"/>
      <c r="L357" s="415"/>
      <c r="M357" s="415"/>
      <c r="N357" s="415"/>
      <c r="O357" s="415"/>
      <c r="P357" s="415"/>
      <c r="Q357" s="416">
        <f t="shared" si="19"/>
        <v>0</v>
      </c>
      <c r="R357" s="395" t="str">
        <f t="shared" si="18"/>
        <v>SI</v>
      </c>
      <c r="S357" s="417" t="str">
        <f t="shared" si="20"/>
        <v>Sin Riesgo</v>
      </c>
      <c r="T357" s="16"/>
    </row>
    <row r="358" spans="1:20" ht="32.1" customHeight="1" x14ac:dyDescent="0.2">
      <c r="A358" s="412" t="s">
        <v>174</v>
      </c>
      <c r="B358" s="412" t="s">
        <v>1954</v>
      </c>
      <c r="C358" s="418" t="s">
        <v>2335</v>
      </c>
      <c r="D358" s="413">
        <v>68</v>
      </c>
      <c r="E358" s="415"/>
      <c r="F358" s="415"/>
      <c r="G358" s="415">
        <v>97.9</v>
      </c>
      <c r="H358" s="415"/>
      <c r="I358" s="415"/>
      <c r="J358" s="415"/>
      <c r="K358" s="415"/>
      <c r="L358" s="415"/>
      <c r="M358" s="415"/>
      <c r="N358" s="415"/>
      <c r="O358" s="415"/>
      <c r="P358" s="415"/>
      <c r="Q358" s="416">
        <f t="shared" si="19"/>
        <v>97.9</v>
      </c>
      <c r="R358" s="395" t="str">
        <f t="shared" si="18"/>
        <v>NO</v>
      </c>
      <c r="S358" s="417" t="str">
        <f t="shared" si="20"/>
        <v>Inviable Sanitariamente</v>
      </c>
      <c r="T358" s="16"/>
    </row>
    <row r="359" spans="1:20" ht="32.1" customHeight="1" x14ac:dyDescent="0.2">
      <c r="A359" s="412" t="s">
        <v>174</v>
      </c>
      <c r="B359" s="421" t="s">
        <v>2336</v>
      </c>
      <c r="C359" s="418" t="s">
        <v>2337</v>
      </c>
      <c r="D359" s="364">
        <v>280</v>
      </c>
      <c r="E359" s="415">
        <v>0</v>
      </c>
      <c r="F359" s="415"/>
      <c r="G359" s="415">
        <v>0</v>
      </c>
      <c r="H359" s="415"/>
      <c r="I359" s="415"/>
      <c r="J359" s="415"/>
      <c r="K359" s="415"/>
      <c r="L359" s="415"/>
      <c r="M359" s="415"/>
      <c r="N359" s="415"/>
      <c r="O359" s="415"/>
      <c r="P359" s="415">
        <v>0</v>
      </c>
      <c r="Q359" s="416">
        <f t="shared" si="19"/>
        <v>0</v>
      </c>
      <c r="R359" s="395" t="str">
        <f t="shared" si="18"/>
        <v>SI</v>
      </c>
      <c r="S359" s="417" t="str">
        <f t="shared" si="20"/>
        <v>Sin Riesgo</v>
      </c>
      <c r="T359" s="16"/>
    </row>
    <row r="360" spans="1:20" ht="32.1" customHeight="1" x14ac:dyDescent="0.2">
      <c r="A360" s="412" t="s">
        <v>174</v>
      </c>
      <c r="B360" s="421" t="s">
        <v>2338</v>
      </c>
      <c r="C360" s="418" t="s">
        <v>2339</v>
      </c>
      <c r="D360" s="413">
        <v>32</v>
      </c>
      <c r="E360" s="415"/>
      <c r="F360" s="415"/>
      <c r="G360" s="415"/>
      <c r="H360" s="415"/>
      <c r="I360" s="415"/>
      <c r="J360" s="415"/>
      <c r="K360" s="415"/>
      <c r="L360" s="415"/>
      <c r="M360" s="415"/>
      <c r="N360" s="415"/>
      <c r="O360" s="415">
        <v>97.9</v>
      </c>
      <c r="P360" s="415"/>
      <c r="Q360" s="416">
        <f t="shared" si="19"/>
        <v>97.9</v>
      </c>
      <c r="R360" s="395" t="str">
        <f t="shared" si="18"/>
        <v>NO</v>
      </c>
      <c r="S360" s="417" t="str">
        <f t="shared" si="20"/>
        <v>Inviable Sanitariamente</v>
      </c>
      <c r="T360" s="16"/>
    </row>
    <row r="361" spans="1:20" ht="32.1" customHeight="1" x14ac:dyDescent="0.2">
      <c r="A361" s="412" t="s">
        <v>174</v>
      </c>
      <c r="B361" s="421" t="s">
        <v>2340</v>
      </c>
      <c r="C361" s="418" t="s">
        <v>2341</v>
      </c>
      <c r="D361" s="413">
        <v>28</v>
      </c>
      <c r="E361" s="415"/>
      <c r="F361" s="415"/>
      <c r="G361" s="415"/>
      <c r="H361" s="415"/>
      <c r="I361" s="415"/>
      <c r="J361" s="415"/>
      <c r="K361" s="415"/>
      <c r="L361" s="415"/>
      <c r="M361" s="415"/>
      <c r="N361" s="415"/>
      <c r="O361" s="415"/>
      <c r="P361" s="415">
        <v>76.92</v>
      </c>
      <c r="Q361" s="416">
        <f t="shared" si="19"/>
        <v>76.92</v>
      </c>
      <c r="R361" s="395" t="str">
        <f t="shared" si="18"/>
        <v>NO</v>
      </c>
      <c r="S361" s="417" t="str">
        <f t="shared" si="20"/>
        <v>Alto</v>
      </c>
      <c r="T361" s="16"/>
    </row>
    <row r="362" spans="1:20" ht="32.1" customHeight="1" x14ac:dyDescent="0.2">
      <c r="A362" s="412" t="s">
        <v>174</v>
      </c>
      <c r="B362" s="421" t="s">
        <v>2342</v>
      </c>
      <c r="C362" s="418" t="s">
        <v>2343</v>
      </c>
      <c r="D362" s="364">
        <v>130</v>
      </c>
      <c r="E362" s="415"/>
      <c r="F362" s="415"/>
      <c r="G362" s="415"/>
      <c r="H362" s="415"/>
      <c r="I362" s="415"/>
      <c r="J362" s="415"/>
      <c r="K362" s="415"/>
      <c r="L362" s="415"/>
      <c r="M362" s="415"/>
      <c r="N362" s="415"/>
      <c r="O362" s="415"/>
      <c r="P362" s="415">
        <v>97.9</v>
      </c>
      <c r="Q362" s="416">
        <f t="shared" si="19"/>
        <v>97.9</v>
      </c>
      <c r="R362" s="395" t="str">
        <f t="shared" si="18"/>
        <v>NO</v>
      </c>
      <c r="S362" s="417" t="str">
        <f t="shared" si="20"/>
        <v>Inviable Sanitariamente</v>
      </c>
      <c r="T362" s="16"/>
    </row>
    <row r="363" spans="1:20" ht="32.1" customHeight="1" x14ac:dyDescent="0.2">
      <c r="A363" s="412" t="s">
        <v>174</v>
      </c>
      <c r="B363" s="421" t="s">
        <v>615</v>
      </c>
      <c r="C363" s="418" t="s">
        <v>2344</v>
      </c>
      <c r="D363" s="364">
        <v>34</v>
      </c>
      <c r="E363" s="415"/>
      <c r="F363" s="415"/>
      <c r="G363" s="415"/>
      <c r="H363" s="415"/>
      <c r="I363" s="415"/>
      <c r="J363" s="415"/>
      <c r="K363" s="415"/>
      <c r="L363" s="415"/>
      <c r="M363" s="415"/>
      <c r="N363" s="415"/>
      <c r="O363" s="415"/>
      <c r="P363" s="415">
        <v>97.9</v>
      </c>
      <c r="Q363" s="416">
        <f t="shared" si="19"/>
        <v>97.9</v>
      </c>
      <c r="R363" s="395" t="str">
        <f t="shared" si="18"/>
        <v>NO</v>
      </c>
      <c r="S363" s="417" t="str">
        <f t="shared" si="20"/>
        <v>Inviable Sanitariamente</v>
      </c>
      <c r="T363" s="16"/>
    </row>
    <row r="364" spans="1:20" ht="32.1" customHeight="1" x14ac:dyDescent="0.2">
      <c r="A364" s="412" t="s">
        <v>174</v>
      </c>
      <c r="B364" s="421" t="s">
        <v>2345</v>
      </c>
      <c r="C364" s="418" t="s">
        <v>2346</v>
      </c>
      <c r="D364" s="364">
        <v>50</v>
      </c>
      <c r="E364" s="415"/>
      <c r="F364" s="415"/>
      <c r="G364" s="415"/>
      <c r="H364" s="415"/>
      <c r="I364" s="415"/>
      <c r="J364" s="415"/>
      <c r="K364" s="415"/>
      <c r="L364" s="415"/>
      <c r="M364" s="415"/>
      <c r="N364" s="415">
        <v>97.9</v>
      </c>
      <c r="O364" s="415"/>
      <c r="P364" s="415"/>
      <c r="Q364" s="416">
        <f t="shared" si="19"/>
        <v>97.9</v>
      </c>
      <c r="R364" s="395" t="str">
        <f t="shared" ref="R364:R427" si="21">IF(Q364&lt;5,"SI","NO")</f>
        <v>NO</v>
      </c>
      <c r="S364" s="417" t="str">
        <f t="shared" si="20"/>
        <v>Inviable Sanitariamente</v>
      </c>
      <c r="T364" s="16"/>
    </row>
    <row r="365" spans="1:20" ht="32.1" customHeight="1" x14ac:dyDescent="0.2">
      <c r="A365" s="412" t="s">
        <v>174</v>
      </c>
      <c r="B365" s="421" t="s">
        <v>2347</v>
      </c>
      <c r="C365" s="418" t="s">
        <v>2348</v>
      </c>
      <c r="D365" s="413">
        <v>115</v>
      </c>
      <c r="E365" s="415"/>
      <c r="F365" s="415"/>
      <c r="G365" s="415"/>
      <c r="H365" s="415"/>
      <c r="I365" s="415"/>
      <c r="J365" s="415"/>
      <c r="K365" s="415"/>
      <c r="L365" s="415"/>
      <c r="M365" s="415"/>
      <c r="N365" s="415"/>
      <c r="O365" s="415"/>
      <c r="P365" s="415">
        <v>97.9</v>
      </c>
      <c r="Q365" s="416">
        <f t="shared" ref="Q365:Q428" si="22">AVERAGE(E365:P365)</f>
        <v>97.9</v>
      </c>
      <c r="R365" s="395" t="str">
        <f t="shared" si="21"/>
        <v>NO</v>
      </c>
      <c r="S365" s="417" t="str">
        <f t="shared" si="20"/>
        <v>Inviable Sanitariamente</v>
      </c>
      <c r="T365" s="16"/>
    </row>
    <row r="366" spans="1:20" ht="32.1" customHeight="1" x14ac:dyDescent="0.2">
      <c r="A366" s="412" t="s">
        <v>174</v>
      </c>
      <c r="B366" s="421" t="s">
        <v>1251</v>
      </c>
      <c r="C366" s="418" t="s">
        <v>2349</v>
      </c>
      <c r="D366" s="364">
        <v>139</v>
      </c>
      <c r="E366" s="415"/>
      <c r="F366" s="415"/>
      <c r="G366" s="415"/>
      <c r="H366" s="415"/>
      <c r="I366" s="415"/>
      <c r="J366" s="415"/>
      <c r="K366" s="415"/>
      <c r="L366" s="415"/>
      <c r="M366" s="415"/>
      <c r="N366" s="415"/>
      <c r="O366" s="415"/>
      <c r="P366" s="415">
        <v>97.9</v>
      </c>
      <c r="Q366" s="416">
        <f t="shared" si="22"/>
        <v>97.9</v>
      </c>
      <c r="R366" s="395" t="str">
        <f t="shared" si="21"/>
        <v>NO</v>
      </c>
      <c r="S366" s="417" t="str">
        <f t="shared" si="20"/>
        <v>Inviable Sanitariamente</v>
      </c>
      <c r="T366" s="16"/>
    </row>
    <row r="367" spans="1:20" ht="32.1" customHeight="1" x14ac:dyDescent="0.2">
      <c r="A367" s="412" t="s">
        <v>174</v>
      </c>
      <c r="B367" s="421" t="s">
        <v>1441</v>
      </c>
      <c r="C367" s="420" t="s">
        <v>2350</v>
      </c>
      <c r="D367" s="364">
        <v>67</v>
      </c>
      <c r="E367" s="415"/>
      <c r="F367" s="415"/>
      <c r="G367" s="415"/>
      <c r="H367" s="415"/>
      <c r="I367" s="415"/>
      <c r="J367" s="415"/>
      <c r="K367" s="415"/>
      <c r="L367" s="415"/>
      <c r="M367" s="415"/>
      <c r="N367" s="415"/>
      <c r="O367" s="415"/>
      <c r="P367" s="415">
        <v>97.9</v>
      </c>
      <c r="Q367" s="416">
        <f t="shared" si="22"/>
        <v>97.9</v>
      </c>
      <c r="R367" s="395" t="str">
        <f t="shared" si="21"/>
        <v>NO</v>
      </c>
      <c r="S367" s="417" t="str">
        <f t="shared" si="20"/>
        <v>Inviable Sanitariamente</v>
      </c>
      <c r="T367" s="16"/>
    </row>
    <row r="368" spans="1:20" ht="46.5" customHeight="1" x14ac:dyDescent="0.2">
      <c r="A368" s="412" t="s">
        <v>174</v>
      </c>
      <c r="B368" s="421" t="s">
        <v>2351</v>
      </c>
      <c r="C368" s="418" t="s">
        <v>2352</v>
      </c>
      <c r="D368" s="413">
        <v>15</v>
      </c>
      <c r="E368" s="415">
        <v>0</v>
      </c>
      <c r="F368" s="415"/>
      <c r="G368" s="415"/>
      <c r="H368" s="415"/>
      <c r="I368" s="415"/>
      <c r="J368" s="415">
        <v>0</v>
      </c>
      <c r="K368" s="415"/>
      <c r="L368" s="415">
        <v>0</v>
      </c>
      <c r="M368" s="415"/>
      <c r="N368" s="415">
        <v>0</v>
      </c>
      <c r="O368" s="415"/>
      <c r="P368" s="415"/>
      <c r="Q368" s="416">
        <f t="shared" si="22"/>
        <v>0</v>
      </c>
      <c r="R368" s="395" t="str">
        <f t="shared" si="21"/>
        <v>SI</v>
      </c>
      <c r="S368" s="417" t="str">
        <f t="shared" si="20"/>
        <v>Sin Riesgo</v>
      </c>
      <c r="T368" s="16"/>
    </row>
    <row r="369" spans="1:20" ht="39" customHeight="1" x14ac:dyDescent="0.2">
      <c r="A369" s="412" t="s">
        <v>174</v>
      </c>
      <c r="B369" s="421" t="s">
        <v>2353</v>
      </c>
      <c r="C369" s="418" t="s">
        <v>2354</v>
      </c>
      <c r="D369" s="364">
        <v>50</v>
      </c>
      <c r="E369" s="415">
        <v>0</v>
      </c>
      <c r="F369" s="415"/>
      <c r="G369" s="415"/>
      <c r="H369" s="415"/>
      <c r="I369" s="415"/>
      <c r="J369" s="415">
        <v>0</v>
      </c>
      <c r="K369" s="415"/>
      <c r="L369" s="415">
        <v>0</v>
      </c>
      <c r="M369" s="415"/>
      <c r="N369" s="415">
        <v>0</v>
      </c>
      <c r="O369" s="415"/>
      <c r="P369" s="415"/>
      <c r="Q369" s="416">
        <f t="shared" si="22"/>
        <v>0</v>
      </c>
      <c r="R369" s="395" t="str">
        <f t="shared" si="21"/>
        <v>SI</v>
      </c>
      <c r="S369" s="417" t="str">
        <f t="shared" si="20"/>
        <v>Sin Riesgo</v>
      </c>
      <c r="T369" s="16"/>
    </row>
    <row r="370" spans="1:20" ht="32.1" customHeight="1" x14ac:dyDescent="0.2">
      <c r="A370" s="412" t="s">
        <v>174</v>
      </c>
      <c r="B370" s="421" t="s">
        <v>2355</v>
      </c>
      <c r="C370" s="418" t="s">
        <v>2356</v>
      </c>
      <c r="D370" s="364">
        <v>24</v>
      </c>
      <c r="E370" s="415">
        <v>0</v>
      </c>
      <c r="F370" s="415"/>
      <c r="G370" s="415"/>
      <c r="H370" s="415"/>
      <c r="I370" s="415"/>
      <c r="J370" s="415">
        <v>0</v>
      </c>
      <c r="K370" s="415"/>
      <c r="L370" s="415">
        <v>0</v>
      </c>
      <c r="M370" s="415"/>
      <c r="N370" s="415">
        <v>0</v>
      </c>
      <c r="O370" s="415"/>
      <c r="P370" s="415"/>
      <c r="Q370" s="416">
        <f t="shared" si="22"/>
        <v>0</v>
      </c>
      <c r="R370" s="395" t="str">
        <f t="shared" si="21"/>
        <v>SI</v>
      </c>
      <c r="S370" s="417" t="str">
        <f t="shared" si="20"/>
        <v>Sin Riesgo</v>
      </c>
      <c r="T370" s="16"/>
    </row>
    <row r="371" spans="1:20" ht="46.5" customHeight="1" x14ac:dyDescent="0.2">
      <c r="A371" s="412" t="s">
        <v>174</v>
      </c>
      <c r="B371" s="421" t="s">
        <v>2357</v>
      </c>
      <c r="C371" s="418" t="s">
        <v>2358</v>
      </c>
      <c r="D371" s="364">
        <v>256</v>
      </c>
      <c r="E371" s="415"/>
      <c r="F371" s="415"/>
      <c r="G371" s="415">
        <v>97.9</v>
      </c>
      <c r="H371" s="415"/>
      <c r="I371" s="415"/>
      <c r="J371" s="415"/>
      <c r="K371" s="415"/>
      <c r="L371" s="415"/>
      <c r="M371" s="415"/>
      <c r="N371" s="415"/>
      <c r="O371" s="415"/>
      <c r="P371" s="415"/>
      <c r="Q371" s="416">
        <f t="shared" si="22"/>
        <v>97.9</v>
      </c>
      <c r="R371" s="395" t="str">
        <f t="shared" si="21"/>
        <v>NO</v>
      </c>
      <c r="S371" s="417" t="str">
        <f t="shared" si="20"/>
        <v>Inviable Sanitariamente</v>
      </c>
      <c r="T371" s="16"/>
    </row>
    <row r="372" spans="1:20" ht="32.1" customHeight="1" x14ac:dyDescent="0.2">
      <c r="A372" s="412" t="s">
        <v>174</v>
      </c>
      <c r="B372" s="421" t="s">
        <v>2359</v>
      </c>
      <c r="C372" s="418" t="s">
        <v>2360</v>
      </c>
      <c r="D372" s="413">
        <v>25</v>
      </c>
      <c r="E372" s="415"/>
      <c r="F372" s="415"/>
      <c r="G372" s="415"/>
      <c r="H372" s="415"/>
      <c r="I372" s="415"/>
      <c r="J372" s="415"/>
      <c r="K372" s="415"/>
      <c r="L372" s="415"/>
      <c r="M372" s="415"/>
      <c r="N372" s="415"/>
      <c r="O372" s="415"/>
      <c r="P372" s="415">
        <v>97.9</v>
      </c>
      <c r="Q372" s="416">
        <f t="shared" si="22"/>
        <v>97.9</v>
      </c>
      <c r="R372" s="395" t="str">
        <f t="shared" si="21"/>
        <v>NO</v>
      </c>
      <c r="S372" s="417" t="str">
        <f t="shared" si="20"/>
        <v>Inviable Sanitariamente</v>
      </c>
      <c r="T372" s="16"/>
    </row>
    <row r="373" spans="1:20" ht="32.1" customHeight="1" x14ac:dyDescent="0.2">
      <c r="A373" s="412" t="s">
        <v>174</v>
      </c>
      <c r="B373" s="421" t="s">
        <v>2361</v>
      </c>
      <c r="C373" s="418" t="s">
        <v>2362</v>
      </c>
      <c r="D373" s="364">
        <v>33</v>
      </c>
      <c r="E373" s="415"/>
      <c r="F373" s="415"/>
      <c r="G373" s="415"/>
      <c r="H373" s="415"/>
      <c r="I373" s="415"/>
      <c r="J373" s="415"/>
      <c r="K373" s="415"/>
      <c r="L373" s="415"/>
      <c r="M373" s="415"/>
      <c r="N373" s="415"/>
      <c r="O373" s="415"/>
      <c r="P373" s="415">
        <v>97.9</v>
      </c>
      <c r="Q373" s="416">
        <f t="shared" si="22"/>
        <v>97.9</v>
      </c>
      <c r="R373" s="395" t="str">
        <f t="shared" si="21"/>
        <v>NO</v>
      </c>
      <c r="S373" s="417" t="str">
        <f t="shared" si="20"/>
        <v>Inviable Sanitariamente</v>
      </c>
      <c r="T373" s="16"/>
    </row>
    <row r="374" spans="1:20" ht="32.1" customHeight="1" x14ac:dyDescent="0.2">
      <c r="A374" s="412" t="s">
        <v>174</v>
      </c>
      <c r="B374" s="421" t="s">
        <v>2363</v>
      </c>
      <c r="C374" s="418" t="s">
        <v>2364</v>
      </c>
      <c r="D374" s="364">
        <v>61</v>
      </c>
      <c r="E374" s="415"/>
      <c r="F374" s="415"/>
      <c r="G374" s="415"/>
      <c r="H374" s="415"/>
      <c r="I374" s="415"/>
      <c r="J374" s="415"/>
      <c r="K374" s="415"/>
      <c r="L374" s="415"/>
      <c r="M374" s="415"/>
      <c r="N374" s="415"/>
      <c r="O374" s="415"/>
      <c r="P374" s="415">
        <v>97.9</v>
      </c>
      <c r="Q374" s="416">
        <f t="shared" si="22"/>
        <v>97.9</v>
      </c>
      <c r="R374" s="395" t="str">
        <f t="shared" si="21"/>
        <v>NO</v>
      </c>
      <c r="S374" s="417" t="str">
        <f t="shared" si="20"/>
        <v>Inviable Sanitariamente</v>
      </c>
      <c r="T374" s="16"/>
    </row>
    <row r="375" spans="1:20" ht="32.1" customHeight="1" x14ac:dyDescent="0.2">
      <c r="A375" s="412" t="s">
        <v>174</v>
      </c>
      <c r="B375" s="421" t="s">
        <v>643</v>
      </c>
      <c r="C375" s="418" t="s">
        <v>1062</v>
      </c>
      <c r="D375" s="364">
        <v>34</v>
      </c>
      <c r="E375" s="415">
        <v>97.4</v>
      </c>
      <c r="F375" s="415"/>
      <c r="G375" s="415"/>
      <c r="H375" s="415"/>
      <c r="I375" s="415"/>
      <c r="J375" s="415"/>
      <c r="K375" s="415"/>
      <c r="L375" s="415"/>
      <c r="M375" s="415"/>
      <c r="N375" s="415"/>
      <c r="O375" s="415"/>
      <c r="P375" s="415"/>
      <c r="Q375" s="416">
        <f t="shared" si="22"/>
        <v>97.4</v>
      </c>
      <c r="R375" s="395" t="str">
        <f t="shared" si="21"/>
        <v>NO</v>
      </c>
      <c r="S375" s="417" t="str">
        <f t="shared" si="20"/>
        <v>Inviable Sanitariamente</v>
      </c>
      <c r="T375" s="16"/>
    </row>
    <row r="376" spans="1:20" ht="32.1" customHeight="1" x14ac:dyDescent="0.2">
      <c r="A376" s="412" t="s">
        <v>174</v>
      </c>
      <c r="B376" s="421" t="s">
        <v>77</v>
      </c>
      <c r="C376" s="418" t="s">
        <v>2365</v>
      </c>
      <c r="D376" s="364">
        <v>65</v>
      </c>
      <c r="E376" s="415"/>
      <c r="F376" s="415"/>
      <c r="G376" s="415"/>
      <c r="H376" s="415"/>
      <c r="I376" s="415"/>
      <c r="J376" s="415"/>
      <c r="K376" s="415"/>
      <c r="L376" s="415"/>
      <c r="M376" s="415"/>
      <c r="N376" s="415"/>
      <c r="O376" s="415"/>
      <c r="P376" s="415">
        <v>97.9</v>
      </c>
      <c r="Q376" s="416">
        <f t="shared" si="22"/>
        <v>97.9</v>
      </c>
      <c r="R376" s="395" t="str">
        <f t="shared" si="21"/>
        <v>NO</v>
      </c>
      <c r="S376" s="417" t="str">
        <f t="shared" si="20"/>
        <v>Inviable Sanitariamente</v>
      </c>
      <c r="T376" s="16"/>
    </row>
    <row r="377" spans="1:20" ht="32.1" customHeight="1" x14ac:dyDescent="0.2">
      <c r="A377" s="412" t="s">
        <v>174</v>
      </c>
      <c r="B377" s="421" t="s">
        <v>2366</v>
      </c>
      <c r="C377" s="418" t="s">
        <v>2367</v>
      </c>
      <c r="D377" s="364">
        <v>18</v>
      </c>
      <c r="E377" s="415"/>
      <c r="F377" s="415"/>
      <c r="G377" s="415"/>
      <c r="H377" s="415"/>
      <c r="I377" s="415"/>
      <c r="J377" s="415">
        <v>97.9</v>
      </c>
      <c r="K377" s="415"/>
      <c r="L377" s="415"/>
      <c r="M377" s="415"/>
      <c r="N377" s="415"/>
      <c r="O377" s="415"/>
      <c r="P377" s="415"/>
      <c r="Q377" s="416">
        <f t="shared" si="22"/>
        <v>97.9</v>
      </c>
      <c r="R377" s="395" t="str">
        <f t="shared" si="21"/>
        <v>NO</v>
      </c>
      <c r="S377" s="417" t="str">
        <f t="shared" si="20"/>
        <v>Inviable Sanitariamente</v>
      </c>
      <c r="T377" s="16"/>
    </row>
    <row r="378" spans="1:20" ht="32.1" customHeight="1" x14ac:dyDescent="0.2">
      <c r="A378" s="412" t="s">
        <v>174</v>
      </c>
      <c r="B378" s="421" t="s">
        <v>2368</v>
      </c>
      <c r="C378" s="418" t="s">
        <v>2369</v>
      </c>
      <c r="D378" s="364">
        <v>23</v>
      </c>
      <c r="E378" s="415"/>
      <c r="F378" s="415"/>
      <c r="G378" s="415"/>
      <c r="H378" s="415"/>
      <c r="I378" s="415"/>
      <c r="J378" s="415"/>
      <c r="K378" s="415"/>
      <c r="L378" s="415"/>
      <c r="M378" s="415"/>
      <c r="N378" s="415"/>
      <c r="O378" s="415"/>
      <c r="P378" s="415">
        <v>97.9</v>
      </c>
      <c r="Q378" s="416">
        <f t="shared" si="22"/>
        <v>97.9</v>
      </c>
      <c r="R378" s="395" t="str">
        <f t="shared" si="21"/>
        <v>NO</v>
      </c>
      <c r="S378" s="417" t="str">
        <f t="shared" si="20"/>
        <v>Inviable Sanitariamente</v>
      </c>
      <c r="T378" s="16"/>
    </row>
    <row r="379" spans="1:20" ht="32.1" customHeight="1" x14ac:dyDescent="0.2">
      <c r="A379" s="412" t="s">
        <v>174</v>
      </c>
      <c r="B379" s="421" t="s">
        <v>2370</v>
      </c>
      <c r="C379" s="418" t="s">
        <v>2371</v>
      </c>
      <c r="D379" s="364">
        <v>28</v>
      </c>
      <c r="E379" s="415"/>
      <c r="F379" s="415"/>
      <c r="G379" s="415"/>
      <c r="H379" s="415"/>
      <c r="I379" s="415"/>
      <c r="J379" s="415"/>
      <c r="K379" s="415"/>
      <c r="L379" s="415"/>
      <c r="M379" s="415">
        <v>97.9</v>
      </c>
      <c r="N379" s="415"/>
      <c r="O379" s="415"/>
      <c r="P379" s="415"/>
      <c r="Q379" s="416">
        <f t="shared" si="22"/>
        <v>97.9</v>
      </c>
      <c r="R379" s="395" t="str">
        <f t="shared" si="21"/>
        <v>NO</v>
      </c>
      <c r="S379" s="417" t="str">
        <f t="shared" si="20"/>
        <v>Inviable Sanitariamente</v>
      </c>
      <c r="T379" s="16"/>
    </row>
    <row r="380" spans="1:20" s="18" customFormat="1" ht="32.1" customHeight="1" x14ac:dyDescent="0.2">
      <c r="A380" s="412" t="s">
        <v>174</v>
      </c>
      <c r="B380" s="421" t="s">
        <v>2372</v>
      </c>
      <c r="C380" s="418" t="s">
        <v>2373</v>
      </c>
      <c r="D380" s="364">
        <v>70</v>
      </c>
      <c r="E380" s="415"/>
      <c r="F380" s="415"/>
      <c r="G380" s="415">
        <v>97.9</v>
      </c>
      <c r="H380" s="415"/>
      <c r="I380" s="415"/>
      <c r="J380" s="415"/>
      <c r="K380" s="415"/>
      <c r="L380" s="415"/>
      <c r="M380" s="415"/>
      <c r="N380" s="415"/>
      <c r="O380" s="415"/>
      <c r="P380" s="415"/>
      <c r="Q380" s="416">
        <f t="shared" si="22"/>
        <v>97.9</v>
      </c>
      <c r="R380" s="395" t="str">
        <f t="shared" si="21"/>
        <v>NO</v>
      </c>
      <c r="S380" s="417" t="str">
        <f t="shared" si="20"/>
        <v>Inviable Sanitariamente</v>
      </c>
      <c r="T380" s="17"/>
    </row>
    <row r="381" spans="1:20" ht="32.1" customHeight="1" x14ac:dyDescent="0.2">
      <c r="A381" s="412" t="s">
        <v>174</v>
      </c>
      <c r="B381" s="421" t="s">
        <v>2374</v>
      </c>
      <c r="C381" s="418" t="s">
        <v>2375</v>
      </c>
      <c r="D381" s="364">
        <v>89</v>
      </c>
      <c r="E381" s="415">
        <v>97.9</v>
      </c>
      <c r="F381" s="415"/>
      <c r="G381" s="415"/>
      <c r="H381" s="415"/>
      <c r="I381" s="415"/>
      <c r="J381" s="415"/>
      <c r="K381" s="415"/>
      <c r="L381" s="415"/>
      <c r="M381" s="415"/>
      <c r="N381" s="415"/>
      <c r="O381" s="415"/>
      <c r="P381" s="415"/>
      <c r="Q381" s="416">
        <f t="shared" si="22"/>
        <v>97.9</v>
      </c>
      <c r="R381" s="395" t="str">
        <f t="shared" si="21"/>
        <v>NO</v>
      </c>
      <c r="S381" s="417" t="str">
        <f t="shared" si="20"/>
        <v>Inviable Sanitariamente</v>
      </c>
      <c r="T381" s="16"/>
    </row>
    <row r="382" spans="1:20" ht="32.1" customHeight="1" x14ac:dyDescent="0.2">
      <c r="A382" s="412" t="s">
        <v>174</v>
      </c>
      <c r="B382" s="421" t="s">
        <v>2376</v>
      </c>
      <c r="C382" s="418" t="s">
        <v>2377</v>
      </c>
      <c r="D382" s="364">
        <v>32</v>
      </c>
      <c r="E382" s="415"/>
      <c r="F382" s="415"/>
      <c r="G382" s="415"/>
      <c r="H382" s="415"/>
      <c r="I382" s="415"/>
      <c r="J382" s="415"/>
      <c r="K382" s="415"/>
      <c r="L382" s="415"/>
      <c r="M382" s="415"/>
      <c r="N382" s="415"/>
      <c r="O382" s="415"/>
      <c r="P382" s="415">
        <v>97.9</v>
      </c>
      <c r="Q382" s="416">
        <f t="shared" si="22"/>
        <v>97.9</v>
      </c>
      <c r="R382" s="395" t="str">
        <f t="shared" si="21"/>
        <v>NO</v>
      </c>
      <c r="S382" s="417" t="str">
        <f t="shared" si="20"/>
        <v>Inviable Sanitariamente</v>
      </c>
      <c r="T382" s="16"/>
    </row>
    <row r="383" spans="1:20" ht="32.1" customHeight="1" x14ac:dyDescent="0.2">
      <c r="A383" s="412" t="s">
        <v>174</v>
      </c>
      <c r="B383" s="421" t="s">
        <v>2378</v>
      </c>
      <c r="C383" s="418" t="s">
        <v>2379</v>
      </c>
      <c r="D383" s="364">
        <v>115</v>
      </c>
      <c r="E383" s="415">
        <v>0</v>
      </c>
      <c r="F383" s="415"/>
      <c r="G383" s="415"/>
      <c r="H383" s="415"/>
      <c r="I383" s="415"/>
      <c r="J383" s="415">
        <v>0</v>
      </c>
      <c r="K383" s="415"/>
      <c r="L383" s="415">
        <v>0</v>
      </c>
      <c r="M383" s="415"/>
      <c r="N383" s="415">
        <v>0</v>
      </c>
      <c r="O383" s="415"/>
      <c r="P383" s="415"/>
      <c r="Q383" s="416">
        <f t="shared" si="22"/>
        <v>0</v>
      </c>
      <c r="R383" s="395" t="str">
        <f t="shared" si="21"/>
        <v>SI</v>
      </c>
      <c r="S383" s="417" t="str">
        <f t="shared" si="20"/>
        <v>Sin Riesgo</v>
      </c>
      <c r="T383" s="16"/>
    </row>
    <row r="384" spans="1:20" ht="32.1" customHeight="1" x14ac:dyDescent="0.2">
      <c r="A384" s="412" t="s">
        <v>174</v>
      </c>
      <c r="B384" s="421" t="s">
        <v>2380</v>
      </c>
      <c r="C384" s="418" t="s">
        <v>2381</v>
      </c>
      <c r="D384" s="364">
        <v>139</v>
      </c>
      <c r="E384" s="415">
        <v>0</v>
      </c>
      <c r="F384" s="415"/>
      <c r="G384" s="415"/>
      <c r="H384" s="415"/>
      <c r="I384" s="415"/>
      <c r="J384" s="415">
        <v>0</v>
      </c>
      <c r="K384" s="415"/>
      <c r="L384" s="415">
        <v>0</v>
      </c>
      <c r="M384" s="415"/>
      <c r="N384" s="415">
        <v>0</v>
      </c>
      <c r="O384" s="415"/>
      <c r="P384" s="415"/>
      <c r="Q384" s="416">
        <f t="shared" si="22"/>
        <v>0</v>
      </c>
      <c r="R384" s="395" t="str">
        <f t="shared" si="21"/>
        <v>SI</v>
      </c>
      <c r="S384" s="417" t="str">
        <f t="shared" si="20"/>
        <v>Sin Riesgo</v>
      </c>
      <c r="T384" s="16"/>
    </row>
    <row r="385" spans="1:20" ht="32.1" customHeight="1" x14ac:dyDescent="0.2">
      <c r="A385" s="412" t="s">
        <v>174</v>
      </c>
      <c r="B385" s="421" t="s">
        <v>2382</v>
      </c>
      <c r="C385" s="418" t="s">
        <v>2383</v>
      </c>
      <c r="D385" s="364">
        <v>35</v>
      </c>
      <c r="E385" s="415">
        <v>0</v>
      </c>
      <c r="F385" s="415"/>
      <c r="G385" s="415"/>
      <c r="H385" s="415"/>
      <c r="I385" s="415"/>
      <c r="J385" s="415">
        <v>0</v>
      </c>
      <c r="K385" s="415"/>
      <c r="L385" s="415">
        <v>0</v>
      </c>
      <c r="M385" s="415"/>
      <c r="N385" s="415">
        <v>0</v>
      </c>
      <c r="O385" s="415"/>
      <c r="P385" s="415"/>
      <c r="Q385" s="416">
        <f t="shared" si="22"/>
        <v>0</v>
      </c>
      <c r="R385" s="395" t="str">
        <f t="shared" si="21"/>
        <v>SI</v>
      </c>
      <c r="S385" s="417" t="str">
        <f t="shared" si="20"/>
        <v>Sin Riesgo</v>
      </c>
      <c r="T385" s="16"/>
    </row>
    <row r="386" spans="1:20" ht="32.1" customHeight="1" x14ac:dyDescent="0.2">
      <c r="A386" s="412" t="s">
        <v>174</v>
      </c>
      <c r="B386" s="421" t="s">
        <v>43</v>
      </c>
      <c r="C386" s="418" t="s">
        <v>2384</v>
      </c>
      <c r="D386" s="364">
        <v>36</v>
      </c>
      <c r="E386" s="415">
        <v>0</v>
      </c>
      <c r="F386" s="415"/>
      <c r="G386" s="415"/>
      <c r="H386" s="415"/>
      <c r="I386" s="415"/>
      <c r="J386" s="415">
        <v>0</v>
      </c>
      <c r="K386" s="415"/>
      <c r="L386" s="415">
        <v>0</v>
      </c>
      <c r="M386" s="415"/>
      <c r="N386" s="415">
        <v>0</v>
      </c>
      <c r="O386" s="415"/>
      <c r="P386" s="415"/>
      <c r="Q386" s="416">
        <f t="shared" si="22"/>
        <v>0</v>
      </c>
      <c r="R386" s="395" t="str">
        <f t="shared" si="21"/>
        <v>SI</v>
      </c>
      <c r="S386" s="417" t="str">
        <f t="shared" si="20"/>
        <v>Sin Riesgo</v>
      </c>
      <c r="T386" s="16"/>
    </row>
    <row r="387" spans="1:20" ht="32.1" customHeight="1" x14ac:dyDescent="0.2">
      <c r="A387" s="412" t="s">
        <v>174</v>
      </c>
      <c r="B387" s="421" t="s">
        <v>2385</v>
      </c>
      <c r="C387" s="418" t="s">
        <v>2386</v>
      </c>
      <c r="D387" s="364">
        <v>18</v>
      </c>
      <c r="E387" s="415">
        <v>0</v>
      </c>
      <c r="F387" s="415"/>
      <c r="G387" s="415"/>
      <c r="H387" s="415"/>
      <c r="I387" s="415"/>
      <c r="J387" s="415">
        <v>0</v>
      </c>
      <c r="K387" s="415"/>
      <c r="L387" s="415">
        <v>0</v>
      </c>
      <c r="M387" s="415"/>
      <c r="N387" s="415">
        <v>0</v>
      </c>
      <c r="O387" s="415"/>
      <c r="P387" s="415"/>
      <c r="Q387" s="416">
        <f t="shared" si="22"/>
        <v>0</v>
      </c>
      <c r="R387" s="395" t="str">
        <f t="shared" si="21"/>
        <v>SI</v>
      </c>
      <c r="S387" s="417" t="str">
        <f t="shared" si="20"/>
        <v>Sin Riesgo</v>
      </c>
      <c r="T387" s="16"/>
    </row>
    <row r="388" spans="1:20" ht="32.1" customHeight="1" x14ac:dyDescent="0.2">
      <c r="A388" s="412" t="s">
        <v>174</v>
      </c>
      <c r="B388" s="421" t="s">
        <v>63</v>
      </c>
      <c r="C388" s="418" t="s">
        <v>2387</v>
      </c>
      <c r="D388" s="364">
        <v>48</v>
      </c>
      <c r="E388" s="415">
        <v>0</v>
      </c>
      <c r="F388" s="415"/>
      <c r="G388" s="415"/>
      <c r="H388" s="415"/>
      <c r="I388" s="415"/>
      <c r="J388" s="415">
        <v>0</v>
      </c>
      <c r="K388" s="415"/>
      <c r="L388" s="415">
        <v>0</v>
      </c>
      <c r="M388" s="415"/>
      <c r="N388" s="415">
        <v>0</v>
      </c>
      <c r="O388" s="415"/>
      <c r="P388" s="415"/>
      <c r="Q388" s="416">
        <f t="shared" si="22"/>
        <v>0</v>
      </c>
      <c r="R388" s="395" t="str">
        <f t="shared" si="21"/>
        <v>SI</v>
      </c>
      <c r="S388" s="417" t="str">
        <f t="shared" si="20"/>
        <v>Sin Riesgo</v>
      </c>
      <c r="T388" s="16"/>
    </row>
    <row r="389" spans="1:20" ht="32.1" customHeight="1" x14ac:dyDescent="0.2">
      <c r="A389" s="412" t="s">
        <v>174</v>
      </c>
      <c r="B389" s="421" t="s">
        <v>2388</v>
      </c>
      <c r="C389" s="418" t="s">
        <v>2389</v>
      </c>
      <c r="D389" s="364">
        <v>143</v>
      </c>
      <c r="E389" s="415">
        <v>0</v>
      </c>
      <c r="F389" s="415"/>
      <c r="G389" s="415"/>
      <c r="H389" s="415"/>
      <c r="I389" s="415"/>
      <c r="J389" s="415">
        <v>0</v>
      </c>
      <c r="K389" s="415"/>
      <c r="L389" s="415">
        <v>0</v>
      </c>
      <c r="M389" s="415"/>
      <c r="N389" s="415">
        <v>0</v>
      </c>
      <c r="O389" s="415"/>
      <c r="P389" s="415"/>
      <c r="Q389" s="416">
        <f t="shared" si="22"/>
        <v>0</v>
      </c>
      <c r="R389" s="395" t="str">
        <f t="shared" si="21"/>
        <v>SI</v>
      </c>
      <c r="S389" s="417" t="str">
        <f t="shared" si="20"/>
        <v>Sin Riesgo</v>
      </c>
      <c r="T389" s="16"/>
    </row>
    <row r="390" spans="1:20" ht="32.1" customHeight="1" x14ac:dyDescent="0.2">
      <c r="A390" s="412" t="s">
        <v>174</v>
      </c>
      <c r="B390" s="421" t="s">
        <v>2390</v>
      </c>
      <c r="C390" s="418" t="s">
        <v>2391</v>
      </c>
      <c r="D390" s="364">
        <v>27</v>
      </c>
      <c r="E390" s="415">
        <v>0</v>
      </c>
      <c r="F390" s="415"/>
      <c r="G390" s="415"/>
      <c r="H390" s="415"/>
      <c r="I390" s="415"/>
      <c r="J390" s="415">
        <v>0</v>
      </c>
      <c r="K390" s="415"/>
      <c r="L390" s="415">
        <v>0</v>
      </c>
      <c r="M390" s="415"/>
      <c r="N390" s="415">
        <v>0</v>
      </c>
      <c r="O390" s="415"/>
      <c r="P390" s="415"/>
      <c r="Q390" s="416">
        <f t="shared" si="22"/>
        <v>0</v>
      </c>
      <c r="R390" s="395" t="str">
        <f t="shared" si="21"/>
        <v>SI</v>
      </c>
      <c r="S390" s="417" t="str">
        <f t="shared" si="20"/>
        <v>Sin Riesgo</v>
      </c>
      <c r="T390" s="16"/>
    </row>
    <row r="391" spans="1:20" ht="32.1" customHeight="1" x14ac:dyDescent="0.2">
      <c r="A391" s="412" t="s">
        <v>174</v>
      </c>
      <c r="B391" s="421" t="s">
        <v>2392</v>
      </c>
      <c r="C391" s="418" t="s">
        <v>2393</v>
      </c>
      <c r="D391" s="413">
        <v>40</v>
      </c>
      <c r="E391" s="415">
        <v>0</v>
      </c>
      <c r="F391" s="415"/>
      <c r="G391" s="415"/>
      <c r="H391" s="415"/>
      <c r="I391" s="415"/>
      <c r="J391" s="415">
        <v>0</v>
      </c>
      <c r="K391" s="415"/>
      <c r="L391" s="415">
        <v>0</v>
      </c>
      <c r="M391" s="415"/>
      <c r="N391" s="415">
        <v>0</v>
      </c>
      <c r="O391" s="415"/>
      <c r="P391" s="415"/>
      <c r="Q391" s="416">
        <f t="shared" si="22"/>
        <v>0</v>
      </c>
      <c r="R391" s="395" t="str">
        <f t="shared" si="21"/>
        <v>SI</v>
      </c>
      <c r="S391" s="417" t="str">
        <f t="shared" si="20"/>
        <v>Sin Riesgo</v>
      </c>
      <c r="T391" s="16"/>
    </row>
    <row r="392" spans="1:20" ht="32.1" customHeight="1" x14ac:dyDescent="0.2">
      <c r="A392" s="412" t="s">
        <v>174</v>
      </c>
      <c r="B392" s="412" t="s">
        <v>2394</v>
      </c>
      <c r="C392" s="419" t="s">
        <v>2395</v>
      </c>
      <c r="D392" s="430">
        <v>51</v>
      </c>
      <c r="E392" s="415">
        <v>97.9</v>
      </c>
      <c r="F392" s="415"/>
      <c r="G392" s="415"/>
      <c r="H392" s="415"/>
      <c r="I392" s="415"/>
      <c r="J392" s="415"/>
      <c r="K392" s="415"/>
      <c r="L392" s="415"/>
      <c r="M392" s="415"/>
      <c r="N392" s="415"/>
      <c r="O392" s="415"/>
      <c r="P392" s="415">
        <v>97.9</v>
      </c>
      <c r="Q392" s="416">
        <f t="shared" si="22"/>
        <v>97.9</v>
      </c>
      <c r="R392" s="395" t="str">
        <f t="shared" si="21"/>
        <v>NO</v>
      </c>
      <c r="S392" s="417" t="str">
        <f t="shared" si="20"/>
        <v>Inviable Sanitariamente</v>
      </c>
      <c r="T392" s="16"/>
    </row>
    <row r="393" spans="1:20" ht="32.1" customHeight="1" x14ac:dyDescent="0.2">
      <c r="A393" s="412" t="s">
        <v>174</v>
      </c>
      <c r="B393" s="412" t="s">
        <v>2396</v>
      </c>
      <c r="C393" s="419" t="s">
        <v>2397</v>
      </c>
      <c r="D393" s="413">
        <v>33</v>
      </c>
      <c r="E393" s="415">
        <v>0</v>
      </c>
      <c r="F393" s="415"/>
      <c r="G393" s="415"/>
      <c r="H393" s="415"/>
      <c r="I393" s="415"/>
      <c r="J393" s="415">
        <v>0</v>
      </c>
      <c r="K393" s="415"/>
      <c r="L393" s="415">
        <v>0</v>
      </c>
      <c r="M393" s="415"/>
      <c r="N393" s="415">
        <v>0</v>
      </c>
      <c r="O393" s="415"/>
      <c r="P393" s="415"/>
      <c r="Q393" s="416">
        <f t="shared" si="22"/>
        <v>0</v>
      </c>
      <c r="R393" s="395" t="str">
        <f t="shared" si="21"/>
        <v>SI</v>
      </c>
      <c r="S393" s="417" t="str">
        <f t="shared" si="20"/>
        <v>Sin Riesgo</v>
      </c>
      <c r="T393" s="16"/>
    </row>
    <row r="394" spans="1:20" ht="32.1" customHeight="1" x14ac:dyDescent="0.2">
      <c r="A394" s="412" t="s">
        <v>174</v>
      </c>
      <c r="B394" s="421" t="s">
        <v>2398</v>
      </c>
      <c r="C394" s="420" t="s">
        <v>2399</v>
      </c>
      <c r="D394" s="430">
        <v>102</v>
      </c>
      <c r="E394" s="415">
        <v>0</v>
      </c>
      <c r="F394" s="415"/>
      <c r="G394" s="415"/>
      <c r="H394" s="415"/>
      <c r="I394" s="415"/>
      <c r="J394" s="415">
        <v>0</v>
      </c>
      <c r="K394" s="415"/>
      <c r="L394" s="415">
        <v>0</v>
      </c>
      <c r="M394" s="415"/>
      <c r="N394" s="415">
        <v>0</v>
      </c>
      <c r="O394" s="415"/>
      <c r="P394" s="415"/>
      <c r="Q394" s="416">
        <f t="shared" si="22"/>
        <v>0</v>
      </c>
      <c r="R394" s="395" t="str">
        <f t="shared" si="21"/>
        <v>SI</v>
      </c>
      <c r="S394" s="417" t="str">
        <f t="shared" si="20"/>
        <v>Sin Riesgo</v>
      </c>
      <c r="T394" s="16"/>
    </row>
    <row r="395" spans="1:20" ht="32.1" customHeight="1" x14ac:dyDescent="0.2">
      <c r="A395" s="412" t="s">
        <v>174</v>
      </c>
      <c r="B395" s="412" t="s">
        <v>2400</v>
      </c>
      <c r="C395" s="420" t="s">
        <v>2401</v>
      </c>
      <c r="D395" s="364">
        <v>80</v>
      </c>
      <c r="E395" s="415"/>
      <c r="F395" s="415"/>
      <c r="G395" s="415"/>
      <c r="H395" s="415"/>
      <c r="I395" s="415"/>
      <c r="J395" s="415"/>
      <c r="K395" s="415"/>
      <c r="L395" s="415"/>
      <c r="M395" s="415">
        <v>97.9</v>
      </c>
      <c r="N395" s="415"/>
      <c r="O395" s="415"/>
      <c r="P395" s="415"/>
      <c r="Q395" s="416">
        <f t="shared" si="22"/>
        <v>97.9</v>
      </c>
      <c r="R395" s="395" t="str">
        <f t="shared" si="21"/>
        <v>NO</v>
      </c>
      <c r="S395" s="417" t="str">
        <f t="shared" si="20"/>
        <v>Inviable Sanitariamente</v>
      </c>
      <c r="T395" s="16"/>
    </row>
    <row r="396" spans="1:20" ht="32.1" customHeight="1" x14ac:dyDescent="0.2">
      <c r="A396" s="412" t="s">
        <v>174</v>
      </c>
      <c r="B396" s="412" t="s">
        <v>2402</v>
      </c>
      <c r="C396" s="419" t="s">
        <v>2403</v>
      </c>
      <c r="D396" s="430">
        <v>113</v>
      </c>
      <c r="E396" s="415"/>
      <c r="F396" s="415"/>
      <c r="G396" s="415"/>
      <c r="H396" s="415"/>
      <c r="I396" s="415"/>
      <c r="J396" s="415"/>
      <c r="K396" s="415"/>
      <c r="L396" s="415"/>
      <c r="M396" s="415"/>
      <c r="N396" s="415"/>
      <c r="O396" s="415"/>
      <c r="P396" s="415">
        <v>97.9</v>
      </c>
      <c r="Q396" s="416">
        <f t="shared" si="22"/>
        <v>97.9</v>
      </c>
      <c r="R396" s="395" t="str">
        <f t="shared" si="21"/>
        <v>NO</v>
      </c>
      <c r="S396" s="417" t="str">
        <f t="shared" ref="S396:S464" si="23">IF(Q396&lt;5,"Sin Riesgo",IF(Q396 &lt;=14,"Bajo",IF(Q396&lt;=35,"Medio",IF(Q396&lt;=80,"Alto","Inviable Sanitariamente"))))</f>
        <v>Inviable Sanitariamente</v>
      </c>
      <c r="T396" s="16"/>
    </row>
    <row r="397" spans="1:20" ht="32.1" customHeight="1" x14ac:dyDescent="0.2">
      <c r="A397" s="412" t="s">
        <v>3945</v>
      </c>
      <c r="B397" s="412" t="s">
        <v>19</v>
      </c>
      <c r="C397" s="419" t="s">
        <v>2404</v>
      </c>
      <c r="D397" s="430">
        <v>45</v>
      </c>
      <c r="E397" s="415"/>
      <c r="F397" s="415">
        <v>55.94</v>
      </c>
      <c r="G397" s="415"/>
      <c r="H397" s="415"/>
      <c r="I397" s="415"/>
      <c r="J397" s="415"/>
      <c r="K397" s="415"/>
      <c r="L397" s="415"/>
      <c r="M397" s="415"/>
      <c r="N397" s="415"/>
      <c r="O397" s="415"/>
      <c r="P397" s="415"/>
      <c r="Q397" s="416">
        <f t="shared" si="22"/>
        <v>55.94</v>
      </c>
      <c r="R397" s="395" t="str">
        <f t="shared" si="21"/>
        <v>NO</v>
      </c>
      <c r="S397" s="417" t="str">
        <f t="shared" si="23"/>
        <v>Alto</v>
      </c>
      <c r="T397" s="16"/>
    </row>
    <row r="398" spans="1:20" ht="32.1" customHeight="1" x14ac:dyDescent="0.2">
      <c r="A398" s="412" t="s">
        <v>3945</v>
      </c>
      <c r="B398" s="421" t="s">
        <v>2405</v>
      </c>
      <c r="C398" s="418" t="s">
        <v>2406</v>
      </c>
      <c r="D398" s="430">
        <v>600</v>
      </c>
      <c r="E398" s="415">
        <v>0</v>
      </c>
      <c r="F398" s="415">
        <v>0</v>
      </c>
      <c r="G398" s="415">
        <v>0</v>
      </c>
      <c r="H398" s="415"/>
      <c r="I398" s="415"/>
      <c r="J398" s="415">
        <v>0</v>
      </c>
      <c r="K398" s="415"/>
      <c r="L398" s="415"/>
      <c r="M398" s="415"/>
      <c r="N398" s="415"/>
      <c r="O398" s="415"/>
      <c r="P398" s="415"/>
      <c r="Q398" s="416">
        <f t="shared" si="22"/>
        <v>0</v>
      </c>
      <c r="R398" s="395" t="str">
        <f t="shared" si="21"/>
        <v>SI</v>
      </c>
      <c r="S398" s="417" t="str">
        <f t="shared" si="23"/>
        <v>Sin Riesgo</v>
      </c>
      <c r="T398" s="16"/>
    </row>
    <row r="399" spans="1:20" ht="32.1" customHeight="1" x14ac:dyDescent="0.2">
      <c r="A399" s="412" t="s">
        <v>3945</v>
      </c>
      <c r="B399" s="412" t="s">
        <v>2363</v>
      </c>
      <c r="C399" s="419" t="s">
        <v>2407</v>
      </c>
      <c r="D399" s="430">
        <v>108</v>
      </c>
      <c r="E399" s="415"/>
      <c r="F399" s="415"/>
      <c r="G399" s="415"/>
      <c r="H399" s="415"/>
      <c r="I399" s="415"/>
      <c r="J399" s="415">
        <v>62.94</v>
      </c>
      <c r="K399" s="415"/>
      <c r="L399" s="415"/>
      <c r="M399" s="415"/>
      <c r="N399" s="415"/>
      <c r="O399" s="415"/>
      <c r="P399" s="415"/>
      <c r="Q399" s="416">
        <f t="shared" si="22"/>
        <v>62.94</v>
      </c>
      <c r="R399" s="395" t="str">
        <f t="shared" si="21"/>
        <v>NO</v>
      </c>
      <c r="S399" s="417" t="str">
        <f t="shared" si="23"/>
        <v>Alto</v>
      </c>
      <c r="T399" s="16"/>
    </row>
    <row r="400" spans="1:20" ht="32.1" customHeight="1" x14ac:dyDescent="0.2">
      <c r="A400" s="412" t="s">
        <v>3945</v>
      </c>
      <c r="B400" s="412" t="s">
        <v>2408</v>
      </c>
      <c r="C400" s="419" t="s">
        <v>2409</v>
      </c>
      <c r="D400" s="430">
        <v>288</v>
      </c>
      <c r="E400" s="415">
        <v>97.9</v>
      </c>
      <c r="F400" s="415"/>
      <c r="G400" s="415"/>
      <c r="H400" s="415"/>
      <c r="I400" s="415"/>
      <c r="J400" s="415">
        <v>76.92</v>
      </c>
      <c r="K400" s="415"/>
      <c r="L400" s="415"/>
      <c r="M400" s="415"/>
      <c r="N400" s="415"/>
      <c r="O400" s="415"/>
      <c r="P400" s="415"/>
      <c r="Q400" s="416">
        <f t="shared" si="22"/>
        <v>87.41</v>
      </c>
      <c r="R400" s="395" t="str">
        <f t="shared" si="21"/>
        <v>NO</v>
      </c>
      <c r="S400" s="417" t="str">
        <f t="shared" si="23"/>
        <v>Inviable Sanitariamente</v>
      </c>
      <c r="T400" s="16"/>
    </row>
    <row r="401" spans="1:20" ht="32.1" customHeight="1" x14ac:dyDescent="0.2">
      <c r="A401" s="412" t="s">
        <v>3945</v>
      </c>
      <c r="B401" s="412" t="s">
        <v>2410</v>
      </c>
      <c r="C401" s="420" t="s">
        <v>2411</v>
      </c>
      <c r="D401" s="430">
        <v>72</v>
      </c>
      <c r="E401" s="415"/>
      <c r="F401" s="415"/>
      <c r="G401" s="415">
        <v>97.92</v>
      </c>
      <c r="H401" s="415"/>
      <c r="I401" s="415"/>
      <c r="J401" s="415"/>
      <c r="K401" s="415"/>
      <c r="L401" s="415"/>
      <c r="M401" s="415"/>
      <c r="N401" s="415"/>
      <c r="O401" s="415"/>
      <c r="P401" s="415"/>
      <c r="Q401" s="416">
        <f t="shared" si="22"/>
        <v>97.92</v>
      </c>
      <c r="R401" s="395" t="str">
        <f t="shared" si="21"/>
        <v>NO</v>
      </c>
      <c r="S401" s="417" t="str">
        <f t="shared" si="23"/>
        <v>Inviable Sanitariamente</v>
      </c>
      <c r="T401" s="16"/>
    </row>
    <row r="402" spans="1:20" ht="32.1" customHeight="1" x14ac:dyDescent="0.2">
      <c r="A402" s="412" t="s">
        <v>3945</v>
      </c>
      <c r="B402" s="412" t="s">
        <v>1427</v>
      </c>
      <c r="C402" s="419" t="s">
        <v>2412</v>
      </c>
      <c r="D402" s="430">
        <v>34</v>
      </c>
      <c r="E402" s="415"/>
      <c r="F402" s="415"/>
      <c r="G402" s="415"/>
      <c r="H402" s="415"/>
      <c r="I402" s="415"/>
      <c r="J402" s="415">
        <v>76.92</v>
      </c>
      <c r="K402" s="415"/>
      <c r="L402" s="415"/>
      <c r="M402" s="415"/>
      <c r="N402" s="415"/>
      <c r="O402" s="415"/>
      <c r="P402" s="415"/>
      <c r="Q402" s="416">
        <f t="shared" si="22"/>
        <v>76.92</v>
      </c>
      <c r="R402" s="395" t="str">
        <f t="shared" si="21"/>
        <v>NO</v>
      </c>
      <c r="S402" s="417" t="str">
        <f t="shared" si="23"/>
        <v>Alto</v>
      </c>
      <c r="T402" s="16"/>
    </row>
    <row r="403" spans="1:20" ht="32.1" customHeight="1" x14ac:dyDescent="0.2">
      <c r="A403" s="412" t="s">
        <v>3945</v>
      </c>
      <c r="B403" s="412" t="s">
        <v>2413</v>
      </c>
      <c r="C403" s="419" t="s">
        <v>2414</v>
      </c>
      <c r="D403" s="430">
        <v>47</v>
      </c>
      <c r="E403" s="415"/>
      <c r="F403" s="415"/>
      <c r="G403" s="415"/>
      <c r="H403" s="415"/>
      <c r="I403" s="415"/>
      <c r="J403" s="415">
        <v>97.9</v>
      </c>
      <c r="K403" s="415"/>
      <c r="L403" s="415"/>
      <c r="M403" s="415"/>
      <c r="N403" s="415"/>
      <c r="O403" s="415"/>
      <c r="P403" s="415"/>
      <c r="Q403" s="416">
        <f t="shared" si="22"/>
        <v>97.9</v>
      </c>
      <c r="R403" s="395" t="str">
        <f t="shared" si="21"/>
        <v>NO</v>
      </c>
      <c r="S403" s="417" t="str">
        <f t="shared" si="23"/>
        <v>Inviable Sanitariamente</v>
      </c>
      <c r="T403" s="16"/>
    </row>
    <row r="404" spans="1:20" ht="32.1" customHeight="1" x14ac:dyDescent="0.2">
      <c r="A404" s="412" t="s">
        <v>3945</v>
      </c>
      <c r="B404" s="412" t="s">
        <v>2415</v>
      </c>
      <c r="C404" s="420" t="s">
        <v>2416</v>
      </c>
      <c r="D404" s="430">
        <v>17</v>
      </c>
      <c r="E404" s="415"/>
      <c r="F404" s="415"/>
      <c r="G404" s="415"/>
      <c r="H404" s="415"/>
      <c r="I404" s="415"/>
      <c r="J404" s="415">
        <v>97.9</v>
      </c>
      <c r="K404" s="415"/>
      <c r="L404" s="415"/>
      <c r="M404" s="415"/>
      <c r="N404" s="415"/>
      <c r="O404" s="415"/>
      <c r="P404" s="415"/>
      <c r="Q404" s="416">
        <f t="shared" si="22"/>
        <v>97.9</v>
      </c>
      <c r="R404" s="395" t="str">
        <f t="shared" si="21"/>
        <v>NO</v>
      </c>
      <c r="S404" s="417" t="str">
        <f t="shared" si="23"/>
        <v>Inviable Sanitariamente</v>
      </c>
      <c r="T404" s="16"/>
    </row>
    <row r="405" spans="1:20" ht="32.1" customHeight="1" x14ac:dyDescent="0.2">
      <c r="A405" s="412" t="s">
        <v>3945</v>
      </c>
      <c r="B405" s="421" t="s">
        <v>2417</v>
      </c>
      <c r="C405" s="420" t="s">
        <v>2418</v>
      </c>
      <c r="D405" s="430">
        <v>22</v>
      </c>
      <c r="E405" s="415"/>
      <c r="F405" s="415">
        <v>76.92</v>
      </c>
      <c r="G405" s="415"/>
      <c r="H405" s="415"/>
      <c r="I405" s="415"/>
      <c r="J405" s="415"/>
      <c r="K405" s="415"/>
      <c r="L405" s="415"/>
      <c r="M405" s="415"/>
      <c r="N405" s="415"/>
      <c r="O405" s="415"/>
      <c r="P405" s="415"/>
      <c r="Q405" s="416">
        <f t="shared" si="22"/>
        <v>76.92</v>
      </c>
      <c r="R405" s="395" t="str">
        <f t="shared" si="21"/>
        <v>NO</v>
      </c>
      <c r="S405" s="417" t="str">
        <f t="shared" si="23"/>
        <v>Alto</v>
      </c>
      <c r="T405" s="16"/>
    </row>
    <row r="406" spans="1:20" ht="32.1" customHeight="1" x14ac:dyDescent="0.2">
      <c r="A406" s="412" t="s">
        <v>3945</v>
      </c>
      <c r="B406" s="412" t="s">
        <v>2419</v>
      </c>
      <c r="C406" s="420" t="s">
        <v>2420</v>
      </c>
      <c r="D406" s="430">
        <v>66</v>
      </c>
      <c r="E406" s="415"/>
      <c r="F406" s="415">
        <v>76.92</v>
      </c>
      <c r="G406" s="415"/>
      <c r="H406" s="415"/>
      <c r="I406" s="415"/>
      <c r="J406" s="415"/>
      <c r="K406" s="415"/>
      <c r="L406" s="415"/>
      <c r="M406" s="415"/>
      <c r="N406" s="415"/>
      <c r="O406" s="415"/>
      <c r="P406" s="415"/>
      <c r="Q406" s="416">
        <f t="shared" si="22"/>
        <v>76.92</v>
      </c>
      <c r="R406" s="395" t="str">
        <f t="shared" si="21"/>
        <v>NO</v>
      </c>
      <c r="S406" s="417" t="str">
        <f t="shared" si="23"/>
        <v>Alto</v>
      </c>
      <c r="T406" s="16"/>
    </row>
    <row r="407" spans="1:20" ht="32.1" customHeight="1" x14ac:dyDescent="0.2">
      <c r="A407" s="412" t="s">
        <v>3945</v>
      </c>
      <c r="B407" s="421" t="s">
        <v>2421</v>
      </c>
      <c r="C407" s="420" t="s">
        <v>2422</v>
      </c>
      <c r="D407" s="364">
        <v>182</v>
      </c>
      <c r="E407" s="415">
        <v>0</v>
      </c>
      <c r="F407" s="415"/>
      <c r="G407" s="415"/>
      <c r="H407" s="415"/>
      <c r="I407" s="415"/>
      <c r="J407" s="415">
        <v>20.98</v>
      </c>
      <c r="K407" s="415"/>
      <c r="L407" s="415"/>
      <c r="M407" s="415"/>
      <c r="N407" s="415"/>
      <c r="O407" s="415"/>
      <c r="P407" s="415"/>
      <c r="Q407" s="416">
        <f t="shared" si="22"/>
        <v>10.49</v>
      </c>
      <c r="R407" s="395" t="str">
        <f t="shared" si="21"/>
        <v>NO</v>
      </c>
      <c r="S407" s="417" t="str">
        <f t="shared" si="23"/>
        <v>Bajo</v>
      </c>
      <c r="T407" s="16"/>
    </row>
    <row r="408" spans="1:20" ht="32.1" customHeight="1" x14ac:dyDescent="0.2">
      <c r="A408" s="412" t="s">
        <v>3945</v>
      </c>
      <c r="B408" s="421" t="s">
        <v>2423</v>
      </c>
      <c r="C408" s="420" t="s">
        <v>2424</v>
      </c>
      <c r="D408" s="430">
        <v>182</v>
      </c>
      <c r="E408" s="415"/>
      <c r="F408" s="415">
        <v>0</v>
      </c>
      <c r="G408" s="415"/>
      <c r="H408" s="415"/>
      <c r="I408" s="415"/>
      <c r="J408" s="415"/>
      <c r="K408" s="415"/>
      <c r="L408" s="415"/>
      <c r="M408" s="415"/>
      <c r="N408" s="415"/>
      <c r="O408" s="415"/>
      <c r="P408" s="415"/>
      <c r="Q408" s="416">
        <f t="shared" si="22"/>
        <v>0</v>
      </c>
      <c r="R408" s="395" t="str">
        <f t="shared" si="21"/>
        <v>SI</v>
      </c>
      <c r="S408" s="417" t="str">
        <f t="shared" si="23"/>
        <v>Sin Riesgo</v>
      </c>
      <c r="T408" s="16"/>
    </row>
    <row r="409" spans="1:20" ht="32.1" customHeight="1" x14ac:dyDescent="0.2">
      <c r="A409" s="412" t="s">
        <v>3945</v>
      </c>
      <c r="B409" s="412" t="s">
        <v>1043</v>
      </c>
      <c r="C409" s="419" t="s">
        <v>2425</v>
      </c>
      <c r="D409" s="413">
        <v>182</v>
      </c>
      <c r="E409" s="415">
        <v>0</v>
      </c>
      <c r="F409" s="415"/>
      <c r="G409" s="415"/>
      <c r="H409" s="415"/>
      <c r="I409" s="415"/>
      <c r="J409" s="415">
        <v>0</v>
      </c>
      <c r="K409" s="415"/>
      <c r="L409" s="415"/>
      <c r="M409" s="415"/>
      <c r="N409" s="415"/>
      <c r="O409" s="415"/>
      <c r="P409" s="415"/>
      <c r="Q409" s="416">
        <f t="shared" si="22"/>
        <v>0</v>
      </c>
      <c r="R409" s="395" t="str">
        <f t="shared" si="21"/>
        <v>SI</v>
      </c>
      <c r="S409" s="417" t="str">
        <f t="shared" si="23"/>
        <v>Sin Riesgo</v>
      </c>
      <c r="T409" s="16"/>
    </row>
    <row r="410" spans="1:20" ht="32.1" customHeight="1" x14ac:dyDescent="0.2">
      <c r="A410" s="412" t="s">
        <v>3945</v>
      </c>
      <c r="B410" s="421" t="s">
        <v>2426</v>
      </c>
      <c r="C410" s="420" t="s">
        <v>2427</v>
      </c>
      <c r="D410" s="364">
        <v>350</v>
      </c>
      <c r="E410" s="415">
        <v>0</v>
      </c>
      <c r="F410" s="415"/>
      <c r="G410" s="415"/>
      <c r="H410" s="415"/>
      <c r="I410" s="415"/>
      <c r="J410" s="415"/>
      <c r="K410" s="415"/>
      <c r="L410" s="415"/>
      <c r="M410" s="415"/>
      <c r="N410" s="415"/>
      <c r="O410" s="415"/>
      <c r="P410" s="415"/>
      <c r="Q410" s="416">
        <f t="shared" si="22"/>
        <v>0</v>
      </c>
      <c r="R410" s="395" t="str">
        <f t="shared" si="21"/>
        <v>SI</v>
      </c>
      <c r="S410" s="417" t="str">
        <f t="shared" si="23"/>
        <v>Sin Riesgo</v>
      </c>
      <c r="T410" s="16"/>
    </row>
    <row r="411" spans="1:20" ht="32.1" customHeight="1" x14ac:dyDescent="0.2">
      <c r="A411" s="412" t="s">
        <v>3945</v>
      </c>
      <c r="B411" s="412" t="s">
        <v>2428</v>
      </c>
      <c r="C411" s="419" t="s">
        <v>2428</v>
      </c>
      <c r="D411" s="430">
        <v>350</v>
      </c>
      <c r="E411" s="415">
        <v>62.94</v>
      </c>
      <c r="F411" s="415"/>
      <c r="G411" s="415"/>
      <c r="H411" s="415"/>
      <c r="I411" s="415"/>
      <c r="J411" s="415"/>
      <c r="K411" s="415"/>
      <c r="L411" s="415"/>
      <c r="M411" s="415"/>
      <c r="N411" s="415"/>
      <c r="O411" s="415"/>
      <c r="P411" s="415"/>
      <c r="Q411" s="416">
        <f t="shared" si="22"/>
        <v>62.94</v>
      </c>
      <c r="R411" s="395" t="str">
        <f t="shared" si="21"/>
        <v>NO</v>
      </c>
      <c r="S411" s="417" t="str">
        <f t="shared" si="23"/>
        <v>Alto</v>
      </c>
      <c r="T411" s="16"/>
    </row>
    <row r="412" spans="1:20" ht="32.1" customHeight="1" x14ac:dyDescent="0.2">
      <c r="A412" s="412" t="s">
        <v>3945</v>
      </c>
      <c r="B412" s="412" t="s">
        <v>2429</v>
      </c>
      <c r="C412" s="419" t="s">
        <v>2430</v>
      </c>
      <c r="D412" s="413">
        <v>48</v>
      </c>
      <c r="E412" s="415"/>
      <c r="F412" s="415"/>
      <c r="G412" s="415"/>
      <c r="H412" s="415"/>
      <c r="I412" s="415"/>
      <c r="J412" s="415">
        <v>41.96</v>
      </c>
      <c r="K412" s="415"/>
      <c r="L412" s="415"/>
      <c r="M412" s="415"/>
      <c r="N412" s="415"/>
      <c r="O412" s="415"/>
      <c r="P412" s="415"/>
      <c r="Q412" s="416">
        <f t="shared" si="22"/>
        <v>41.96</v>
      </c>
      <c r="R412" s="395" t="str">
        <f t="shared" si="21"/>
        <v>NO</v>
      </c>
      <c r="S412" s="417" t="str">
        <f t="shared" si="23"/>
        <v>Alto</v>
      </c>
      <c r="T412" s="16"/>
    </row>
    <row r="413" spans="1:20" ht="32.1" customHeight="1" x14ac:dyDescent="0.2">
      <c r="A413" s="412" t="s">
        <v>3945</v>
      </c>
      <c r="B413" s="421" t="s">
        <v>96</v>
      </c>
      <c r="C413" s="420" t="s">
        <v>2431</v>
      </c>
      <c r="D413" s="430">
        <v>180</v>
      </c>
      <c r="E413" s="415">
        <v>41.96</v>
      </c>
      <c r="F413" s="415"/>
      <c r="G413" s="415"/>
      <c r="H413" s="415"/>
      <c r="I413" s="415"/>
      <c r="J413" s="415"/>
      <c r="K413" s="415"/>
      <c r="L413" s="415"/>
      <c r="M413" s="415"/>
      <c r="N413" s="415"/>
      <c r="O413" s="415"/>
      <c r="P413" s="415"/>
      <c r="Q413" s="416">
        <f t="shared" si="22"/>
        <v>41.96</v>
      </c>
      <c r="R413" s="395" t="str">
        <f t="shared" si="21"/>
        <v>NO</v>
      </c>
      <c r="S413" s="417" t="str">
        <f t="shared" si="23"/>
        <v>Alto</v>
      </c>
      <c r="T413" s="16"/>
    </row>
    <row r="414" spans="1:20" ht="32.1" customHeight="1" x14ac:dyDescent="0.2">
      <c r="A414" s="412" t="s">
        <v>3945</v>
      </c>
      <c r="B414" s="412" t="s">
        <v>832</v>
      </c>
      <c r="C414" s="419" t="s">
        <v>2432</v>
      </c>
      <c r="D414" s="413">
        <v>350</v>
      </c>
      <c r="E414" s="415"/>
      <c r="F414" s="415">
        <v>0</v>
      </c>
      <c r="G414" s="415"/>
      <c r="H414" s="415"/>
      <c r="I414" s="415"/>
      <c r="J414" s="415"/>
      <c r="K414" s="415"/>
      <c r="L414" s="415"/>
      <c r="M414" s="415"/>
      <c r="N414" s="415"/>
      <c r="O414" s="415"/>
      <c r="P414" s="415"/>
      <c r="Q414" s="416">
        <f t="shared" si="22"/>
        <v>0</v>
      </c>
      <c r="R414" s="395" t="str">
        <f t="shared" si="21"/>
        <v>SI</v>
      </c>
      <c r="S414" s="417" t="str">
        <f t="shared" si="23"/>
        <v>Sin Riesgo</v>
      </c>
      <c r="T414" s="16"/>
    </row>
    <row r="415" spans="1:20" ht="32.1" customHeight="1" x14ac:dyDescent="0.2">
      <c r="A415" s="412" t="s">
        <v>3945</v>
      </c>
      <c r="B415" s="412" t="s">
        <v>1307</v>
      </c>
      <c r="C415" s="420" t="s">
        <v>2433</v>
      </c>
      <c r="D415" s="413">
        <v>74</v>
      </c>
      <c r="E415" s="415"/>
      <c r="F415" s="415"/>
      <c r="G415" s="415">
        <v>41.96</v>
      </c>
      <c r="H415" s="415"/>
      <c r="I415" s="415"/>
      <c r="J415" s="415"/>
      <c r="K415" s="415"/>
      <c r="L415" s="415"/>
      <c r="M415" s="415"/>
      <c r="N415" s="415"/>
      <c r="O415" s="415"/>
      <c r="P415" s="415"/>
      <c r="Q415" s="416">
        <f t="shared" si="22"/>
        <v>41.96</v>
      </c>
      <c r="R415" s="395" t="str">
        <f t="shared" si="21"/>
        <v>NO</v>
      </c>
      <c r="S415" s="417" t="str">
        <f t="shared" si="23"/>
        <v>Alto</v>
      </c>
      <c r="T415" s="16"/>
    </row>
    <row r="416" spans="1:20" ht="32.1" customHeight="1" x14ac:dyDescent="0.2">
      <c r="A416" s="412" t="s">
        <v>3945</v>
      </c>
      <c r="B416" s="421" t="s">
        <v>2434</v>
      </c>
      <c r="C416" s="420" t="s">
        <v>2435</v>
      </c>
      <c r="D416" s="430">
        <v>56</v>
      </c>
      <c r="E416" s="415"/>
      <c r="F416" s="415">
        <v>76.92</v>
      </c>
      <c r="G416" s="415"/>
      <c r="H416" s="415"/>
      <c r="I416" s="415"/>
      <c r="J416" s="415"/>
      <c r="K416" s="415"/>
      <c r="L416" s="415"/>
      <c r="M416" s="415"/>
      <c r="N416" s="415"/>
      <c r="O416" s="415"/>
      <c r="P416" s="415"/>
      <c r="Q416" s="416">
        <f t="shared" si="22"/>
        <v>76.92</v>
      </c>
      <c r="R416" s="395" t="str">
        <f t="shared" si="21"/>
        <v>NO</v>
      </c>
      <c r="S416" s="417" t="str">
        <f t="shared" si="23"/>
        <v>Alto</v>
      </c>
      <c r="T416" s="16"/>
    </row>
    <row r="417" spans="1:20" ht="32.1" customHeight="1" x14ac:dyDescent="0.2">
      <c r="A417" s="412" t="s">
        <v>3945</v>
      </c>
      <c r="B417" s="412" t="s">
        <v>2436</v>
      </c>
      <c r="C417" s="419" t="s">
        <v>2437</v>
      </c>
      <c r="D417" s="430">
        <v>17</v>
      </c>
      <c r="E417" s="415"/>
      <c r="F417" s="415"/>
      <c r="G417" s="415">
        <v>97.92</v>
      </c>
      <c r="H417" s="415"/>
      <c r="I417" s="415"/>
      <c r="J417" s="415"/>
      <c r="K417" s="415"/>
      <c r="L417" s="415"/>
      <c r="M417" s="415"/>
      <c r="N417" s="415"/>
      <c r="O417" s="415"/>
      <c r="P417" s="415"/>
      <c r="Q417" s="416">
        <f t="shared" si="22"/>
        <v>97.92</v>
      </c>
      <c r="R417" s="395" t="str">
        <f t="shared" si="21"/>
        <v>NO</v>
      </c>
      <c r="S417" s="417" t="str">
        <f t="shared" si="23"/>
        <v>Inviable Sanitariamente</v>
      </c>
      <c r="T417" s="16"/>
    </row>
    <row r="418" spans="1:20" ht="32.1" customHeight="1" x14ac:dyDescent="0.2">
      <c r="A418" s="412" t="s">
        <v>3945</v>
      </c>
      <c r="B418" s="412" t="s">
        <v>576</v>
      </c>
      <c r="C418" s="419" t="s">
        <v>2438</v>
      </c>
      <c r="D418" s="430">
        <v>35</v>
      </c>
      <c r="E418" s="415"/>
      <c r="F418" s="415">
        <v>76.92</v>
      </c>
      <c r="G418" s="415"/>
      <c r="H418" s="415"/>
      <c r="I418" s="415"/>
      <c r="J418" s="415"/>
      <c r="K418" s="415"/>
      <c r="L418" s="415"/>
      <c r="M418" s="415"/>
      <c r="N418" s="415"/>
      <c r="O418" s="415"/>
      <c r="P418" s="415"/>
      <c r="Q418" s="416">
        <f t="shared" si="22"/>
        <v>76.92</v>
      </c>
      <c r="R418" s="395" t="str">
        <f t="shared" si="21"/>
        <v>NO</v>
      </c>
      <c r="S418" s="417" t="str">
        <f t="shared" si="23"/>
        <v>Alto</v>
      </c>
      <c r="T418" s="16"/>
    </row>
    <row r="419" spans="1:20" ht="32.1" customHeight="1" x14ac:dyDescent="0.2">
      <c r="A419" s="412" t="s">
        <v>3945</v>
      </c>
      <c r="B419" s="406" t="s">
        <v>2439</v>
      </c>
      <c r="C419" s="420" t="s">
        <v>2440</v>
      </c>
      <c r="D419" s="364">
        <v>29</v>
      </c>
      <c r="E419" s="415"/>
      <c r="F419" s="415">
        <v>41.96</v>
      </c>
      <c r="G419" s="415"/>
      <c r="H419" s="415"/>
      <c r="I419" s="415"/>
      <c r="J419" s="415"/>
      <c r="K419" s="415"/>
      <c r="L419" s="415"/>
      <c r="M419" s="415"/>
      <c r="N419" s="415"/>
      <c r="O419" s="415"/>
      <c r="P419" s="415"/>
      <c r="Q419" s="416">
        <f t="shared" si="22"/>
        <v>41.96</v>
      </c>
      <c r="R419" s="395" t="str">
        <f t="shared" si="21"/>
        <v>NO</v>
      </c>
      <c r="S419" s="417" t="str">
        <f t="shared" si="23"/>
        <v>Alto</v>
      </c>
      <c r="T419" s="16"/>
    </row>
    <row r="420" spans="1:20" ht="32.1" customHeight="1" x14ac:dyDescent="0.2">
      <c r="A420" s="412" t="s">
        <v>3945</v>
      </c>
      <c r="B420" s="421" t="s">
        <v>2</v>
      </c>
      <c r="C420" s="418" t="s">
        <v>2441</v>
      </c>
      <c r="D420" s="430">
        <v>38</v>
      </c>
      <c r="E420" s="415"/>
      <c r="F420" s="415">
        <v>76.92</v>
      </c>
      <c r="G420" s="415"/>
      <c r="H420" s="415"/>
      <c r="I420" s="415"/>
      <c r="J420" s="415"/>
      <c r="K420" s="415"/>
      <c r="L420" s="415"/>
      <c r="M420" s="415"/>
      <c r="N420" s="415"/>
      <c r="O420" s="415"/>
      <c r="P420" s="415"/>
      <c r="Q420" s="416">
        <f t="shared" si="22"/>
        <v>76.92</v>
      </c>
      <c r="R420" s="395" t="str">
        <f t="shared" si="21"/>
        <v>NO</v>
      </c>
      <c r="S420" s="417" t="str">
        <f t="shared" si="23"/>
        <v>Alto</v>
      </c>
      <c r="T420" s="16"/>
    </row>
    <row r="421" spans="1:20" ht="32.1" customHeight="1" x14ac:dyDescent="0.2">
      <c r="A421" s="412" t="s">
        <v>3945</v>
      </c>
      <c r="B421" s="412" t="s">
        <v>1</v>
      </c>
      <c r="C421" s="420" t="s">
        <v>2442</v>
      </c>
      <c r="D421" s="430">
        <v>70</v>
      </c>
      <c r="E421" s="415">
        <v>76.92</v>
      </c>
      <c r="F421" s="415"/>
      <c r="G421" s="415"/>
      <c r="H421" s="415"/>
      <c r="I421" s="415"/>
      <c r="J421" s="415"/>
      <c r="K421" s="415"/>
      <c r="L421" s="415"/>
      <c r="M421" s="415"/>
      <c r="N421" s="415"/>
      <c r="O421" s="415"/>
      <c r="P421" s="415"/>
      <c r="Q421" s="416">
        <f t="shared" si="22"/>
        <v>76.92</v>
      </c>
      <c r="R421" s="395" t="str">
        <f t="shared" si="21"/>
        <v>NO</v>
      </c>
      <c r="S421" s="417" t="str">
        <f t="shared" si="23"/>
        <v>Alto</v>
      </c>
      <c r="T421" s="16"/>
    </row>
    <row r="422" spans="1:20" ht="32.1" customHeight="1" x14ac:dyDescent="0.2">
      <c r="A422" s="412" t="s">
        <v>3945</v>
      </c>
      <c r="B422" s="421" t="s">
        <v>1874</v>
      </c>
      <c r="C422" s="418" t="s">
        <v>2443</v>
      </c>
      <c r="D422" s="430">
        <v>22</v>
      </c>
      <c r="E422" s="415">
        <v>76.92</v>
      </c>
      <c r="F422" s="415"/>
      <c r="G422" s="415"/>
      <c r="H422" s="415"/>
      <c r="I422" s="415"/>
      <c r="J422" s="415"/>
      <c r="K422" s="415"/>
      <c r="L422" s="415"/>
      <c r="M422" s="415"/>
      <c r="N422" s="415"/>
      <c r="O422" s="415"/>
      <c r="P422" s="415"/>
      <c r="Q422" s="416">
        <f t="shared" si="22"/>
        <v>76.92</v>
      </c>
      <c r="R422" s="395" t="str">
        <f t="shared" si="21"/>
        <v>NO</v>
      </c>
      <c r="S422" s="417" t="str">
        <f t="shared" si="23"/>
        <v>Alto</v>
      </c>
      <c r="T422" s="16"/>
    </row>
    <row r="423" spans="1:20" ht="32.1" customHeight="1" x14ac:dyDescent="0.2">
      <c r="A423" s="412" t="s">
        <v>3945</v>
      </c>
      <c r="B423" s="412" t="s">
        <v>2444</v>
      </c>
      <c r="C423" s="419" t="s">
        <v>2445</v>
      </c>
      <c r="D423" s="413">
        <v>43</v>
      </c>
      <c r="E423" s="415">
        <v>76.92</v>
      </c>
      <c r="F423" s="415"/>
      <c r="G423" s="415"/>
      <c r="H423" s="415"/>
      <c r="I423" s="415"/>
      <c r="J423" s="415"/>
      <c r="K423" s="415"/>
      <c r="L423" s="415"/>
      <c r="M423" s="415"/>
      <c r="N423" s="415"/>
      <c r="O423" s="415"/>
      <c r="P423" s="415"/>
      <c r="Q423" s="416">
        <f t="shared" si="22"/>
        <v>76.92</v>
      </c>
      <c r="R423" s="395" t="str">
        <f t="shared" si="21"/>
        <v>NO</v>
      </c>
      <c r="S423" s="417" t="str">
        <f t="shared" si="23"/>
        <v>Alto</v>
      </c>
      <c r="T423" s="16"/>
    </row>
    <row r="424" spans="1:20" ht="32.1" customHeight="1" x14ac:dyDescent="0.2">
      <c r="A424" s="412" t="s">
        <v>3945</v>
      </c>
      <c r="B424" s="412" t="s">
        <v>2446</v>
      </c>
      <c r="C424" s="419" t="s">
        <v>2447</v>
      </c>
      <c r="D424" s="413">
        <v>50</v>
      </c>
      <c r="E424" s="415">
        <v>76.92</v>
      </c>
      <c r="F424" s="415"/>
      <c r="G424" s="415"/>
      <c r="H424" s="415"/>
      <c r="I424" s="415"/>
      <c r="J424" s="415"/>
      <c r="K424" s="415"/>
      <c r="L424" s="415"/>
      <c r="M424" s="415"/>
      <c r="N424" s="415"/>
      <c r="O424" s="415"/>
      <c r="P424" s="415"/>
      <c r="Q424" s="416">
        <f t="shared" si="22"/>
        <v>76.92</v>
      </c>
      <c r="R424" s="395" t="str">
        <f t="shared" si="21"/>
        <v>NO</v>
      </c>
      <c r="S424" s="417" t="str">
        <f t="shared" si="23"/>
        <v>Alto</v>
      </c>
      <c r="T424" s="16"/>
    </row>
    <row r="425" spans="1:20" ht="32.1" customHeight="1" x14ac:dyDescent="0.2">
      <c r="A425" s="412" t="s">
        <v>3945</v>
      </c>
      <c r="B425" s="421" t="s">
        <v>2</v>
      </c>
      <c r="C425" s="420" t="s">
        <v>377</v>
      </c>
      <c r="D425" s="364">
        <v>30</v>
      </c>
      <c r="E425" s="415"/>
      <c r="F425" s="415"/>
      <c r="G425" s="415"/>
      <c r="H425" s="415"/>
      <c r="I425" s="415"/>
      <c r="J425" s="415"/>
      <c r="K425" s="415">
        <v>76.92</v>
      </c>
      <c r="L425" s="415"/>
      <c r="M425" s="415"/>
      <c r="N425" s="415"/>
      <c r="O425" s="415"/>
      <c r="P425" s="415"/>
      <c r="Q425" s="416">
        <f t="shared" si="22"/>
        <v>76.92</v>
      </c>
      <c r="R425" s="395" t="str">
        <f t="shared" si="21"/>
        <v>NO</v>
      </c>
      <c r="S425" s="417" t="str">
        <f t="shared" si="23"/>
        <v>Alto</v>
      </c>
      <c r="T425" s="16"/>
    </row>
    <row r="426" spans="1:20" ht="32.1" customHeight="1" x14ac:dyDescent="0.2">
      <c r="A426" s="412" t="s">
        <v>3945</v>
      </c>
      <c r="B426" s="412" t="s">
        <v>2448</v>
      </c>
      <c r="C426" s="419" t="s">
        <v>2449</v>
      </c>
      <c r="D426" s="430">
        <v>40</v>
      </c>
      <c r="E426" s="415"/>
      <c r="F426" s="415"/>
      <c r="G426" s="415"/>
      <c r="H426" s="415"/>
      <c r="I426" s="415"/>
      <c r="J426" s="415">
        <v>62.94</v>
      </c>
      <c r="K426" s="415"/>
      <c r="L426" s="415"/>
      <c r="M426" s="415"/>
      <c r="N426" s="415"/>
      <c r="O426" s="415"/>
      <c r="P426" s="415"/>
      <c r="Q426" s="416">
        <f t="shared" si="22"/>
        <v>62.94</v>
      </c>
      <c r="R426" s="395" t="str">
        <f t="shared" si="21"/>
        <v>NO</v>
      </c>
      <c r="S426" s="417" t="str">
        <f t="shared" si="23"/>
        <v>Alto</v>
      </c>
      <c r="T426" s="16"/>
    </row>
    <row r="427" spans="1:20" ht="32.1" customHeight="1" x14ac:dyDescent="0.2">
      <c r="A427" s="412" t="s">
        <v>3945</v>
      </c>
      <c r="B427" s="412" t="s">
        <v>2450</v>
      </c>
      <c r="C427" s="419" t="s">
        <v>2451</v>
      </c>
      <c r="D427" s="430">
        <v>54</v>
      </c>
      <c r="E427" s="415"/>
      <c r="F427" s="415">
        <v>41.96</v>
      </c>
      <c r="G427" s="415"/>
      <c r="H427" s="415"/>
      <c r="I427" s="415"/>
      <c r="J427" s="415"/>
      <c r="K427" s="415"/>
      <c r="L427" s="415"/>
      <c r="M427" s="415"/>
      <c r="N427" s="415"/>
      <c r="O427" s="415"/>
      <c r="P427" s="415"/>
      <c r="Q427" s="416">
        <f t="shared" si="22"/>
        <v>41.96</v>
      </c>
      <c r="R427" s="395" t="str">
        <f t="shared" si="21"/>
        <v>NO</v>
      </c>
      <c r="S427" s="417" t="str">
        <f t="shared" si="23"/>
        <v>Alto</v>
      </c>
      <c r="T427" s="16"/>
    </row>
    <row r="428" spans="1:20" ht="32.1" customHeight="1" x14ac:dyDescent="0.2">
      <c r="A428" s="412" t="s">
        <v>3945</v>
      </c>
      <c r="B428" s="421" t="s">
        <v>2452</v>
      </c>
      <c r="C428" s="418" t="s">
        <v>2453</v>
      </c>
      <c r="D428" s="430">
        <v>72</v>
      </c>
      <c r="E428" s="415"/>
      <c r="F428" s="415"/>
      <c r="G428" s="415">
        <v>76.92</v>
      </c>
      <c r="H428" s="415"/>
      <c r="I428" s="415"/>
      <c r="J428" s="415"/>
      <c r="K428" s="415"/>
      <c r="L428" s="415"/>
      <c r="M428" s="415"/>
      <c r="N428" s="415"/>
      <c r="O428" s="415"/>
      <c r="P428" s="415"/>
      <c r="Q428" s="416">
        <f t="shared" si="22"/>
        <v>76.92</v>
      </c>
      <c r="R428" s="395" t="str">
        <f t="shared" ref="R428:R496" si="24">IF(Q428&lt;5,"SI","NO")</f>
        <v>NO</v>
      </c>
      <c r="S428" s="417" t="str">
        <f t="shared" si="23"/>
        <v>Alto</v>
      </c>
      <c r="T428" s="16"/>
    </row>
    <row r="429" spans="1:20" ht="32.1" customHeight="1" x14ac:dyDescent="0.2">
      <c r="A429" s="412" t="s">
        <v>3945</v>
      </c>
      <c r="B429" s="412" t="s">
        <v>2454</v>
      </c>
      <c r="C429" s="419" t="s">
        <v>2455</v>
      </c>
      <c r="D429" s="413">
        <v>40</v>
      </c>
      <c r="E429" s="415"/>
      <c r="F429" s="415"/>
      <c r="G429" s="415">
        <v>76.92</v>
      </c>
      <c r="H429" s="415"/>
      <c r="I429" s="415"/>
      <c r="J429" s="415"/>
      <c r="K429" s="415"/>
      <c r="L429" s="415"/>
      <c r="M429" s="415"/>
      <c r="N429" s="415"/>
      <c r="O429" s="415"/>
      <c r="P429" s="415"/>
      <c r="Q429" s="416">
        <f t="shared" ref="Q429:Q497" si="25">AVERAGE(E429:P429)</f>
        <v>76.92</v>
      </c>
      <c r="R429" s="395" t="str">
        <f t="shared" si="24"/>
        <v>NO</v>
      </c>
      <c r="S429" s="417" t="str">
        <f t="shared" si="23"/>
        <v>Alto</v>
      </c>
      <c r="T429" s="16"/>
    </row>
    <row r="430" spans="1:20" ht="32.1" customHeight="1" x14ac:dyDescent="0.2">
      <c r="A430" s="412" t="s">
        <v>176</v>
      </c>
      <c r="B430" s="412" t="s">
        <v>2456</v>
      </c>
      <c r="C430" s="419" t="s">
        <v>2457</v>
      </c>
      <c r="D430" s="364">
        <v>127</v>
      </c>
      <c r="E430" s="415"/>
      <c r="F430" s="415">
        <v>0</v>
      </c>
      <c r="G430" s="415"/>
      <c r="H430" s="415"/>
      <c r="I430" s="415"/>
      <c r="J430" s="415"/>
      <c r="K430" s="415">
        <v>0</v>
      </c>
      <c r="L430" s="415"/>
      <c r="M430" s="415"/>
      <c r="N430" s="415"/>
      <c r="O430" s="415">
        <v>0</v>
      </c>
      <c r="P430" s="415"/>
      <c r="Q430" s="416">
        <f t="shared" si="25"/>
        <v>0</v>
      </c>
      <c r="R430" s="395" t="str">
        <f t="shared" si="24"/>
        <v>SI</v>
      </c>
      <c r="S430" s="417" t="str">
        <f t="shared" si="23"/>
        <v>Sin Riesgo</v>
      </c>
      <c r="T430" s="16"/>
    </row>
    <row r="431" spans="1:20" ht="32.1" customHeight="1" x14ac:dyDescent="0.2">
      <c r="A431" s="412" t="s">
        <v>176</v>
      </c>
      <c r="B431" s="412" t="s">
        <v>2458</v>
      </c>
      <c r="C431" s="419" t="s">
        <v>2459</v>
      </c>
      <c r="D431" s="364">
        <v>27</v>
      </c>
      <c r="E431" s="415"/>
      <c r="F431" s="415"/>
      <c r="G431" s="415"/>
      <c r="H431" s="415"/>
      <c r="I431" s="415">
        <v>97.35</v>
      </c>
      <c r="J431" s="415"/>
      <c r="K431" s="415"/>
      <c r="L431" s="415"/>
      <c r="M431" s="415"/>
      <c r="N431" s="415"/>
      <c r="O431" s="415"/>
      <c r="P431" s="415"/>
      <c r="Q431" s="416">
        <f t="shared" si="25"/>
        <v>97.35</v>
      </c>
      <c r="R431" s="395" t="str">
        <f t="shared" si="24"/>
        <v>NO</v>
      </c>
      <c r="S431" s="417" t="str">
        <f t="shared" si="23"/>
        <v>Inviable Sanitariamente</v>
      </c>
      <c r="T431" s="16"/>
    </row>
    <row r="432" spans="1:20" ht="32.1" customHeight="1" x14ac:dyDescent="0.2">
      <c r="A432" s="412" t="s">
        <v>176</v>
      </c>
      <c r="B432" s="412" t="s">
        <v>2460</v>
      </c>
      <c r="C432" s="420" t="s">
        <v>2461</v>
      </c>
      <c r="D432" s="364">
        <v>60</v>
      </c>
      <c r="E432" s="415">
        <v>97.35</v>
      </c>
      <c r="F432" s="415"/>
      <c r="G432" s="415"/>
      <c r="H432" s="415"/>
      <c r="I432" s="415"/>
      <c r="J432" s="415"/>
      <c r="K432" s="415"/>
      <c r="L432" s="415"/>
      <c r="M432" s="415"/>
      <c r="N432" s="415"/>
      <c r="O432" s="415"/>
      <c r="P432" s="415"/>
      <c r="Q432" s="416">
        <f t="shared" si="25"/>
        <v>97.35</v>
      </c>
      <c r="R432" s="395" t="str">
        <f t="shared" si="24"/>
        <v>NO</v>
      </c>
      <c r="S432" s="417" t="str">
        <f t="shared" si="23"/>
        <v>Inviable Sanitariamente</v>
      </c>
      <c r="T432" s="16"/>
    </row>
    <row r="433" spans="1:20" ht="32.1" customHeight="1" x14ac:dyDescent="0.2">
      <c r="A433" s="412" t="s">
        <v>176</v>
      </c>
      <c r="B433" s="412" t="s">
        <v>2020</v>
      </c>
      <c r="C433" s="420" t="s">
        <v>2462</v>
      </c>
      <c r="D433" s="364">
        <v>50</v>
      </c>
      <c r="E433" s="415"/>
      <c r="F433" s="415"/>
      <c r="G433" s="415"/>
      <c r="H433" s="415"/>
      <c r="I433" s="415"/>
      <c r="J433" s="415"/>
      <c r="K433" s="415"/>
      <c r="L433" s="415"/>
      <c r="M433" s="415"/>
      <c r="N433" s="415"/>
      <c r="O433" s="415"/>
      <c r="P433" s="415"/>
      <c r="Q433" s="416" t="e">
        <f t="shared" si="25"/>
        <v>#DIV/0!</v>
      </c>
      <c r="R433" s="395" t="e">
        <f t="shared" si="24"/>
        <v>#DIV/0!</v>
      </c>
      <c r="S433" s="417" t="e">
        <f t="shared" si="23"/>
        <v>#DIV/0!</v>
      </c>
      <c r="T433" s="16"/>
    </row>
    <row r="434" spans="1:20" ht="32.1" customHeight="1" x14ac:dyDescent="0.2">
      <c r="A434" s="412" t="s">
        <v>176</v>
      </c>
      <c r="B434" s="412" t="s">
        <v>2463</v>
      </c>
      <c r="C434" s="419" t="s">
        <v>2464</v>
      </c>
      <c r="D434" s="364">
        <v>30</v>
      </c>
      <c r="E434" s="415"/>
      <c r="F434" s="415"/>
      <c r="G434" s="415"/>
      <c r="H434" s="415"/>
      <c r="I434" s="415"/>
      <c r="J434" s="415"/>
      <c r="K434" s="415"/>
      <c r="L434" s="415"/>
      <c r="M434" s="415"/>
      <c r="N434" s="415"/>
      <c r="O434" s="415"/>
      <c r="P434" s="415"/>
      <c r="Q434" s="416" t="e">
        <f t="shared" si="25"/>
        <v>#DIV/0!</v>
      </c>
      <c r="R434" s="395" t="e">
        <f t="shared" si="24"/>
        <v>#DIV/0!</v>
      </c>
      <c r="S434" s="417" t="e">
        <f t="shared" si="23"/>
        <v>#DIV/0!</v>
      </c>
      <c r="T434" s="16"/>
    </row>
    <row r="435" spans="1:20" ht="32.1" customHeight="1" x14ac:dyDescent="0.2">
      <c r="A435" s="412" t="s">
        <v>176</v>
      </c>
      <c r="B435" s="412" t="s">
        <v>2465</v>
      </c>
      <c r="C435" s="420" t="s">
        <v>2466</v>
      </c>
      <c r="D435" s="364">
        <v>38</v>
      </c>
      <c r="E435" s="415">
        <v>97.35</v>
      </c>
      <c r="F435" s="415"/>
      <c r="G435" s="415">
        <v>97.35</v>
      </c>
      <c r="H435" s="415"/>
      <c r="I435" s="415">
        <v>97.35</v>
      </c>
      <c r="J435" s="415"/>
      <c r="K435" s="415"/>
      <c r="L435" s="415"/>
      <c r="M435" s="415"/>
      <c r="N435" s="415"/>
      <c r="O435" s="415">
        <v>97.35</v>
      </c>
      <c r="P435" s="415"/>
      <c r="Q435" s="416">
        <f t="shared" si="25"/>
        <v>97.35</v>
      </c>
      <c r="R435" s="395" t="str">
        <f t="shared" si="24"/>
        <v>NO</v>
      </c>
      <c r="S435" s="417" t="str">
        <f t="shared" si="23"/>
        <v>Inviable Sanitariamente</v>
      </c>
      <c r="T435" s="16"/>
    </row>
    <row r="436" spans="1:20" ht="32.1" customHeight="1" x14ac:dyDescent="0.2">
      <c r="A436" s="412" t="s">
        <v>176</v>
      </c>
      <c r="B436" s="412" t="s">
        <v>2467</v>
      </c>
      <c r="C436" s="420" t="s">
        <v>2468</v>
      </c>
      <c r="D436" s="413">
        <v>25</v>
      </c>
      <c r="E436" s="415"/>
      <c r="F436" s="415"/>
      <c r="G436" s="415"/>
      <c r="H436" s="415"/>
      <c r="I436" s="415"/>
      <c r="J436" s="415"/>
      <c r="K436" s="415"/>
      <c r="L436" s="415"/>
      <c r="M436" s="415"/>
      <c r="N436" s="415"/>
      <c r="O436" s="415"/>
      <c r="P436" s="415"/>
      <c r="Q436" s="416" t="e">
        <f t="shared" si="25"/>
        <v>#DIV/0!</v>
      </c>
      <c r="R436" s="395" t="e">
        <f t="shared" si="24"/>
        <v>#DIV/0!</v>
      </c>
      <c r="S436" s="417" t="e">
        <f t="shared" si="23"/>
        <v>#DIV/0!</v>
      </c>
      <c r="T436" s="16"/>
    </row>
    <row r="437" spans="1:20" ht="32.1" customHeight="1" x14ac:dyDescent="0.2">
      <c r="A437" s="412" t="s">
        <v>176</v>
      </c>
      <c r="B437" s="412" t="s">
        <v>770</v>
      </c>
      <c r="C437" s="419" t="s">
        <v>2469</v>
      </c>
      <c r="D437" s="413">
        <v>60</v>
      </c>
      <c r="E437" s="415"/>
      <c r="F437" s="415">
        <v>0</v>
      </c>
      <c r="G437" s="415"/>
      <c r="H437" s="415">
        <v>0</v>
      </c>
      <c r="I437" s="415"/>
      <c r="J437" s="415">
        <v>0</v>
      </c>
      <c r="K437" s="415"/>
      <c r="L437" s="415"/>
      <c r="M437" s="415"/>
      <c r="N437" s="415"/>
      <c r="O437" s="415"/>
      <c r="P437" s="415"/>
      <c r="Q437" s="416">
        <f>AVERAGE(E437:P437)</f>
        <v>0</v>
      </c>
      <c r="R437" s="395" t="str">
        <f>IF(Q437&lt;5,"SI","NO")</f>
        <v>SI</v>
      </c>
      <c r="S437" s="417" t="str">
        <f>IF(Q437&lt;5,"Sin Riesgo",IF(Q437 &lt;=14,"Bajo",IF(Q437&lt;=35,"Medio",IF(Q437&lt;=80,"Alto","Inviable Sanitariamente"))))</f>
        <v>Sin Riesgo</v>
      </c>
      <c r="T437" s="16"/>
    </row>
    <row r="438" spans="1:20" ht="32.1" customHeight="1" x14ac:dyDescent="0.2">
      <c r="A438" s="412" t="s">
        <v>176</v>
      </c>
      <c r="B438" s="412" t="s">
        <v>4227</v>
      </c>
      <c r="C438" s="419" t="s">
        <v>4228</v>
      </c>
      <c r="D438" s="413">
        <v>100</v>
      </c>
      <c r="E438" s="415"/>
      <c r="F438" s="415"/>
      <c r="G438" s="415"/>
      <c r="H438" s="415"/>
      <c r="I438" s="415"/>
      <c r="J438" s="415">
        <v>0</v>
      </c>
      <c r="K438" s="415"/>
      <c r="L438" s="415"/>
      <c r="M438" s="415"/>
      <c r="N438" s="415"/>
      <c r="O438" s="415">
        <v>0</v>
      </c>
      <c r="P438" s="415"/>
      <c r="Q438" s="416">
        <f>AVERAGE(E438:P438)</f>
        <v>0</v>
      </c>
      <c r="R438" s="395" t="str">
        <f>IF(Q438&lt;5,"SI","NO")</f>
        <v>SI</v>
      </c>
      <c r="S438" s="417" t="str">
        <f>IF(Q438&lt;5,"Sin Riesgo",IF(Q438 &lt;=14,"Bajo",IF(Q438&lt;=35,"Medio",IF(Q438&lt;=80,"Alto","Inviable Sanitariamente"))))</f>
        <v>Sin Riesgo</v>
      </c>
      <c r="T438" s="16"/>
    </row>
    <row r="439" spans="1:20" ht="32.1" customHeight="1" x14ac:dyDescent="0.2">
      <c r="A439" s="412" t="s">
        <v>176</v>
      </c>
      <c r="B439" s="412" t="s">
        <v>4229</v>
      </c>
      <c r="C439" s="419" t="s">
        <v>4230</v>
      </c>
      <c r="D439" s="413">
        <v>127</v>
      </c>
      <c r="E439" s="415"/>
      <c r="F439" s="415">
        <v>0</v>
      </c>
      <c r="G439" s="415"/>
      <c r="H439" s="415"/>
      <c r="I439" s="415"/>
      <c r="J439" s="415"/>
      <c r="K439" s="415">
        <v>0</v>
      </c>
      <c r="L439" s="415"/>
      <c r="M439" s="415"/>
      <c r="N439" s="415"/>
      <c r="O439" s="415">
        <v>0</v>
      </c>
      <c r="P439" s="415"/>
      <c r="Q439" s="416">
        <f>AVERAGE(E439:P439)</f>
        <v>0</v>
      </c>
      <c r="R439" s="395" t="str">
        <f>IF(Q439&lt;5,"SI","NO")</f>
        <v>SI</v>
      </c>
      <c r="S439" s="417" t="str">
        <f>IF(Q439&lt;5,"Sin Riesgo",IF(Q439 &lt;=14,"Bajo",IF(Q439&lt;=35,"Medio",IF(Q439&lt;=80,"Alto","Inviable Sanitariamente"))))</f>
        <v>Sin Riesgo</v>
      </c>
      <c r="T439" s="16"/>
    </row>
    <row r="440" spans="1:20" ht="32.1" customHeight="1" x14ac:dyDescent="0.2">
      <c r="A440" s="412" t="s">
        <v>176</v>
      </c>
      <c r="B440" s="412" t="s">
        <v>2020</v>
      </c>
      <c r="C440" s="419" t="s">
        <v>4231</v>
      </c>
      <c r="D440" s="413">
        <v>60</v>
      </c>
      <c r="E440" s="415"/>
      <c r="F440" s="415"/>
      <c r="G440" s="415"/>
      <c r="H440" s="415"/>
      <c r="I440" s="415">
        <v>0</v>
      </c>
      <c r="J440" s="415"/>
      <c r="K440" s="415">
        <v>0</v>
      </c>
      <c r="L440" s="415"/>
      <c r="M440" s="415"/>
      <c r="N440" s="415"/>
      <c r="O440" s="415"/>
      <c r="P440" s="415"/>
      <c r="Q440" s="416">
        <f>AVERAGE(E440:P440)</f>
        <v>0</v>
      </c>
      <c r="R440" s="395" t="str">
        <f>IF(Q440&lt;5,"SI","NO")</f>
        <v>SI</v>
      </c>
      <c r="S440" s="417" t="str">
        <f>IF(Q440&lt;5,"Sin Riesgo",IF(Q440 &lt;=14,"Bajo",IF(Q440&lt;=35,"Medio",IF(Q440&lt;=80,"Alto","Inviable Sanitariamente"))))</f>
        <v>Sin Riesgo</v>
      </c>
      <c r="T440" s="16"/>
    </row>
    <row r="441" spans="1:20" ht="32.1" customHeight="1" x14ac:dyDescent="0.2">
      <c r="A441" s="412" t="s">
        <v>176</v>
      </c>
      <c r="B441" s="412" t="s">
        <v>2458</v>
      </c>
      <c r="C441" s="419" t="s">
        <v>4232</v>
      </c>
      <c r="D441" s="413">
        <v>30</v>
      </c>
      <c r="E441" s="415"/>
      <c r="F441" s="415"/>
      <c r="G441" s="415"/>
      <c r="H441" s="415"/>
      <c r="I441" s="415">
        <v>0</v>
      </c>
      <c r="J441" s="415"/>
      <c r="K441" s="415">
        <v>0</v>
      </c>
      <c r="L441" s="415"/>
      <c r="M441" s="415"/>
      <c r="N441" s="415"/>
      <c r="O441" s="415">
        <v>0</v>
      </c>
      <c r="P441" s="415"/>
      <c r="Q441" s="416">
        <f>AVERAGE(E441:P441)</f>
        <v>0</v>
      </c>
      <c r="R441" s="395" t="str">
        <f>IF(Q441&lt;5,"SI","NO")</f>
        <v>SI</v>
      </c>
      <c r="S441" s="417" t="str">
        <f>IF(Q441&lt;5,"Sin Riesgo",IF(Q441 &lt;=14,"Bajo",IF(Q441&lt;=35,"Medio",IF(Q441&lt;=80,"Alto","Inviable Sanitariamente"))))</f>
        <v>Sin Riesgo</v>
      </c>
      <c r="T441" s="16"/>
    </row>
    <row r="442" spans="1:20" ht="32.1" customHeight="1" x14ac:dyDescent="0.2">
      <c r="A442" s="412" t="s">
        <v>176</v>
      </c>
      <c r="B442" s="412" t="s">
        <v>4233</v>
      </c>
      <c r="C442" s="419" t="s">
        <v>4234</v>
      </c>
      <c r="D442" s="413">
        <v>10</v>
      </c>
      <c r="E442" s="415"/>
      <c r="F442" s="415"/>
      <c r="G442" s="415"/>
      <c r="H442" s="415"/>
      <c r="I442" s="415">
        <v>0</v>
      </c>
      <c r="J442" s="415"/>
      <c r="K442" s="415"/>
      <c r="L442" s="415"/>
      <c r="M442" s="415"/>
      <c r="N442" s="415"/>
      <c r="O442" s="415"/>
      <c r="P442" s="415"/>
      <c r="Q442" s="416">
        <f t="shared" si="25"/>
        <v>0</v>
      </c>
      <c r="R442" s="395" t="str">
        <f t="shared" si="24"/>
        <v>SI</v>
      </c>
      <c r="S442" s="417" t="str">
        <f t="shared" si="23"/>
        <v>Sin Riesgo</v>
      </c>
      <c r="T442" s="16"/>
    </row>
    <row r="443" spans="1:20" ht="32.1" customHeight="1" x14ac:dyDescent="0.2">
      <c r="A443" s="412" t="s">
        <v>177</v>
      </c>
      <c r="B443" s="412" t="s">
        <v>2470</v>
      </c>
      <c r="C443" s="419" t="s">
        <v>2471</v>
      </c>
      <c r="D443" s="364">
        <v>20</v>
      </c>
      <c r="E443" s="415">
        <v>26.5</v>
      </c>
      <c r="F443" s="415"/>
      <c r="G443" s="415">
        <v>0</v>
      </c>
      <c r="H443" s="415"/>
      <c r="I443" s="415">
        <v>0</v>
      </c>
      <c r="J443" s="415"/>
      <c r="K443" s="415">
        <v>0</v>
      </c>
      <c r="L443" s="415"/>
      <c r="M443" s="415">
        <v>0</v>
      </c>
      <c r="N443" s="415"/>
      <c r="O443" s="415">
        <v>71</v>
      </c>
      <c r="P443" s="415"/>
      <c r="Q443" s="416">
        <v>97.3</v>
      </c>
      <c r="R443" s="395" t="str">
        <f t="shared" si="24"/>
        <v>NO</v>
      </c>
      <c r="S443" s="417" t="str">
        <f t="shared" si="23"/>
        <v>Inviable Sanitariamente</v>
      </c>
    </row>
    <row r="444" spans="1:20" ht="32.1" customHeight="1" x14ac:dyDescent="0.2">
      <c r="A444" s="412" t="s">
        <v>177</v>
      </c>
      <c r="B444" s="412" t="s">
        <v>2472</v>
      </c>
      <c r="C444" s="419" t="s">
        <v>2473</v>
      </c>
      <c r="D444" s="364">
        <v>104</v>
      </c>
      <c r="E444" s="415">
        <v>26.5</v>
      </c>
      <c r="F444" s="415"/>
      <c r="G444" s="415">
        <v>0</v>
      </c>
      <c r="H444" s="415"/>
      <c r="I444" s="415">
        <v>0</v>
      </c>
      <c r="J444" s="415"/>
      <c r="K444" s="415">
        <v>97.3</v>
      </c>
      <c r="L444" s="415"/>
      <c r="M444" s="415">
        <v>0</v>
      </c>
      <c r="N444" s="415"/>
      <c r="O444" s="415">
        <v>0</v>
      </c>
      <c r="P444" s="415"/>
      <c r="Q444" s="416">
        <f t="shared" si="25"/>
        <v>20.633333333333333</v>
      </c>
      <c r="R444" s="395" t="str">
        <f t="shared" si="24"/>
        <v>NO</v>
      </c>
      <c r="S444" s="417" t="str">
        <f t="shared" si="23"/>
        <v>Medio</v>
      </c>
    </row>
    <row r="445" spans="1:20" ht="32.1" customHeight="1" x14ac:dyDescent="0.2">
      <c r="A445" s="412" t="s">
        <v>177</v>
      </c>
      <c r="B445" s="412" t="s">
        <v>2474</v>
      </c>
      <c r="C445" s="419" t="s">
        <v>2475</v>
      </c>
      <c r="D445" s="364">
        <v>187</v>
      </c>
      <c r="E445" s="415"/>
      <c r="F445" s="415"/>
      <c r="G445" s="415"/>
      <c r="H445" s="415"/>
      <c r="I445" s="415">
        <v>97.3</v>
      </c>
      <c r="J445" s="415"/>
      <c r="K445" s="415"/>
      <c r="L445" s="415"/>
      <c r="M445" s="415"/>
      <c r="N445" s="415"/>
      <c r="O445" s="415"/>
      <c r="P445" s="415">
        <v>97.3</v>
      </c>
      <c r="Q445" s="416">
        <f t="shared" si="25"/>
        <v>97.3</v>
      </c>
      <c r="R445" s="395" t="str">
        <f t="shared" si="24"/>
        <v>NO</v>
      </c>
      <c r="S445" s="417" t="str">
        <f t="shared" si="23"/>
        <v>Inviable Sanitariamente</v>
      </c>
    </row>
    <row r="446" spans="1:20" ht="32.1" customHeight="1" x14ac:dyDescent="0.2">
      <c r="A446" s="412" t="s">
        <v>177</v>
      </c>
      <c r="B446" s="412" t="s">
        <v>2476</v>
      </c>
      <c r="C446" s="419" t="s">
        <v>2477</v>
      </c>
      <c r="D446" s="364">
        <v>148</v>
      </c>
      <c r="E446" s="415"/>
      <c r="F446" s="415"/>
      <c r="G446" s="415">
        <v>97.3</v>
      </c>
      <c r="H446" s="415"/>
      <c r="I446" s="415"/>
      <c r="J446" s="415"/>
      <c r="K446" s="415"/>
      <c r="L446" s="415"/>
      <c r="M446" s="415"/>
      <c r="N446" s="415"/>
      <c r="O446" s="415"/>
      <c r="P446" s="415">
        <v>97.3</v>
      </c>
      <c r="Q446" s="416">
        <f t="shared" si="25"/>
        <v>97.3</v>
      </c>
      <c r="R446" s="395" t="str">
        <f t="shared" si="24"/>
        <v>NO</v>
      </c>
      <c r="S446" s="417" t="str">
        <f t="shared" si="23"/>
        <v>Inviable Sanitariamente</v>
      </c>
    </row>
    <row r="447" spans="1:20" ht="32.1" customHeight="1" x14ac:dyDescent="0.2">
      <c r="A447" s="412" t="s">
        <v>177</v>
      </c>
      <c r="B447" s="412" t="s">
        <v>2478</v>
      </c>
      <c r="C447" s="419" t="s">
        <v>2479</v>
      </c>
      <c r="D447" s="413">
        <v>36</v>
      </c>
      <c r="E447" s="415"/>
      <c r="F447" s="415">
        <v>97.3</v>
      </c>
      <c r="G447" s="415"/>
      <c r="H447" s="415"/>
      <c r="I447" s="415"/>
      <c r="J447" s="415"/>
      <c r="K447" s="415"/>
      <c r="L447" s="415"/>
      <c r="M447" s="415"/>
      <c r="N447" s="415"/>
      <c r="O447" s="415"/>
      <c r="P447" s="415">
        <v>97.3</v>
      </c>
      <c r="Q447" s="416">
        <f t="shared" si="25"/>
        <v>97.3</v>
      </c>
      <c r="R447" s="395" t="str">
        <f t="shared" si="24"/>
        <v>NO</v>
      </c>
      <c r="S447" s="417" t="str">
        <f t="shared" si="23"/>
        <v>Inviable Sanitariamente</v>
      </c>
    </row>
    <row r="448" spans="1:20" ht="32.1" customHeight="1" x14ac:dyDescent="0.2">
      <c r="A448" s="412" t="s">
        <v>177</v>
      </c>
      <c r="B448" s="412" t="s">
        <v>1622</v>
      </c>
      <c r="C448" s="419" t="s">
        <v>2480</v>
      </c>
      <c r="D448" s="364">
        <v>32</v>
      </c>
      <c r="E448" s="415"/>
      <c r="F448" s="415"/>
      <c r="G448" s="415"/>
      <c r="H448" s="415"/>
      <c r="I448" s="415"/>
      <c r="J448" s="415">
        <v>97.3</v>
      </c>
      <c r="K448" s="415"/>
      <c r="L448" s="415"/>
      <c r="M448" s="415"/>
      <c r="N448" s="415"/>
      <c r="O448" s="415"/>
      <c r="P448" s="415">
        <v>97.3</v>
      </c>
      <c r="Q448" s="416">
        <f t="shared" si="25"/>
        <v>97.3</v>
      </c>
      <c r="R448" s="395" t="str">
        <f t="shared" si="24"/>
        <v>NO</v>
      </c>
      <c r="S448" s="417" t="str">
        <f t="shared" si="23"/>
        <v>Inviable Sanitariamente</v>
      </c>
    </row>
    <row r="449" spans="1:19" ht="32.1" customHeight="1" x14ac:dyDescent="0.2">
      <c r="A449" s="412" t="s">
        <v>177</v>
      </c>
      <c r="B449" s="412" t="s">
        <v>64</v>
      </c>
      <c r="C449" s="419" t="s">
        <v>2481</v>
      </c>
      <c r="D449" s="364">
        <v>138</v>
      </c>
      <c r="E449" s="415"/>
      <c r="F449" s="415">
        <v>97.3</v>
      </c>
      <c r="G449" s="415"/>
      <c r="H449" s="415"/>
      <c r="I449" s="415"/>
      <c r="J449" s="415"/>
      <c r="K449" s="415"/>
      <c r="L449" s="415"/>
      <c r="M449" s="415"/>
      <c r="N449" s="415"/>
      <c r="O449" s="415"/>
      <c r="P449" s="415">
        <v>97.3</v>
      </c>
      <c r="Q449" s="416">
        <f t="shared" si="25"/>
        <v>97.3</v>
      </c>
      <c r="R449" s="395" t="str">
        <f t="shared" si="24"/>
        <v>NO</v>
      </c>
      <c r="S449" s="417" t="str">
        <f t="shared" si="23"/>
        <v>Inviable Sanitariamente</v>
      </c>
    </row>
    <row r="450" spans="1:19" ht="32.1" customHeight="1" x14ac:dyDescent="0.2">
      <c r="A450" s="412" t="s">
        <v>177</v>
      </c>
      <c r="B450" s="412" t="s">
        <v>576</v>
      </c>
      <c r="C450" s="419" t="s">
        <v>2482</v>
      </c>
      <c r="D450" s="364">
        <v>56</v>
      </c>
      <c r="E450" s="415">
        <v>0</v>
      </c>
      <c r="F450" s="415"/>
      <c r="G450" s="415">
        <v>0</v>
      </c>
      <c r="H450" s="415"/>
      <c r="I450" s="415">
        <v>0</v>
      </c>
      <c r="J450" s="415"/>
      <c r="K450" s="415">
        <v>0</v>
      </c>
      <c r="L450" s="415"/>
      <c r="M450" s="415">
        <v>0</v>
      </c>
      <c r="N450" s="415"/>
      <c r="O450" s="415">
        <v>0</v>
      </c>
      <c r="P450" s="415"/>
      <c r="Q450" s="416">
        <f t="shared" si="25"/>
        <v>0</v>
      </c>
      <c r="R450" s="395" t="str">
        <f t="shared" si="24"/>
        <v>SI</v>
      </c>
      <c r="S450" s="417" t="str">
        <f t="shared" si="23"/>
        <v>Sin Riesgo</v>
      </c>
    </row>
    <row r="451" spans="1:19" ht="32.1" customHeight="1" x14ac:dyDescent="0.2">
      <c r="A451" s="412" t="s">
        <v>177</v>
      </c>
      <c r="B451" s="412" t="s">
        <v>2483</v>
      </c>
      <c r="C451" s="419" t="s">
        <v>2484</v>
      </c>
      <c r="D451" s="364">
        <v>150</v>
      </c>
      <c r="E451" s="415"/>
      <c r="F451" s="415">
        <v>97.3</v>
      </c>
      <c r="G451" s="415"/>
      <c r="H451" s="415"/>
      <c r="I451" s="415"/>
      <c r="J451" s="415"/>
      <c r="K451" s="415"/>
      <c r="L451" s="415"/>
      <c r="M451" s="415"/>
      <c r="N451" s="415">
        <v>97.3</v>
      </c>
      <c r="O451" s="415"/>
      <c r="P451" s="415"/>
      <c r="Q451" s="416">
        <f t="shared" si="25"/>
        <v>97.3</v>
      </c>
      <c r="R451" s="395" t="str">
        <f t="shared" si="24"/>
        <v>NO</v>
      </c>
      <c r="S451" s="417" t="str">
        <f t="shared" si="23"/>
        <v>Inviable Sanitariamente</v>
      </c>
    </row>
    <row r="452" spans="1:19" ht="32.1" customHeight="1" x14ac:dyDescent="0.2">
      <c r="A452" s="412" t="s">
        <v>177</v>
      </c>
      <c r="B452" s="406" t="s">
        <v>2485</v>
      </c>
      <c r="C452" s="420" t="s">
        <v>2486</v>
      </c>
      <c r="D452" s="413">
        <v>87</v>
      </c>
      <c r="E452" s="415"/>
      <c r="F452" s="415">
        <v>97.3</v>
      </c>
      <c r="G452" s="415"/>
      <c r="H452" s="415"/>
      <c r="I452" s="415"/>
      <c r="J452" s="415"/>
      <c r="K452" s="415"/>
      <c r="L452" s="415"/>
      <c r="M452" s="415"/>
      <c r="N452" s="415">
        <v>97.3</v>
      </c>
      <c r="O452" s="415"/>
      <c r="P452" s="415"/>
      <c r="Q452" s="416">
        <f t="shared" si="25"/>
        <v>97.3</v>
      </c>
      <c r="R452" s="395" t="str">
        <f t="shared" si="24"/>
        <v>NO</v>
      </c>
      <c r="S452" s="417" t="str">
        <f t="shared" si="23"/>
        <v>Inviable Sanitariamente</v>
      </c>
    </row>
    <row r="453" spans="1:19" ht="32.1" customHeight="1" x14ac:dyDescent="0.2">
      <c r="A453" s="412" t="s">
        <v>177</v>
      </c>
      <c r="B453" s="412" t="s">
        <v>2487</v>
      </c>
      <c r="C453" s="420" t="s">
        <v>2488</v>
      </c>
      <c r="D453" s="413">
        <v>52</v>
      </c>
      <c r="E453" s="415"/>
      <c r="F453" s="415"/>
      <c r="G453" s="415"/>
      <c r="H453" s="415"/>
      <c r="I453" s="415"/>
      <c r="J453" s="415">
        <v>97.3</v>
      </c>
      <c r="K453" s="415"/>
      <c r="L453" s="415"/>
      <c r="M453" s="415"/>
      <c r="N453" s="415">
        <v>97.3</v>
      </c>
      <c r="O453" s="415"/>
      <c r="P453" s="415"/>
      <c r="Q453" s="416">
        <f t="shared" si="25"/>
        <v>97.3</v>
      </c>
      <c r="R453" s="395" t="str">
        <f t="shared" si="24"/>
        <v>NO</v>
      </c>
      <c r="S453" s="417" t="str">
        <f t="shared" si="23"/>
        <v>Inviable Sanitariamente</v>
      </c>
    </row>
    <row r="454" spans="1:19" ht="32.1" customHeight="1" x14ac:dyDescent="0.2">
      <c r="A454" s="412" t="s">
        <v>177</v>
      </c>
      <c r="B454" s="412" t="s">
        <v>2489</v>
      </c>
      <c r="C454" s="419" t="s">
        <v>2490</v>
      </c>
      <c r="D454" s="364">
        <v>68</v>
      </c>
      <c r="E454" s="415"/>
      <c r="F454" s="415"/>
      <c r="G454" s="415"/>
      <c r="H454" s="415"/>
      <c r="I454" s="415"/>
      <c r="J454" s="415">
        <v>97.3</v>
      </c>
      <c r="K454" s="415"/>
      <c r="L454" s="415"/>
      <c r="M454" s="415"/>
      <c r="N454" s="415"/>
      <c r="O454" s="415">
        <v>97.3</v>
      </c>
      <c r="P454" s="415"/>
      <c r="Q454" s="416">
        <f t="shared" si="25"/>
        <v>97.3</v>
      </c>
      <c r="R454" s="395" t="str">
        <f t="shared" si="24"/>
        <v>NO</v>
      </c>
      <c r="S454" s="417" t="str">
        <f t="shared" si="23"/>
        <v>Inviable Sanitariamente</v>
      </c>
    </row>
    <row r="455" spans="1:19" ht="32.1" customHeight="1" x14ac:dyDescent="0.2">
      <c r="A455" s="412" t="s">
        <v>177</v>
      </c>
      <c r="B455" s="412" t="s">
        <v>65</v>
      </c>
      <c r="C455" s="420" t="s">
        <v>2491</v>
      </c>
      <c r="D455" s="364">
        <v>94</v>
      </c>
      <c r="E455" s="415"/>
      <c r="F455" s="415"/>
      <c r="G455" s="415">
        <v>97.3</v>
      </c>
      <c r="H455" s="415"/>
      <c r="I455" s="415"/>
      <c r="J455" s="415"/>
      <c r="K455" s="415"/>
      <c r="L455" s="415"/>
      <c r="M455" s="415"/>
      <c r="N455" s="415"/>
      <c r="O455" s="415">
        <v>97.3</v>
      </c>
      <c r="P455" s="415"/>
      <c r="Q455" s="416">
        <f t="shared" si="25"/>
        <v>97.3</v>
      </c>
      <c r="R455" s="395" t="str">
        <f t="shared" si="24"/>
        <v>NO</v>
      </c>
      <c r="S455" s="417" t="str">
        <f t="shared" si="23"/>
        <v>Inviable Sanitariamente</v>
      </c>
    </row>
    <row r="456" spans="1:19" ht="32.1" customHeight="1" x14ac:dyDescent="0.2">
      <c r="A456" s="412" t="s">
        <v>177</v>
      </c>
      <c r="B456" s="412" t="s">
        <v>2492</v>
      </c>
      <c r="C456" s="419" t="s">
        <v>2493</v>
      </c>
      <c r="D456" s="364">
        <v>61</v>
      </c>
      <c r="E456" s="415"/>
      <c r="F456" s="415"/>
      <c r="G456" s="415">
        <v>97.3</v>
      </c>
      <c r="H456" s="415"/>
      <c r="I456" s="415"/>
      <c r="J456" s="415"/>
      <c r="K456" s="415"/>
      <c r="L456" s="415"/>
      <c r="M456" s="415"/>
      <c r="N456" s="415"/>
      <c r="O456" s="415">
        <v>97.3</v>
      </c>
      <c r="P456" s="415"/>
      <c r="Q456" s="416">
        <f t="shared" si="25"/>
        <v>97.3</v>
      </c>
      <c r="R456" s="395" t="str">
        <f t="shared" si="24"/>
        <v>NO</v>
      </c>
      <c r="S456" s="417" t="str">
        <f t="shared" si="23"/>
        <v>Inviable Sanitariamente</v>
      </c>
    </row>
    <row r="457" spans="1:19" ht="32.1" customHeight="1" x14ac:dyDescent="0.2">
      <c r="A457" s="412" t="s">
        <v>177</v>
      </c>
      <c r="B457" s="412" t="s">
        <v>2494</v>
      </c>
      <c r="C457" s="419" t="s">
        <v>2495</v>
      </c>
      <c r="D457" s="364">
        <v>37</v>
      </c>
      <c r="E457" s="415"/>
      <c r="F457" s="415"/>
      <c r="G457" s="415"/>
      <c r="H457" s="415"/>
      <c r="I457" s="415"/>
      <c r="J457" s="415">
        <v>97.4</v>
      </c>
      <c r="K457" s="415"/>
      <c r="L457" s="415"/>
      <c r="M457" s="415"/>
      <c r="N457" s="415"/>
      <c r="O457" s="415">
        <v>97.4</v>
      </c>
      <c r="P457" s="415"/>
      <c r="Q457" s="416">
        <f t="shared" si="25"/>
        <v>97.4</v>
      </c>
      <c r="R457" s="395" t="str">
        <f t="shared" si="24"/>
        <v>NO</v>
      </c>
      <c r="S457" s="417" t="str">
        <f t="shared" si="23"/>
        <v>Inviable Sanitariamente</v>
      </c>
    </row>
    <row r="458" spans="1:19" ht="32.1" customHeight="1" x14ac:dyDescent="0.2">
      <c r="A458" s="412" t="s">
        <v>177</v>
      </c>
      <c r="B458" s="412" t="s">
        <v>2496</v>
      </c>
      <c r="C458" s="419" t="s">
        <v>2497</v>
      </c>
      <c r="D458" s="364">
        <v>70</v>
      </c>
      <c r="E458" s="415"/>
      <c r="F458" s="415">
        <v>97.3</v>
      </c>
      <c r="G458" s="415"/>
      <c r="H458" s="415"/>
      <c r="I458" s="415"/>
      <c r="J458" s="415"/>
      <c r="K458" s="415"/>
      <c r="L458" s="415"/>
      <c r="M458" s="415"/>
      <c r="N458" s="415"/>
      <c r="O458" s="415">
        <v>97.3</v>
      </c>
      <c r="P458" s="415"/>
      <c r="Q458" s="416">
        <f t="shared" si="25"/>
        <v>97.3</v>
      </c>
      <c r="R458" s="395" t="str">
        <f t="shared" si="24"/>
        <v>NO</v>
      </c>
      <c r="S458" s="417" t="str">
        <f t="shared" si="23"/>
        <v>Inviable Sanitariamente</v>
      </c>
    </row>
    <row r="459" spans="1:19" ht="32.1" customHeight="1" x14ac:dyDescent="0.2">
      <c r="A459" s="412" t="s">
        <v>177</v>
      </c>
      <c r="B459" s="412" t="s">
        <v>2498</v>
      </c>
      <c r="C459" s="419" t="s">
        <v>2499</v>
      </c>
      <c r="D459" s="413">
        <v>63</v>
      </c>
      <c r="E459" s="415"/>
      <c r="F459" s="415"/>
      <c r="G459" s="415">
        <v>97.3</v>
      </c>
      <c r="H459" s="415"/>
      <c r="I459" s="415"/>
      <c r="J459" s="415"/>
      <c r="K459" s="415"/>
      <c r="L459" s="415"/>
      <c r="M459" s="415"/>
      <c r="N459" s="415"/>
      <c r="O459" s="415">
        <v>97.3</v>
      </c>
      <c r="P459" s="415"/>
      <c r="Q459" s="416">
        <f t="shared" si="25"/>
        <v>97.3</v>
      </c>
      <c r="R459" s="395" t="str">
        <f t="shared" si="24"/>
        <v>NO</v>
      </c>
      <c r="S459" s="417" t="str">
        <f t="shared" si="23"/>
        <v>Inviable Sanitariamente</v>
      </c>
    </row>
    <row r="460" spans="1:19" ht="32.1" customHeight="1" x14ac:dyDescent="0.2">
      <c r="A460" s="412" t="s">
        <v>177</v>
      </c>
      <c r="B460" s="412" t="s">
        <v>60</v>
      </c>
      <c r="C460" s="419" t="s">
        <v>2500</v>
      </c>
      <c r="D460" s="413">
        <v>43</v>
      </c>
      <c r="E460" s="415"/>
      <c r="F460" s="415"/>
      <c r="G460" s="415"/>
      <c r="H460" s="415"/>
      <c r="I460" s="415"/>
      <c r="J460" s="415"/>
      <c r="K460" s="415"/>
      <c r="L460" s="415"/>
      <c r="M460" s="415"/>
      <c r="N460" s="415">
        <v>97.3</v>
      </c>
      <c r="O460" s="415"/>
      <c r="P460" s="415"/>
      <c r="Q460" s="416">
        <f t="shared" si="25"/>
        <v>97.3</v>
      </c>
      <c r="R460" s="395" t="str">
        <f t="shared" si="24"/>
        <v>NO</v>
      </c>
      <c r="S460" s="417" t="str">
        <f t="shared" si="23"/>
        <v>Inviable Sanitariamente</v>
      </c>
    </row>
    <row r="461" spans="1:19" ht="32.1" customHeight="1" x14ac:dyDescent="0.2">
      <c r="A461" s="412" t="s">
        <v>177</v>
      </c>
      <c r="B461" s="412" t="s">
        <v>2501</v>
      </c>
      <c r="C461" s="419" t="s">
        <v>2502</v>
      </c>
      <c r="D461" s="364">
        <v>16</v>
      </c>
      <c r="E461" s="415"/>
      <c r="F461" s="415"/>
      <c r="G461" s="415"/>
      <c r="H461" s="415"/>
      <c r="I461" s="415"/>
      <c r="J461" s="415">
        <v>97.3</v>
      </c>
      <c r="K461" s="415"/>
      <c r="L461" s="415"/>
      <c r="M461" s="415"/>
      <c r="N461" s="415"/>
      <c r="O461" s="415">
        <v>97.3</v>
      </c>
      <c r="P461" s="415"/>
      <c r="Q461" s="416">
        <f t="shared" si="25"/>
        <v>97.3</v>
      </c>
      <c r="R461" s="395" t="str">
        <f t="shared" si="24"/>
        <v>NO</v>
      </c>
      <c r="S461" s="417" t="str">
        <f t="shared" si="23"/>
        <v>Inviable Sanitariamente</v>
      </c>
    </row>
    <row r="462" spans="1:19" ht="32.1" customHeight="1" x14ac:dyDescent="0.2">
      <c r="A462" s="412" t="s">
        <v>177</v>
      </c>
      <c r="B462" s="412" t="s">
        <v>2503</v>
      </c>
      <c r="C462" s="419" t="s">
        <v>2504</v>
      </c>
      <c r="D462" s="413">
        <v>20</v>
      </c>
      <c r="E462" s="415"/>
      <c r="F462" s="415"/>
      <c r="G462" s="415"/>
      <c r="H462" s="415"/>
      <c r="I462" s="415"/>
      <c r="J462" s="415"/>
      <c r="K462" s="415"/>
      <c r="L462" s="415"/>
      <c r="M462" s="415"/>
      <c r="N462" s="415">
        <v>97.3</v>
      </c>
      <c r="O462" s="415"/>
      <c r="P462" s="415"/>
      <c r="Q462" s="416">
        <f t="shared" si="25"/>
        <v>97.3</v>
      </c>
      <c r="R462" s="395" t="str">
        <f t="shared" si="24"/>
        <v>NO</v>
      </c>
      <c r="S462" s="417" t="str">
        <f t="shared" si="23"/>
        <v>Inviable Sanitariamente</v>
      </c>
    </row>
    <row r="463" spans="1:19" ht="32.1" customHeight="1" x14ac:dyDescent="0.2">
      <c r="A463" s="412" t="s">
        <v>177</v>
      </c>
      <c r="B463" s="412" t="s">
        <v>2505</v>
      </c>
      <c r="C463" s="419" t="s">
        <v>2506</v>
      </c>
      <c r="D463" s="413">
        <v>36</v>
      </c>
      <c r="E463" s="415"/>
      <c r="F463" s="415"/>
      <c r="G463" s="415"/>
      <c r="H463" s="415"/>
      <c r="I463" s="415"/>
      <c r="J463" s="415">
        <v>97.3</v>
      </c>
      <c r="K463" s="415"/>
      <c r="L463" s="415"/>
      <c r="M463" s="415"/>
      <c r="N463" s="415"/>
      <c r="O463" s="415">
        <v>97.3</v>
      </c>
      <c r="P463" s="415"/>
      <c r="Q463" s="416">
        <f t="shared" si="25"/>
        <v>97.3</v>
      </c>
      <c r="R463" s="395" t="str">
        <f t="shared" si="24"/>
        <v>NO</v>
      </c>
      <c r="S463" s="417" t="str">
        <f t="shared" si="23"/>
        <v>Inviable Sanitariamente</v>
      </c>
    </row>
    <row r="464" spans="1:19" ht="32.1" customHeight="1" x14ac:dyDescent="0.2">
      <c r="A464" s="412" t="s">
        <v>177</v>
      </c>
      <c r="B464" s="412" t="s">
        <v>2507</v>
      </c>
      <c r="C464" s="419" t="s">
        <v>2508</v>
      </c>
      <c r="D464" s="413">
        <v>99</v>
      </c>
      <c r="E464" s="415"/>
      <c r="F464" s="415"/>
      <c r="G464" s="415"/>
      <c r="H464" s="415">
        <v>97.3</v>
      </c>
      <c r="I464" s="415"/>
      <c r="J464" s="415"/>
      <c r="K464" s="415"/>
      <c r="L464" s="415"/>
      <c r="M464" s="415"/>
      <c r="N464" s="415">
        <v>97.3</v>
      </c>
      <c r="O464" s="415"/>
      <c r="P464" s="415"/>
      <c r="Q464" s="416">
        <f t="shared" si="25"/>
        <v>97.3</v>
      </c>
      <c r="R464" s="395" t="str">
        <f t="shared" si="24"/>
        <v>NO</v>
      </c>
      <c r="S464" s="417" t="str">
        <f t="shared" si="23"/>
        <v>Inviable Sanitariamente</v>
      </c>
    </row>
    <row r="465" spans="1:19" ht="32.1" customHeight="1" x14ac:dyDescent="0.2">
      <c r="A465" s="412" t="s">
        <v>177</v>
      </c>
      <c r="B465" s="412" t="s">
        <v>2489</v>
      </c>
      <c r="C465" s="419" t="s">
        <v>2509</v>
      </c>
      <c r="D465" s="413">
        <v>27</v>
      </c>
      <c r="E465" s="415"/>
      <c r="F465" s="415"/>
      <c r="G465" s="415"/>
      <c r="H465" s="415"/>
      <c r="I465" s="415"/>
      <c r="J465" s="415"/>
      <c r="K465" s="415"/>
      <c r="L465" s="415"/>
      <c r="M465" s="415"/>
      <c r="N465" s="415"/>
      <c r="O465" s="415">
        <v>97.3</v>
      </c>
      <c r="P465" s="415"/>
      <c r="Q465" s="416">
        <f t="shared" si="25"/>
        <v>97.3</v>
      </c>
      <c r="R465" s="395" t="str">
        <f t="shared" si="24"/>
        <v>NO</v>
      </c>
      <c r="S465" s="417" t="str">
        <f t="shared" ref="S465:S523" si="26">IF(Q465&lt;5,"Sin Riesgo",IF(Q465 &lt;=14,"Bajo",IF(Q465&lt;=35,"Medio",IF(Q465&lt;=80,"Alto","Inviable Sanitariamente"))))</f>
        <v>Inviable Sanitariamente</v>
      </c>
    </row>
    <row r="466" spans="1:19" ht="32.1" customHeight="1" x14ac:dyDescent="0.2">
      <c r="A466" s="412" t="s">
        <v>178</v>
      </c>
      <c r="B466" s="412" t="s">
        <v>2510</v>
      </c>
      <c r="C466" s="419" t="s">
        <v>2511</v>
      </c>
      <c r="D466" s="413"/>
      <c r="E466" s="415"/>
      <c r="F466" s="415"/>
      <c r="G466" s="415"/>
      <c r="H466" s="415"/>
      <c r="I466" s="415"/>
      <c r="J466" s="415"/>
      <c r="K466" s="415"/>
      <c r="L466" s="415"/>
      <c r="M466" s="415"/>
      <c r="N466" s="415"/>
      <c r="O466" s="415"/>
      <c r="P466" s="415"/>
      <c r="Q466" s="416" t="e">
        <f t="shared" si="25"/>
        <v>#DIV/0!</v>
      </c>
      <c r="R466" s="395" t="e">
        <f t="shared" si="24"/>
        <v>#DIV/0!</v>
      </c>
      <c r="S466" s="417" t="e">
        <f t="shared" si="26"/>
        <v>#DIV/0!</v>
      </c>
    </row>
    <row r="467" spans="1:19" ht="32.1" customHeight="1" x14ac:dyDescent="0.2">
      <c r="A467" s="412" t="s">
        <v>178</v>
      </c>
      <c r="B467" s="412" t="s">
        <v>2512</v>
      </c>
      <c r="C467" s="419" t="s">
        <v>2513</v>
      </c>
      <c r="D467" s="413">
        <v>52</v>
      </c>
      <c r="E467" s="415"/>
      <c r="F467" s="415"/>
      <c r="G467" s="415"/>
      <c r="H467" s="415">
        <v>95</v>
      </c>
      <c r="I467" s="415"/>
      <c r="J467" s="415"/>
      <c r="K467" s="415"/>
      <c r="L467" s="415"/>
      <c r="M467" s="415"/>
      <c r="N467" s="415"/>
      <c r="O467" s="415"/>
      <c r="P467" s="415"/>
      <c r="Q467" s="416">
        <f t="shared" si="25"/>
        <v>95</v>
      </c>
      <c r="R467" s="395" t="str">
        <f t="shared" si="24"/>
        <v>NO</v>
      </c>
      <c r="S467" s="417" t="str">
        <f t="shared" si="26"/>
        <v>Inviable Sanitariamente</v>
      </c>
    </row>
    <row r="468" spans="1:19" ht="32.1" customHeight="1" x14ac:dyDescent="0.2">
      <c r="A468" s="412" t="s">
        <v>178</v>
      </c>
      <c r="B468" s="412" t="s">
        <v>2514</v>
      </c>
      <c r="C468" s="419" t="s">
        <v>2515</v>
      </c>
      <c r="D468" s="413"/>
      <c r="E468" s="415"/>
      <c r="F468" s="415"/>
      <c r="G468" s="415"/>
      <c r="H468" s="415"/>
      <c r="I468" s="415"/>
      <c r="J468" s="415"/>
      <c r="K468" s="415"/>
      <c r="L468" s="415"/>
      <c r="M468" s="415"/>
      <c r="N468" s="415"/>
      <c r="O468" s="415"/>
      <c r="P468" s="415"/>
      <c r="Q468" s="416" t="e">
        <f t="shared" si="25"/>
        <v>#DIV/0!</v>
      </c>
      <c r="R468" s="395" t="e">
        <f t="shared" si="24"/>
        <v>#DIV/0!</v>
      </c>
      <c r="S468" s="417" t="e">
        <f t="shared" si="26"/>
        <v>#DIV/0!</v>
      </c>
    </row>
    <row r="469" spans="1:19" ht="32.1" customHeight="1" x14ac:dyDescent="0.2">
      <c r="A469" s="412" t="s">
        <v>178</v>
      </c>
      <c r="B469" s="412" t="s">
        <v>19</v>
      </c>
      <c r="C469" s="419" t="s">
        <v>2516</v>
      </c>
      <c r="D469" s="413">
        <v>32</v>
      </c>
      <c r="E469" s="415"/>
      <c r="F469" s="415"/>
      <c r="G469" s="415">
        <v>90</v>
      </c>
      <c r="H469" s="415"/>
      <c r="I469" s="415"/>
      <c r="J469" s="415"/>
      <c r="K469" s="415"/>
      <c r="L469" s="415"/>
      <c r="M469" s="415"/>
      <c r="N469" s="415"/>
      <c r="O469" s="415"/>
      <c r="P469" s="415"/>
      <c r="Q469" s="416">
        <f t="shared" si="25"/>
        <v>90</v>
      </c>
      <c r="R469" s="395" t="str">
        <f t="shared" si="24"/>
        <v>NO</v>
      </c>
      <c r="S469" s="417" t="str">
        <f t="shared" si="26"/>
        <v>Inviable Sanitariamente</v>
      </c>
    </row>
    <row r="470" spans="1:19" ht="32.1" customHeight="1" x14ac:dyDescent="0.2">
      <c r="A470" s="412" t="s">
        <v>178</v>
      </c>
      <c r="B470" s="412" t="s">
        <v>2517</v>
      </c>
      <c r="C470" s="419" t="s">
        <v>2518</v>
      </c>
      <c r="D470" s="413">
        <v>32</v>
      </c>
      <c r="E470" s="415"/>
      <c r="F470" s="415"/>
      <c r="G470" s="415"/>
      <c r="H470" s="415">
        <v>95</v>
      </c>
      <c r="I470" s="415"/>
      <c r="J470" s="415"/>
      <c r="K470" s="415"/>
      <c r="L470" s="415"/>
      <c r="M470" s="415"/>
      <c r="N470" s="415"/>
      <c r="O470" s="415"/>
      <c r="P470" s="415"/>
      <c r="Q470" s="416">
        <f t="shared" si="25"/>
        <v>95</v>
      </c>
      <c r="R470" s="395" t="str">
        <f t="shared" si="24"/>
        <v>NO</v>
      </c>
      <c r="S470" s="417" t="str">
        <f t="shared" si="26"/>
        <v>Inviable Sanitariamente</v>
      </c>
    </row>
    <row r="471" spans="1:19" ht="32.1" customHeight="1" x14ac:dyDescent="0.2">
      <c r="A471" s="412" t="s">
        <v>178</v>
      </c>
      <c r="B471" s="412" t="s">
        <v>2519</v>
      </c>
      <c r="C471" s="419" t="s">
        <v>2520</v>
      </c>
      <c r="D471" s="364"/>
      <c r="E471" s="415"/>
      <c r="F471" s="415"/>
      <c r="G471" s="415"/>
      <c r="H471" s="415"/>
      <c r="I471" s="415"/>
      <c r="J471" s="415"/>
      <c r="K471" s="415"/>
      <c r="L471" s="415"/>
      <c r="M471" s="415"/>
      <c r="N471" s="415"/>
      <c r="O471" s="415"/>
      <c r="P471" s="415"/>
      <c r="Q471" s="416" t="e">
        <f t="shared" si="25"/>
        <v>#DIV/0!</v>
      </c>
      <c r="R471" s="395" t="e">
        <f t="shared" si="24"/>
        <v>#DIV/0!</v>
      </c>
      <c r="S471" s="417" t="e">
        <f t="shared" si="26"/>
        <v>#DIV/0!</v>
      </c>
    </row>
    <row r="472" spans="1:19" ht="32.1" customHeight="1" x14ac:dyDescent="0.2">
      <c r="A472" s="412" t="s">
        <v>178</v>
      </c>
      <c r="B472" s="412" t="s">
        <v>2521</v>
      </c>
      <c r="C472" s="419" t="s">
        <v>2522</v>
      </c>
      <c r="D472" s="413"/>
      <c r="E472" s="415"/>
      <c r="F472" s="415"/>
      <c r="G472" s="415"/>
      <c r="H472" s="415"/>
      <c r="I472" s="415"/>
      <c r="J472" s="415"/>
      <c r="K472" s="415"/>
      <c r="L472" s="415"/>
      <c r="M472" s="415"/>
      <c r="N472" s="415"/>
      <c r="O472" s="415"/>
      <c r="P472" s="415"/>
      <c r="Q472" s="416" t="e">
        <f t="shared" si="25"/>
        <v>#DIV/0!</v>
      </c>
      <c r="R472" s="395" t="e">
        <f t="shared" si="24"/>
        <v>#DIV/0!</v>
      </c>
      <c r="S472" s="417" t="e">
        <f t="shared" si="26"/>
        <v>#DIV/0!</v>
      </c>
    </row>
    <row r="473" spans="1:19" ht="32.1" customHeight="1" x14ac:dyDescent="0.2">
      <c r="A473" s="412" t="s">
        <v>178</v>
      </c>
      <c r="B473" s="412" t="s">
        <v>2523</v>
      </c>
      <c r="C473" s="419" t="s">
        <v>2524</v>
      </c>
      <c r="D473" s="413"/>
      <c r="E473" s="415"/>
      <c r="F473" s="415"/>
      <c r="G473" s="415"/>
      <c r="H473" s="415"/>
      <c r="I473" s="415"/>
      <c r="J473" s="415"/>
      <c r="K473" s="415"/>
      <c r="L473" s="415"/>
      <c r="M473" s="415"/>
      <c r="N473" s="415"/>
      <c r="O473" s="415"/>
      <c r="P473" s="415"/>
      <c r="Q473" s="416" t="e">
        <f t="shared" si="25"/>
        <v>#DIV/0!</v>
      </c>
      <c r="R473" s="395" t="e">
        <f t="shared" si="24"/>
        <v>#DIV/0!</v>
      </c>
      <c r="S473" s="417" t="e">
        <f t="shared" si="26"/>
        <v>#DIV/0!</v>
      </c>
    </row>
    <row r="474" spans="1:19" ht="32.1" customHeight="1" x14ac:dyDescent="0.2">
      <c r="A474" s="412" t="s">
        <v>178</v>
      </c>
      <c r="B474" s="412" t="s">
        <v>94</v>
      </c>
      <c r="C474" s="419" t="s">
        <v>2525</v>
      </c>
      <c r="D474" s="364"/>
      <c r="E474" s="415"/>
      <c r="F474" s="415"/>
      <c r="G474" s="415"/>
      <c r="H474" s="415"/>
      <c r="I474" s="415"/>
      <c r="J474" s="415"/>
      <c r="K474" s="415"/>
      <c r="L474" s="415"/>
      <c r="M474" s="415"/>
      <c r="N474" s="415"/>
      <c r="O474" s="415"/>
      <c r="P474" s="415"/>
      <c r="Q474" s="416" t="e">
        <f t="shared" si="25"/>
        <v>#DIV/0!</v>
      </c>
      <c r="R474" s="395" t="e">
        <f t="shared" si="24"/>
        <v>#DIV/0!</v>
      </c>
      <c r="S474" s="417" t="e">
        <f t="shared" si="26"/>
        <v>#DIV/0!</v>
      </c>
    </row>
    <row r="475" spans="1:19" ht="32.1" customHeight="1" x14ac:dyDescent="0.2">
      <c r="A475" s="412" t="s">
        <v>178</v>
      </c>
      <c r="B475" s="412" t="s">
        <v>2526</v>
      </c>
      <c r="C475" s="419" t="s">
        <v>2527</v>
      </c>
      <c r="D475" s="364">
        <v>70</v>
      </c>
      <c r="E475" s="415"/>
      <c r="F475" s="415"/>
      <c r="G475" s="415">
        <v>95</v>
      </c>
      <c r="H475" s="415"/>
      <c r="I475" s="415"/>
      <c r="J475" s="415"/>
      <c r="K475" s="415"/>
      <c r="L475" s="415"/>
      <c r="M475" s="415"/>
      <c r="N475" s="415"/>
      <c r="O475" s="415"/>
      <c r="P475" s="415"/>
      <c r="Q475" s="416">
        <f t="shared" si="25"/>
        <v>95</v>
      </c>
      <c r="R475" s="395" t="str">
        <f t="shared" si="24"/>
        <v>NO</v>
      </c>
      <c r="S475" s="417" t="str">
        <f t="shared" si="26"/>
        <v>Inviable Sanitariamente</v>
      </c>
    </row>
    <row r="476" spans="1:19" ht="32.1" customHeight="1" x14ac:dyDescent="0.2">
      <c r="A476" s="412" t="s">
        <v>178</v>
      </c>
      <c r="B476" s="412" t="s">
        <v>2528</v>
      </c>
      <c r="C476" s="419" t="s">
        <v>2529</v>
      </c>
      <c r="D476" s="413">
        <v>120</v>
      </c>
      <c r="E476" s="415"/>
      <c r="F476" s="415"/>
      <c r="G476" s="415"/>
      <c r="H476" s="415"/>
      <c r="I476" s="415">
        <v>95</v>
      </c>
      <c r="J476" s="415"/>
      <c r="K476" s="415"/>
      <c r="L476" s="415"/>
      <c r="M476" s="415"/>
      <c r="N476" s="415"/>
      <c r="O476" s="415"/>
      <c r="P476" s="415"/>
      <c r="Q476" s="416">
        <f t="shared" si="25"/>
        <v>95</v>
      </c>
      <c r="R476" s="395" t="str">
        <f t="shared" si="24"/>
        <v>NO</v>
      </c>
      <c r="S476" s="417" t="str">
        <f t="shared" si="26"/>
        <v>Inviable Sanitariamente</v>
      </c>
    </row>
    <row r="477" spans="1:19" ht="32.1" customHeight="1" x14ac:dyDescent="0.2">
      <c r="A477" s="412" t="s">
        <v>178</v>
      </c>
      <c r="B477" s="412" t="s">
        <v>2530</v>
      </c>
      <c r="C477" s="419" t="s">
        <v>2531</v>
      </c>
      <c r="D477" s="413">
        <v>42</v>
      </c>
      <c r="E477" s="415"/>
      <c r="F477" s="415"/>
      <c r="G477" s="415"/>
      <c r="H477" s="415"/>
      <c r="I477" s="415"/>
      <c r="J477" s="415"/>
      <c r="K477" s="415"/>
      <c r="L477" s="415"/>
      <c r="M477" s="415"/>
      <c r="N477" s="415"/>
      <c r="O477" s="415"/>
      <c r="P477" s="415"/>
      <c r="Q477" s="416" t="e">
        <f t="shared" si="25"/>
        <v>#DIV/0!</v>
      </c>
      <c r="R477" s="395" t="e">
        <f t="shared" si="24"/>
        <v>#DIV/0!</v>
      </c>
      <c r="S477" s="417" t="e">
        <f t="shared" si="26"/>
        <v>#DIV/0!</v>
      </c>
    </row>
    <row r="478" spans="1:19" ht="32.1" customHeight="1" x14ac:dyDescent="0.2">
      <c r="A478" s="412" t="s">
        <v>178</v>
      </c>
      <c r="B478" s="412" t="s">
        <v>2532</v>
      </c>
      <c r="C478" s="419" t="s">
        <v>2533</v>
      </c>
      <c r="D478" s="364">
        <v>87</v>
      </c>
      <c r="E478" s="415"/>
      <c r="F478" s="415"/>
      <c r="G478" s="415"/>
      <c r="H478" s="415"/>
      <c r="I478" s="415">
        <v>95</v>
      </c>
      <c r="J478" s="415"/>
      <c r="K478" s="415"/>
      <c r="L478" s="415"/>
      <c r="M478" s="415"/>
      <c r="N478" s="415"/>
      <c r="O478" s="415"/>
      <c r="P478" s="415"/>
      <c r="Q478" s="416">
        <f t="shared" si="25"/>
        <v>95</v>
      </c>
      <c r="R478" s="395" t="str">
        <f t="shared" si="24"/>
        <v>NO</v>
      </c>
      <c r="S478" s="417" t="str">
        <f t="shared" si="26"/>
        <v>Inviable Sanitariamente</v>
      </c>
    </row>
    <row r="479" spans="1:19" ht="32.1" customHeight="1" x14ac:dyDescent="0.2">
      <c r="A479" s="412" t="s">
        <v>178</v>
      </c>
      <c r="B479" s="412" t="s">
        <v>2534</v>
      </c>
      <c r="C479" s="419" t="s">
        <v>2535</v>
      </c>
      <c r="D479" s="364">
        <v>36</v>
      </c>
      <c r="E479" s="415"/>
      <c r="F479" s="415"/>
      <c r="G479" s="415"/>
      <c r="H479" s="415"/>
      <c r="I479" s="415"/>
      <c r="J479" s="415"/>
      <c r="K479" s="415"/>
      <c r="L479" s="415"/>
      <c r="M479" s="415"/>
      <c r="N479" s="415"/>
      <c r="O479" s="415"/>
      <c r="P479" s="415"/>
      <c r="Q479" s="416" t="e">
        <f t="shared" si="25"/>
        <v>#DIV/0!</v>
      </c>
      <c r="R479" s="395" t="e">
        <f t="shared" si="24"/>
        <v>#DIV/0!</v>
      </c>
      <c r="S479" s="417" t="e">
        <f t="shared" si="26"/>
        <v>#DIV/0!</v>
      </c>
    </row>
    <row r="480" spans="1:19" ht="32.1" customHeight="1" x14ac:dyDescent="0.2">
      <c r="A480" s="412" t="s">
        <v>178</v>
      </c>
      <c r="B480" s="412" t="s">
        <v>2536</v>
      </c>
      <c r="C480" s="419" t="s">
        <v>2537</v>
      </c>
      <c r="D480" s="413">
        <v>35</v>
      </c>
      <c r="E480" s="415"/>
      <c r="F480" s="415"/>
      <c r="G480" s="415"/>
      <c r="H480" s="415"/>
      <c r="I480" s="415"/>
      <c r="J480" s="415"/>
      <c r="K480" s="415"/>
      <c r="L480" s="415"/>
      <c r="M480" s="415"/>
      <c r="N480" s="415"/>
      <c r="O480" s="415"/>
      <c r="P480" s="415"/>
      <c r="Q480" s="416" t="e">
        <f t="shared" si="25"/>
        <v>#DIV/0!</v>
      </c>
      <c r="R480" s="395" t="e">
        <f t="shared" si="24"/>
        <v>#DIV/0!</v>
      </c>
      <c r="S480" s="417" t="e">
        <f t="shared" si="26"/>
        <v>#DIV/0!</v>
      </c>
    </row>
    <row r="481" spans="1:19" ht="32.1" customHeight="1" x14ac:dyDescent="0.2">
      <c r="A481" s="412" t="s">
        <v>178</v>
      </c>
      <c r="B481" s="412" t="s">
        <v>2538</v>
      </c>
      <c r="C481" s="419" t="s">
        <v>2539</v>
      </c>
      <c r="D481" s="413">
        <v>70</v>
      </c>
      <c r="E481" s="415"/>
      <c r="F481" s="415"/>
      <c r="G481" s="415">
        <v>95</v>
      </c>
      <c r="H481" s="415"/>
      <c r="I481" s="415"/>
      <c r="J481" s="415"/>
      <c r="K481" s="415"/>
      <c r="L481" s="415"/>
      <c r="M481" s="415"/>
      <c r="N481" s="415"/>
      <c r="O481" s="415"/>
      <c r="P481" s="415"/>
      <c r="Q481" s="416">
        <f t="shared" si="25"/>
        <v>95</v>
      </c>
      <c r="R481" s="395" t="str">
        <f t="shared" si="24"/>
        <v>NO</v>
      </c>
      <c r="S481" s="417" t="str">
        <f t="shared" si="26"/>
        <v>Inviable Sanitariamente</v>
      </c>
    </row>
    <row r="482" spans="1:19" ht="32.1" customHeight="1" x14ac:dyDescent="0.2">
      <c r="A482" s="412" t="s">
        <v>178</v>
      </c>
      <c r="B482" s="412" t="s">
        <v>2540</v>
      </c>
      <c r="C482" s="419" t="s">
        <v>2541</v>
      </c>
      <c r="D482" s="413"/>
      <c r="E482" s="415"/>
      <c r="F482" s="415"/>
      <c r="G482" s="415"/>
      <c r="H482" s="415"/>
      <c r="I482" s="415"/>
      <c r="J482" s="415"/>
      <c r="K482" s="415"/>
      <c r="L482" s="415"/>
      <c r="M482" s="415"/>
      <c r="N482" s="415"/>
      <c r="O482" s="415"/>
      <c r="P482" s="415"/>
      <c r="Q482" s="416" t="e">
        <f t="shared" si="25"/>
        <v>#DIV/0!</v>
      </c>
      <c r="R482" s="395" t="e">
        <f t="shared" si="24"/>
        <v>#DIV/0!</v>
      </c>
      <c r="S482" s="417" t="e">
        <f t="shared" si="26"/>
        <v>#DIV/0!</v>
      </c>
    </row>
    <row r="483" spans="1:19" ht="32.1" customHeight="1" x14ac:dyDescent="0.2">
      <c r="A483" s="412" t="s">
        <v>178</v>
      </c>
      <c r="B483" s="412" t="s">
        <v>2542</v>
      </c>
      <c r="C483" s="419" t="s">
        <v>2543</v>
      </c>
      <c r="D483" s="364">
        <v>38</v>
      </c>
      <c r="E483" s="415"/>
      <c r="F483" s="415"/>
      <c r="G483" s="415">
        <v>95</v>
      </c>
      <c r="H483" s="415"/>
      <c r="I483" s="415"/>
      <c r="J483" s="415"/>
      <c r="K483" s="415"/>
      <c r="L483" s="415"/>
      <c r="M483" s="415"/>
      <c r="N483" s="415"/>
      <c r="O483" s="415"/>
      <c r="P483" s="415"/>
      <c r="Q483" s="416">
        <f t="shared" si="25"/>
        <v>95</v>
      </c>
      <c r="R483" s="395" t="str">
        <f t="shared" si="24"/>
        <v>NO</v>
      </c>
      <c r="S483" s="417" t="str">
        <f t="shared" si="26"/>
        <v>Inviable Sanitariamente</v>
      </c>
    </row>
    <row r="484" spans="1:19" ht="32.1" customHeight="1" x14ac:dyDescent="0.2">
      <c r="A484" s="412" t="s">
        <v>178</v>
      </c>
      <c r="B484" s="412" t="s">
        <v>2544</v>
      </c>
      <c r="C484" s="419" t="s">
        <v>2545</v>
      </c>
      <c r="D484" s="364"/>
      <c r="E484" s="415"/>
      <c r="F484" s="415"/>
      <c r="G484" s="415"/>
      <c r="H484" s="415"/>
      <c r="I484" s="415"/>
      <c r="J484" s="415"/>
      <c r="K484" s="415"/>
      <c r="L484" s="415"/>
      <c r="M484" s="415"/>
      <c r="N484" s="415"/>
      <c r="O484" s="415"/>
      <c r="P484" s="415"/>
      <c r="Q484" s="416" t="e">
        <f t="shared" si="25"/>
        <v>#DIV/0!</v>
      </c>
      <c r="R484" s="395" t="e">
        <f t="shared" si="24"/>
        <v>#DIV/0!</v>
      </c>
      <c r="S484" s="417" t="e">
        <f t="shared" si="26"/>
        <v>#DIV/0!</v>
      </c>
    </row>
    <row r="485" spans="1:19" ht="32.1" customHeight="1" x14ac:dyDescent="0.2">
      <c r="A485" s="412" t="s">
        <v>178</v>
      </c>
      <c r="B485" s="412" t="s">
        <v>1431</v>
      </c>
      <c r="C485" s="419" t="s">
        <v>2546</v>
      </c>
      <c r="D485" s="364">
        <v>92</v>
      </c>
      <c r="E485" s="415"/>
      <c r="F485" s="415"/>
      <c r="G485" s="415"/>
      <c r="H485" s="415"/>
      <c r="I485" s="415">
        <v>95</v>
      </c>
      <c r="J485" s="415"/>
      <c r="K485" s="415"/>
      <c r="L485" s="415"/>
      <c r="M485" s="415"/>
      <c r="N485" s="415"/>
      <c r="O485" s="415"/>
      <c r="P485" s="415"/>
      <c r="Q485" s="416">
        <f t="shared" si="25"/>
        <v>95</v>
      </c>
      <c r="R485" s="395" t="str">
        <f t="shared" si="24"/>
        <v>NO</v>
      </c>
      <c r="S485" s="417" t="str">
        <f t="shared" si="26"/>
        <v>Inviable Sanitariamente</v>
      </c>
    </row>
    <row r="486" spans="1:19" ht="32.1" customHeight="1" x14ac:dyDescent="0.2">
      <c r="A486" s="412" t="s">
        <v>178</v>
      </c>
      <c r="B486" s="412" t="s">
        <v>2547</v>
      </c>
      <c r="C486" s="419" t="s">
        <v>2548</v>
      </c>
      <c r="D486" s="364"/>
      <c r="E486" s="415"/>
      <c r="F486" s="415"/>
      <c r="G486" s="415"/>
      <c r="H486" s="415"/>
      <c r="I486" s="415"/>
      <c r="J486" s="415"/>
      <c r="K486" s="415"/>
      <c r="L486" s="415"/>
      <c r="M486" s="415"/>
      <c r="N486" s="415"/>
      <c r="O486" s="415"/>
      <c r="P486" s="415"/>
      <c r="Q486" s="416" t="e">
        <f t="shared" si="25"/>
        <v>#DIV/0!</v>
      </c>
      <c r="R486" s="395" t="e">
        <f t="shared" si="24"/>
        <v>#DIV/0!</v>
      </c>
      <c r="S486" s="417" t="e">
        <f t="shared" si="26"/>
        <v>#DIV/0!</v>
      </c>
    </row>
    <row r="487" spans="1:19" ht="32.1" customHeight="1" x14ac:dyDescent="0.2">
      <c r="A487" s="412" t="s">
        <v>178</v>
      </c>
      <c r="B487" s="412" t="s">
        <v>2549</v>
      </c>
      <c r="C487" s="419" t="s">
        <v>2550</v>
      </c>
      <c r="D487" s="364"/>
      <c r="E487" s="415"/>
      <c r="F487" s="415"/>
      <c r="G487" s="415"/>
      <c r="H487" s="415"/>
      <c r="I487" s="415"/>
      <c r="J487" s="415"/>
      <c r="K487" s="415"/>
      <c r="L487" s="415"/>
      <c r="M487" s="415"/>
      <c r="N487" s="415"/>
      <c r="O487" s="415"/>
      <c r="P487" s="415"/>
      <c r="Q487" s="416" t="e">
        <f t="shared" si="25"/>
        <v>#DIV/0!</v>
      </c>
      <c r="R487" s="395" t="e">
        <f t="shared" si="24"/>
        <v>#DIV/0!</v>
      </c>
      <c r="S487" s="417" t="e">
        <f t="shared" si="26"/>
        <v>#DIV/0!</v>
      </c>
    </row>
    <row r="488" spans="1:19" ht="32.1" customHeight="1" x14ac:dyDescent="0.2">
      <c r="A488" s="412" t="s">
        <v>178</v>
      </c>
      <c r="B488" s="412" t="s">
        <v>2551</v>
      </c>
      <c r="C488" s="419" t="s">
        <v>2552</v>
      </c>
      <c r="D488" s="364">
        <v>58</v>
      </c>
      <c r="E488" s="415"/>
      <c r="F488" s="415"/>
      <c r="G488" s="415"/>
      <c r="H488" s="415"/>
      <c r="I488" s="415">
        <v>97</v>
      </c>
      <c r="J488" s="415"/>
      <c r="K488" s="415"/>
      <c r="L488" s="415"/>
      <c r="M488" s="415"/>
      <c r="N488" s="415"/>
      <c r="O488" s="415"/>
      <c r="P488" s="415"/>
      <c r="Q488" s="416">
        <f t="shared" si="25"/>
        <v>97</v>
      </c>
      <c r="R488" s="395" t="str">
        <f t="shared" si="24"/>
        <v>NO</v>
      </c>
      <c r="S488" s="417" t="str">
        <f t="shared" si="26"/>
        <v>Inviable Sanitariamente</v>
      </c>
    </row>
    <row r="489" spans="1:19" ht="32.1" customHeight="1" x14ac:dyDescent="0.2">
      <c r="A489" s="412" t="s">
        <v>178</v>
      </c>
      <c r="B489" s="412" t="s">
        <v>2553</v>
      </c>
      <c r="C489" s="419" t="s">
        <v>2554</v>
      </c>
      <c r="D489" s="364">
        <v>83</v>
      </c>
      <c r="E489" s="415"/>
      <c r="F489" s="415"/>
      <c r="G489" s="415"/>
      <c r="H489" s="415"/>
      <c r="I489" s="415"/>
      <c r="J489" s="415">
        <v>27</v>
      </c>
      <c r="K489" s="415"/>
      <c r="L489" s="415"/>
      <c r="M489" s="415"/>
      <c r="N489" s="415"/>
      <c r="O489" s="415"/>
      <c r="P489" s="415"/>
      <c r="Q489" s="416">
        <f t="shared" si="25"/>
        <v>27</v>
      </c>
      <c r="R489" s="395" t="str">
        <f t="shared" si="24"/>
        <v>NO</v>
      </c>
      <c r="S489" s="417" t="str">
        <f t="shared" si="26"/>
        <v>Medio</v>
      </c>
    </row>
    <row r="490" spans="1:19" ht="32.1" customHeight="1" x14ac:dyDescent="0.2">
      <c r="A490" s="412" t="s">
        <v>178</v>
      </c>
      <c r="B490" s="412" t="s">
        <v>2555</v>
      </c>
      <c r="C490" s="419" t="s">
        <v>2556</v>
      </c>
      <c r="D490" s="364">
        <v>82</v>
      </c>
      <c r="E490" s="415"/>
      <c r="F490" s="415"/>
      <c r="G490" s="415"/>
      <c r="H490" s="415">
        <v>97.5</v>
      </c>
      <c r="I490" s="415"/>
      <c r="J490" s="415"/>
      <c r="K490" s="415"/>
      <c r="L490" s="415"/>
      <c r="M490" s="415"/>
      <c r="N490" s="415"/>
      <c r="O490" s="415"/>
      <c r="P490" s="415"/>
      <c r="Q490" s="416">
        <f t="shared" si="25"/>
        <v>97.5</v>
      </c>
      <c r="R490" s="395" t="str">
        <f t="shared" si="24"/>
        <v>NO</v>
      </c>
      <c r="S490" s="417" t="str">
        <f t="shared" si="26"/>
        <v>Inviable Sanitariamente</v>
      </c>
    </row>
    <row r="491" spans="1:19" ht="32.1" customHeight="1" x14ac:dyDescent="0.2">
      <c r="A491" s="412" t="s">
        <v>178</v>
      </c>
      <c r="B491" s="412" t="s">
        <v>2557</v>
      </c>
      <c r="C491" s="419" t="s">
        <v>2558</v>
      </c>
      <c r="D491" s="364">
        <v>205</v>
      </c>
      <c r="E491" s="415"/>
      <c r="F491" s="415"/>
      <c r="G491" s="415"/>
      <c r="H491" s="415">
        <v>26.5</v>
      </c>
      <c r="I491" s="415"/>
      <c r="J491" s="415"/>
      <c r="K491" s="415"/>
      <c r="L491" s="415">
        <v>26.5</v>
      </c>
      <c r="M491" s="415"/>
      <c r="N491" s="415"/>
      <c r="O491" s="415"/>
      <c r="P491" s="415"/>
      <c r="Q491" s="416">
        <f t="shared" si="25"/>
        <v>26.5</v>
      </c>
      <c r="R491" s="395" t="str">
        <f t="shared" si="24"/>
        <v>NO</v>
      </c>
      <c r="S491" s="417" t="str">
        <f t="shared" si="26"/>
        <v>Medio</v>
      </c>
    </row>
    <row r="492" spans="1:19" ht="32.1" customHeight="1" x14ac:dyDescent="0.2">
      <c r="A492" s="412" t="s">
        <v>178</v>
      </c>
      <c r="B492" s="412" t="s">
        <v>2559</v>
      </c>
      <c r="C492" s="419" t="s">
        <v>2560</v>
      </c>
      <c r="D492" s="364">
        <v>131</v>
      </c>
      <c r="E492" s="415"/>
      <c r="F492" s="415"/>
      <c r="G492" s="415"/>
      <c r="H492" s="415"/>
      <c r="I492" s="415"/>
      <c r="J492" s="415">
        <v>97</v>
      </c>
      <c r="K492" s="415"/>
      <c r="L492" s="415"/>
      <c r="M492" s="415"/>
      <c r="N492" s="415"/>
      <c r="O492" s="415"/>
      <c r="P492" s="415"/>
      <c r="Q492" s="416">
        <f t="shared" si="25"/>
        <v>97</v>
      </c>
      <c r="R492" s="395" t="str">
        <f t="shared" si="24"/>
        <v>NO</v>
      </c>
      <c r="S492" s="417" t="str">
        <f t="shared" si="26"/>
        <v>Inviable Sanitariamente</v>
      </c>
    </row>
    <row r="493" spans="1:19" ht="32.1" customHeight="1" x14ac:dyDescent="0.2">
      <c r="A493" s="361" t="s">
        <v>178</v>
      </c>
      <c r="B493" s="361" t="s">
        <v>2561</v>
      </c>
      <c r="C493" s="378" t="s">
        <v>2562</v>
      </c>
      <c r="D493" s="364">
        <v>59</v>
      </c>
      <c r="E493" s="415"/>
      <c r="F493" s="415"/>
      <c r="G493" s="415"/>
      <c r="H493" s="415"/>
      <c r="I493" s="415"/>
      <c r="J493" s="415">
        <v>95</v>
      </c>
      <c r="K493" s="415"/>
      <c r="L493" s="415"/>
      <c r="M493" s="415"/>
      <c r="N493" s="415"/>
      <c r="O493" s="415"/>
      <c r="P493" s="415"/>
      <c r="Q493" s="416">
        <f t="shared" si="25"/>
        <v>95</v>
      </c>
      <c r="R493" s="434" t="str">
        <f t="shared" si="24"/>
        <v>NO</v>
      </c>
      <c r="S493" s="417" t="str">
        <f t="shared" si="26"/>
        <v>Inviable Sanitariamente</v>
      </c>
    </row>
    <row r="494" spans="1:19" ht="32.1" customHeight="1" x14ac:dyDescent="0.2">
      <c r="A494" s="361" t="s">
        <v>178</v>
      </c>
      <c r="B494" s="361" t="s">
        <v>6</v>
      </c>
      <c r="C494" s="378" t="s">
        <v>2563</v>
      </c>
      <c r="D494" s="364">
        <v>62</v>
      </c>
      <c r="E494" s="415"/>
      <c r="F494" s="415"/>
      <c r="G494" s="415"/>
      <c r="H494" s="415"/>
      <c r="I494" s="415"/>
      <c r="J494" s="415">
        <v>95</v>
      </c>
      <c r="K494" s="415"/>
      <c r="L494" s="415"/>
      <c r="M494" s="415"/>
      <c r="N494" s="415"/>
      <c r="O494" s="415"/>
      <c r="P494" s="415"/>
      <c r="Q494" s="416">
        <f t="shared" si="25"/>
        <v>95</v>
      </c>
      <c r="R494" s="434" t="str">
        <f t="shared" si="24"/>
        <v>NO</v>
      </c>
      <c r="S494" s="417" t="str">
        <f t="shared" si="26"/>
        <v>Inviable Sanitariamente</v>
      </c>
    </row>
    <row r="495" spans="1:19" ht="32.1" customHeight="1" x14ac:dyDescent="0.2">
      <c r="A495" s="361" t="s">
        <v>178</v>
      </c>
      <c r="B495" s="361" t="s">
        <v>2564</v>
      </c>
      <c r="C495" s="378" t="s">
        <v>2565</v>
      </c>
      <c r="D495" s="364">
        <v>63</v>
      </c>
      <c r="E495" s="415"/>
      <c r="F495" s="415"/>
      <c r="G495" s="415"/>
      <c r="H495" s="415"/>
      <c r="I495" s="415"/>
      <c r="J495" s="415"/>
      <c r="K495" s="415"/>
      <c r="L495" s="415">
        <v>97.3</v>
      </c>
      <c r="M495" s="415"/>
      <c r="N495" s="415"/>
      <c r="O495" s="415"/>
      <c r="P495" s="415"/>
      <c r="Q495" s="416">
        <f t="shared" si="25"/>
        <v>97.3</v>
      </c>
      <c r="R495" s="434" t="str">
        <f t="shared" si="24"/>
        <v>NO</v>
      </c>
      <c r="S495" s="417" t="str">
        <f t="shared" si="26"/>
        <v>Inviable Sanitariamente</v>
      </c>
    </row>
    <row r="496" spans="1:19" ht="32.1" customHeight="1" x14ac:dyDescent="0.2">
      <c r="A496" s="361" t="s">
        <v>178</v>
      </c>
      <c r="B496" s="361" t="s">
        <v>2566</v>
      </c>
      <c r="C496" s="378" t="s">
        <v>2567</v>
      </c>
      <c r="D496" s="364">
        <v>44</v>
      </c>
      <c r="E496" s="415"/>
      <c r="F496" s="415"/>
      <c r="G496" s="415"/>
      <c r="H496" s="415"/>
      <c r="I496" s="415">
        <v>95</v>
      </c>
      <c r="J496" s="415"/>
      <c r="K496" s="415"/>
      <c r="L496" s="415"/>
      <c r="M496" s="415"/>
      <c r="N496" s="415"/>
      <c r="O496" s="415"/>
      <c r="P496" s="415"/>
      <c r="Q496" s="416">
        <f t="shared" si="25"/>
        <v>95</v>
      </c>
      <c r="R496" s="434" t="str">
        <f t="shared" si="24"/>
        <v>NO</v>
      </c>
      <c r="S496" s="417" t="str">
        <f t="shared" si="26"/>
        <v>Inviable Sanitariamente</v>
      </c>
    </row>
    <row r="497" spans="1:19" ht="32.1" customHeight="1" x14ac:dyDescent="0.2">
      <c r="A497" s="438" t="s">
        <v>179</v>
      </c>
      <c r="B497" s="361" t="s">
        <v>2568</v>
      </c>
      <c r="C497" s="378" t="s">
        <v>2569</v>
      </c>
      <c r="D497" s="364">
        <v>32</v>
      </c>
      <c r="E497" s="415"/>
      <c r="F497" s="415"/>
      <c r="G497" s="415"/>
      <c r="H497" s="415"/>
      <c r="I497" s="415"/>
      <c r="J497" s="415">
        <v>76.900000000000006</v>
      </c>
      <c r="K497" s="415"/>
      <c r="L497" s="415"/>
      <c r="M497" s="415"/>
      <c r="N497" s="415"/>
      <c r="O497" s="415">
        <v>97.35</v>
      </c>
      <c r="P497" s="415"/>
      <c r="Q497" s="416">
        <f t="shared" si="25"/>
        <v>87.125</v>
      </c>
      <c r="R497" s="434" t="str">
        <f t="shared" ref="R497:R523" si="27">IF(Q497&lt;5,"SI","NO")</f>
        <v>NO</v>
      </c>
      <c r="S497" s="417" t="str">
        <f t="shared" si="26"/>
        <v>Inviable Sanitariamente</v>
      </c>
    </row>
    <row r="498" spans="1:19" ht="32.1" customHeight="1" x14ac:dyDescent="0.2">
      <c r="A498" s="438" t="s">
        <v>179</v>
      </c>
      <c r="B498" s="361" t="s">
        <v>2570</v>
      </c>
      <c r="C498" s="378" t="s">
        <v>2571</v>
      </c>
      <c r="D498" s="364">
        <v>24</v>
      </c>
      <c r="E498" s="415"/>
      <c r="F498" s="415"/>
      <c r="G498" s="415"/>
      <c r="H498" s="415"/>
      <c r="I498" s="415"/>
      <c r="J498" s="415">
        <v>76.900000000000006</v>
      </c>
      <c r="K498" s="415"/>
      <c r="L498" s="415"/>
      <c r="M498" s="415"/>
      <c r="N498" s="415"/>
      <c r="O498" s="415">
        <v>97.35</v>
      </c>
      <c r="P498" s="415"/>
      <c r="Q498" s="416">
        <f>AVERAGE(E498:P498)</f>
        <v>87.125</v>
      </c>
      <c r="R498" s="434" t="str">
        <f>IF(Q498&lt;5,"SI","NO")</f>
        <v>NO</v>
      </c>
      <c r="S498" s="417" t="str">
        <f>IF(Q498&lt;5,"Sin Riesgo",IF(Q498 &lt;=14,"Bajo",IF(Q498&lt;=35,"Medio",IF(Q498&lt;=80,"Alto","Inviable Sanitariamente"))))</f>
        <v>Inviable Sanitariamente</v>
      </c>
    </row>
    <row r="499" spans="1:19" ht="32.1" customHeight="1" x14ac:dyDescent="0.2">
      <c r="A499" s="438" t="s">
        <v>179</v>
      </c>
      <c r="B499" s="361" t="s">
        <v>4235</v>
      </c>
      <c r="C499" s="378" t="s">
        <v>4236</v>
      </c>
      <c r="D499" s="364">
        <v>45</v>
      </c>
      <c r="E499" s="415"/>
      <c r="F499" s="415"/>
      <c r="G499" s="415"/>
      <c r="H499" s="415"/>
      <c r="I499" s="415">
        <v>76.92</v>
      </c>
      <c r="J499" s="415"/>
      <c r="K499" s="415"/>
      <c r="L499" s="415"/>
      <c r="M499" s="415"/>
      <c r="N499" s="415">
        <v>76.92</v>
      </c>
      <c r="O499" s="415"/>
      <c r="P499" s="415"/>
      <c r="Q499" s="416">
        <f>AVERAGE(E499:P499)</f>
        <v>76.92</v>
      </c>
      <c r="R499" s="434" t="str">
        <f>IF(Q499&lt;5,"SI","NO")</f>
        <v>NO</v>
      </c>
      <c r="S499" s="417" t="str">
        <f>IF(Q499&lt;5,"Sin Riesgo",IF(Q499 &lt;=14,"Bajo",IF(Q499&lt;=35,"Medio",IF(Q499&lt;=80,"Alto","Inviable Sanitariamente"))))</f>
        <v>Alto</v>
      </c>
    </row>
    <row r="500" spans="1:19" ht="32.1" customHeight="1" x14ac:dyDescent="0.2">
      <c r="A500" s="438" t="s">
        <v>179</v>
      </c>
      <c r="B500" s="361" t="s">
        <v>43</v>
      </c>
      <c r="C500" s="378" t="s">
        <v>4237</v>
      </c>
      <c r="D500" s="364"/>
      <c r="E500" s="415"/>
      <c r="F500" s="415"/>
      <c r="G500" s="415"/>
      <c r="H500" s="415"/>
      <c r="I500" s="415"/>
      <c r="J500" s="415"/>
      <c r="K500" s="415"/>
      <c r="L500" s="415"/>
      <c r="M500" s="415"/>
      <c r="N500" s="415"/>
      <c r="O500" s="415"/>
      <c r="P500" s="415"/>
      <c r="Q500" s="416" t="e">
        <f t="shared" ref="Q500:Q523" si="28">AVERAGE(E500:P500)</f>
        <v>#DIV/0!</v>
      </c>
      <c r="R500" s="434" t="e">
        <f t="shared" si="27"/>
        <v>#DIV/0!</v>
      </c>
      <c r="S500" s="417" t="e">
        <f t="shared" si="26"/>
        <v>#DIV/0!</v>
      </c>
    </row>
    <row r="501" spans="1:19" ht="32.1" customHeight="1" x14ac:dyDescent="0.2">
      <c r="A501" s="438" t="s">
        <v>179</v>
      </c>
      <c r="B501" s="361" t="s">
        <v>2572</v>
      </c>
      <c r="C501" s="378" t="s">
        <v>2573</v>
      </c>
      <c r="D501" s="364"/>
      <c r="E501" s="415"/>
      <c r="F501" s="415"/>
      <c r="G501" s="415"/>
      <c r="H501" s="415"/>
      <c r="I501" s="415"/>
      <c r="J501" s="415"/>
      <c r="K501" s="415"/>
      <c r="L501" s="415"/>
      <c r="M501" s="415"/>
      <c r="N501" s="415"/>
      <c r="O501" s="415"/>
      <c r="P501" s="415"/>
      <c r="Q501" s="416" t="e">
        <f t="shared" si="28"/>
        <v>#DIV/0!</v>
      </c>
      <c r="R501" s="434" t="e">
        <f t="shared" si="27"/>
        <v>#DIV/0!</v>
      </c>
      <c r="S501" s="417" t="e">
        <f t="shared" si="26"/>
        <v>#DIV/0!</v>
      </c>
    </row>
    <row r="502" spans="1:19" ht="32.1" customHeight="1" x14ac:dyDescent="0.2">
      <c r="A502" s="438" t="s">
        <v>179</v>
      </c>
      <c r="B502" s="361" t="s">
        <v>43</v>
      </c>
      <c r="C502" s="378" t="s">
        <v>2574</v>
      </c>
      <c r="D502" s="364">
        <v>71</v>
      </c>
      <c r="E502" s="415"/>
      <c r="F502" s="415">
        <v>76.92</v>
      </c>
      <c r="G502" s="415"/>
      <c r="H502" s="415"/>
      <c r="I502" s="415"/>
      <c r="J502" s="415"/>
      <c r="K502" s="415"/>
      <c r="L502" s="415"/>
      <c r="M502" s="415"/>
      <c r="N502" s="415"/>
      <c r="O502" s="415">
        <v>97.35</v>
      </c>
      <c r="P502" s="415"/>
      <c r="Q502" s="416">
        <f t="shared" si="28"/>
        <v>87.134999999999991</v>
      </c>
      <c r="R502" s="434" t="str">
        <f t="shared" si="27"/>
        <v>NO</v>
      </c>
      <c r="S502" s="417" t="str">
        <f t="shared" si="26"/>
        <v>Inviable Sanitariamente</v>
      </c>
    </row>
    <row r="503" spans="1:19" ht="32.1" customHeight="1" x14ac:dyDescent="0.2">
      <c r="A503" s="438" t="s">
        <v>179</v>
      </c>
      <c r="B503" s="361" t="s">
        <v>2575</v>
      </c>
      <c r="C503" s="378" t="s">
        <v>2576</v>
      </c>
      <c r="D503" s="364">
        <v>154</v>
      </c>
      <c r="E503" s="415"/>
      <c r="F503" s="415"/>
      <c r="G503" s="415"/>
      <c r="H503" s="415"/>
      <c r="I503" s="415"/>
      <c r="J503" s="415"/>
      <c r="K503" s="415"/>
      <c r="L503" s="415"/>
      <c r="M503" s="415"/>
      <c r="N503" s="415"/>
      <c r="O503" s="415">
        <v>70.8</v>
      </c>
      <c r="P503" s="415"/>
      <c r="Q503" s="416">
        <f t="shared" si="28"/>
        <v>70.8</v>
      </c>
      <c r="R503" s="434" t="str">
        <f t="shared" si="27"/>
        <v>NO</v>
      </c>
      <c r="S503" s="417" t="str">
        <f t="shared" si="26"/>
        <v>Alto</v>
      </c>
    </row>
    <row r="504" spans="1:19" ht="32.1" customHeight="1" x14ac:dyDescent="0.2">
      <c r="A504" s="438" t="s">
        <v>179</v>
      </c>
      <c r="B504" s="361" t="s">
        <v>2577</v>
      </c>
      <c r="C504" s="378" t="s">
        <v>2578</v>
      </c>
      <c r="D504" s="364">
        <v>71</v>
      </c>
      <c r="E504" s="415"/>
      <c r="F504" s="415">
        <v>76.92</v>
      </c>
      <c r="G504" s="415"/>
      <c r="H504" s="415"/>
      <c r="I504" s="415"/>
      <c r="J504" s="415"/>
      <c r="K504" s="415"/>
      <c r="L504" s="415"/>
      <c r="M504" s="415"/>
      <c r="N504" s="415"/>
      <c r="O504" s="415">
        <v>97.35</v>
      </c>
      <c r="P504" s="415"/>
      <c r="Q504" s="416">
        <f t="shared" si="28"/>
        <v>87.134999999999991</v>
      </c>
      <c r="R504" s="434" t="str">
        <f t="shared" si="27"/>
        <v>NO</v>
      </c>
      <c r="S504" s="417" t="str">
        <f t="shared" si="26"/>
        <v>Inviable Sanitariamente</v>
      </c>
    </row>
    <row r="505" spans="1:19" ht="32.1" customHeight="1" x14ac:dyDescent="0.2">
      <c r="A505" s="438" t="s">
        <v>179</v>
      </c>
      <c r="B505" s="361" t="s">
        <v>2579</v>
      </c>
      <c r="C505" s="378" t="s">
        <v>2580</v>
      </c>
      <c r="D505" s="364">
        <v>46</v>
      </c>
      <c r="E505" s="415"/>
      <c r="F505" s="415"/>
      <c r="G505" s="415"/>
      <c r="H505" s="415"/>
      <c r="I505" s="415"/>
      <c r="J505" s="415">
        <v>76.900000000000006</v>
      </c>
      <c r="K505" s="415"/>
      <c r="L505" s="415"/>
      <c r="M505" s="415"/>
      <c r="N505" s="415"/>
      <c r="O505" s="415"/>
      <c r="P505" s="415"/>
      <c r="Q505" s="416">
        <f t="shared" si="28"/>
        <v>76.900000000000006</v>
      </c>
      <c r="R505" s="434" t="str">
        <f t="shared" si="27"/>
        <v>NO</v>
      </c>
      <c r="S505" s="417" t="str">
        <f t="shared" si="26"/>
        <v>Alto</v>
      </c>
    </row>
    <row r="506" spans="1:19" ht="32.1" customHeight="1" x14ac:dyDescent="0.2">
      <c r="A506" s="438" t="s">
        <v>179</v>
      </c>
      <c r="B506" s="361" t="s">
        <v>2581</v>
      </c>
      <c r="C506" s="378" t="s">
        <v>2582</v>
      </c>
      <c r="D506" s="364">
        <v>57</v>
      </c>
      <c r="E506" s="415"/>
      <c r="F506" s="415"/>
      <c r="G506" s="415"/>
      <c r="H506" s="415"/>
      <c r="I506" s="415"/>
      <c r="J506" s="415">
        <v>76.900000000000006</v>
      </c>
      <c r="K506" s="415"/>
      <c r="L506" s="415"/>
      <c r="M506" s="415"/>
      <c r="N506" s="415"/>
      <c r="O506" s="415"/>
      <c r="P506" s="415"/>
      <c r="Q506" s="416">
        <f t="shared" si="28"/>
        <v>76.900000000000006</v>
      </c>
      <c r="R506" s="434" t="str">
        <f t="shared" si="27"/>
        <v>NO</v>
      </c>
      <c r="S506" s="417" t="str">
        <f t="shared" si="26"/>
        <v>Alto</v>
      </c>
    </row>
    <row r="507" spans="1:19" s="149" customFormat="1" ht="32.1" customHeight="1" x14ac:dyDescent="0.2">
      <c r="A507" s="438" t="s">
        <v>179</v>
      </c>
      <c r="B507" s="361" t="s">
        <v>815</v>
      </c>
      <c r="C507" s="378" t="s">
        <v>2583</v>
      </c>
      <c r="D507" s="364">
        <v>70</v>
      </c>
      <c r="E507" s="415"/>
      <c r="F507" s="415">
        <v>76.92</v>
      </c>
      <c r="G507" s="415"/>
      <c r="H507" s="415"/>
      <c r="I507" s="415"/>
      <c r="J507" s="415"/>
      <c r="K507" s="415"/>
      <c r="L507" s="415"/>
      <c r="M507" s="415"/>
      <c r="N507" s="415"/>
      <c r="O507" s="415"/>
      <c r="P507" s="415"/>
      <c r="Q507" s="416">
        <f t="shared" si="28"/>
        <v>76.92</v>
      </c>
      <c r="R507" s="434" t="str">
        <f t="shared" si="27"/>
        <v>NO</v>
      </c>
      <c r="S507" s="417" t="str">
        <f t="shared" si="26"/>
        <v>Alto</v>
      </c>
    </row>
    <row r="508" spans="1:19" ht="32.1" customHeight="1" x14ac:dyDescent="0.2">
      <c r="A508" s="438" t="s">
        <v>179</v>
      </c>
      <c r="B508" s="361" t="s">
        <v>2429</v>
      </c>
      <c r="C508" s="378" t="s">
        <v>2584</v>
      </c>
      <c r="D508" s="364">
        <v>25</v>
      </c>
      <c r="E508" s="415"/>
      <c r="F508" s="415"/>
      <c r="G508" s="415"/>
      <c r="H508" s="415"/>
      <c r="I508" s="415"/>
      <c r="J508" s="415">
        <v>76.900000000000006</v>
      </c>
      <c r="K508" s="415"/>
      <c r="L508" s="415"/>
      <c r="M508" s="415"/>
      <c r="N508" s="415"/>
      <c r="O508" s="415"/>
      <c r="P508" s="415"/>
      <c r="Q508" s="416">
        <f t="shared" si="28"/>
        <v>76.900000000000006</v>
      </c>
      <c r="R508" s="434" t="str">
        <f t="shared" si="27"/>
        <v>NO</v>
      </c>
      <c r="S508" s="417" t="str">
        <f t="shared" si="26"/>
        <v>Alto</v>
      </c>
    </row>
    <row r="509" spans="1:19" ht="32.1" customHeight="1" x14ac:dyDescent="0.2">
      <c r="A509" s="438" t="s">
        <v>179</v>
      </c>
      <c r="B509" s="361" t="s">
        <v>2106</v>
      </c>
      <c r="C509" s="378" t="s">
        <v>2585</v>
      </c>
      <c r="D509" s="364">
        <v>23</v>
      </c>
      <c r="E509" s="415"/>
      <c r="F509" s="415">
        <v>76.92</v>
      </c>
      <c r="G509" s="415"/>
      <c r="H509" s="415"/>
      <c r="I509" s="415"/>
      <c r="J509" s="415"/>
      <c r="K509" s="415"/>
      <c r="L509" s="415"/>
      <c r="M509" s="415"/>
      <c r="N509" s="415"/>
      <c r="O509" s="415">
        <v>97.35</v>
      </c>
      <c r="P509" s="415"/>
      <c r="Q509" s="416">
        <f t="shared" si="28"/>
        <v>87.134999999999991</v>
      </c>
      <c r="R509" s="434" t="str">
        <f t="shared" si="27"/>
        <v>NO</v>
      </c>
      <c r="S509" s="417" t="str">
        <f t="shared" si="26"/>
        <v>Inviable Sanitariamente</v>
      </c>
    </row>
    <row r="510" spans="1:19" ht="32.1" customHeight="1" x14ac:dyDescent="0.2">
      <c r="A510" s="438" t="s">
        <v>179</v>
      </c>
      <c r="B510" s="361" t="s">
        <v>2586</v>
      </c>
      <c r="C510" s="378" t="s">
        <v>2587</v>
      </c>
      <c r="D510" s="364">
        <v>60</v>
      </c>
      <c r="E510" s="415"/>
      <c r="F510" s="415"/>
      <c r="G510" s="415"/>
      <c r="H510" s="415"/>
      <c r="I510" s="415"/>
      <c r="J510" s="415"/>
      <c r="K510" s="415"/>
      <c r="L510" s="415"/>
      <c r="M510" s="415"/>
      <c r="N510" s="415"/>
      <c r="O510" s="415">
        <v>97.35</v>
      </c>
      <c r="P510" s="415"/>
      <c r="Q510" s="416">
        <f t="shared" si="28"/>
        <v>97.35</v>
      </c>
      <c r="R510" s="434" t="str">
        <f t="shared" si="27"/>
        <v>NO</v>
      </c>
      <c r="S510" s="417" t="str">
        <f t="shared" si="26"/>
        <v>Inviable Sanitariamente</v>
      </c>
    </row>
    <row r="511" spans="1:19" ht="32.1" customHeight="1" x14ac:dyDescent="0.2">
      <c r="A511" s="438" t="s">
        <v>179</v>
      </c>
      <c r="B511" s="361" t="s">
        <v>4238</v>
      </c>
      <c r="C511" s="378" t="s">
        <v>4239</v>
      </c>
      <c r="D511" s="364">
        <v>27</v>
      </c>
      <c r="E511" s="415"/>
      <c r="F511" s="415" t="s">
        <v>1600</v>
      </c>
      <c r="G511" s="415"/>
      <c r="H511" s="415"/>
      <c r="I511" s="415"/>
      <c r="J511" s="415"/>
      <c r="K511" s="415"/>
      <c r="L511" s="415"/>
      <c r="M511" s="415"/>
      <c r="N511" s="415"/>
      <c r="O511" s="415">
        <v>97.35</v>
      </c>
      <c r="P511" s="415"/>
      <c r="Q511" s="416">
        <f>AVERAGE(E511:P511)</f>
        <v>97.35</v>
      </c>
      <c r="R511" s="434" t="str">
        <f>IF(Q511&lt;5,"SI","NO")</f>
        <v>NO</v>
      </c>
      <c r="S511" s="417" t="str">
        <f>IF(Q511&lt;5,"Sin Riesgo",IF(Q511 &lt;=14,"Bajo",IF(Q511&lt;=35,"Medio",IF(Q511&lt;=80,"Alto","Inviable Sanitariamente"))))</f>
        <v>Inviable Sanitariamente</v>
      </c>
    </row>
    <row r="512" spans="1:19" ht="32.1" customHeight="1" x14ac:dyDescent="0.2">
      <c r="A512" s="438" t="s">
        <v>179</v>
      </c>
      <c r="B512" s="361" t="s">
        <v>2588</v>
      </c>
      <c r="C512" s="378" t="s">
        <v>2589</v>
      </c>
      <c r="D512" s="364">
        <v>94</v>
      </c>
      <c r="E512" s="415"/>
      <c r="F512" s="415"/>
      <c r="G512" s="415"/>
      <c r="H512" s="415"/>
      <c r="I512" s="415"/>
      <c r="J512" s="415"/>
      <c r="K512" s="415"/>
      <c r="L512" s="415"/>
      <c r="M512" s="415"/>
      <c r="N512" s="415"/>
      <c r="O512" s="415"/>
      <c r="P512" s="415">
        <v>97.35</v>
      </c>
      <c r="Q512" s="416">
        <f t="shared" si="28"/>
        <v>97.35</v>
      </c>
      <c r="R512" s="434" t="str">
        <f t="shared" si="27"/>
        <v>NO</v>
      </c>
      <c r="S512" s="417" t="str">
        <f t="shared" si="26"/>
        <v>Inviable Sanitariamente</v>
      </c>
    </row>
    <row r="513" spans="1:19" ht="32.1" customHeight="1" x14ac:dyDescent="0.2">
      <c r="A513" s="438" t="s">
        <v>180</v>
      </c>
      <c r="B513" s="361" t="s">
        <v>2590</v>
      </c>
      <c r="C513" s="378" t="s">
        <v>2591</v>
      </c>
      <c r="D513" s="364">
        <v>1055</v>
      </c>
      <c r="E513" s="415">
        <v>0</v>
      </c>
      <c r="F513" s="415"/>
      <c r="G513" s="415"/>
      <c r="H513" s="415"/>
      <c r="I513" s="415"/>
      <c r="J513" s="415">
        <v>0</v>
      </c>
      <c r="K513" s="415"/>
      <c r="L513" s="415"/>
      <c r="M513" s="415"/>
      <c r="N513" s="415"/>
      <c r="O513" s="415"/>
      <c r="P513" s="415"/>
      <c r="Q513" s="416">
        <f t="shared" si="28"/>
        <v>0</v>
      </c>
      <c r="R513" s="395" t="str">
        <f t="shared" si="27"/>
        <v>SI</v>
      </c>
      <c r="S513" s="417" t="str">
        <f t="shared" si="26"/>
        <v>Sin Riesgo</v>
      </c>
    </row>
    <row r="514" spans="1:19" ht="32.1" customHeight="1" x14ac:dyDescent="0.2">
      <c r="A514" s="438" t="s">
        <v>180</v>
      </c>
      <c r="B514" s="361" t="s">
        <v>2592</v>
      </c>
      <c r="C514" s="378" t="s">
        <v>2593</v>
      </c>
      <c r="D514" s="364">
        <v>165</v>
      </c>
      <c r="E514" s="415">
        <v>0</v>
      </c>
      <c r="F514" s="415"/>
      <c r="G514" s="415"/>
      <c r="H514" s="415"/>
      <c r="I514" s="415"/>
      <c r="J514" s="415">
        <v>41.45</v>
      </c>
      <c r="K514" s="415"/>
      <c r="L514" s="415"/>
      <c r="M514" s="415"/>
      <c r="N514" s="415"/>
      <c r="O514" s="415"/>
      <c r="P514" s="415"/>
      <c r="Q514" s="416">
        <f t="shared" si="28"/>
        <v>20.725000000000001</v>
      </c>
      <c r="R514" s="434" t="str">
        <f t="shared" si="27"/>
        <v>NO</v>
      </c>
      <c r="S514" s="417" t="str">
        <f t="shared" si="26"/>
        <v>Medio</v>
      </c>
    </row>
    <row r="515" spans="1:19" ht="32.1" customHeight="1" x14ac:dyDescent="0.2">
      <c r="A515" s="438" t="s">
        <v>180</v>
      </c>
      <c r="B515" s="361" t="s">
        <v>1783</v>
      </c>
      <c r="C515" s="378" t="s">
        <v>2594</v>
      </c>
      <c r="D515" s="364">
        <v>426</v>
      </c>
      <c r="E515" s="415">
        <v>0</v>
      </c>
      <c r="F515" s="415"/>
      <c r="G515" s="415">
        <v>0</v>
      </c>
      <c r="H515" s="415"/>
      <c r="I515" s="415"/>
      <c r="J515" s="415">
        <v>19.739999999999998</v>
      </c>
      <c r="K515" s="415"/>
      <c r="L515" s="415"/>
      <c r="M515" s="415"/>
      <c r="N515" s="415"/>
      <c r="O515" s="415"/>
      <c r="P515" s="415"/>
      <c r="Q515" s="416">
        <f t="shared" si="28"/>
        <v>6.5799999999999992</v>
      </c>
      <c r="R515" s="395" t="str">
        <f t="shared" si="27"/>
        <v>NO</v>
      </c>
      <c r="S515" s="417" t="str">
        <f t="shared" si="26"/>
        <v>Bajo</v>
      </c>
    </row>
    <row r="516" spans="1:19" ht="32.1" customHeight="1" x14ac:dyDescent="0.2">
      <c r="A516" s="438" t="s">
        <v>180</v>
      </c>
      <c r="B516" s="361" t="s">
        <v>1319</v>
      </c>
      <c r="C516" s="378" t="s">
        <v>2595</v>
      </c>
      <c r="D516" s="364">
        <v>103</v>
      </c>
      <c r="E516" s="415">
        <v>52.63</v>
      </c>
      <c r="F516" s="415"/>
      <c r="G516" s="415">
        <v>39.4</v>
      </c>
      <c r="H516" s="415"/>
      <c r="I516" s="415"/>
      <c r="J516" s="415">
        <v>1.9</v>
      </c>
      <c r="K516" s="415"/>
      <c r="L516" s="415"/>
      <c r="M516" s="415"/>
      <c r="N516" s="415"/>
      <c r="O516" s="415"/>
      <c r="P516" s="415"/>
      <c r="Q516" s="416">
        <f t="shared" si="28"/>
        <v>31.310000000000002</v>
      </c>
      <c r="R516" s="434" t="str">
        <f t="shared" si="27"/>
        <v>NO</v>
      </c>
      <c r="S516" s="417" t="str">
        <f t="shared" si="26"/>
        <v>Medio</v>
      </c>
    </row>
    <row r="517" spans="1:19" ht="32.1" customHeight="1" x14ac:dyDescent="0.2">
      <c r="A517" s="438" t="s">
        <v>180</v>
      </c>
      <c r="B517" s="361" t="s">
        <v>2596</v>
      </c>
      <c r="C517" s="378" t="s">
        <v>2597</v>
      </c>
      <c r="D517" s="364">
        <v>60</v>
      </c>
      <c r="E517" s="415">
        <v>0</v>
      </c>
      <c r="F517" s="415"/>
      <c r="G517" s="415">
        <v>0</v>
      </c>
      <c r="H517" s="415"/>
      <c r="I517" s="415"/>
      <c r="J517" s="415">
        <v>19.7</v>
      </c>
      <c r="K517" s="415"/>
      <c r="L517" s="415"/>
      <c r="M517" s="415"/>
      <c r="N517" s="415"/>
      <c r="O517" s="415"/>
      <c r="P517" s="415"/>
      <c r="Q517" s="416">
        <f t="shared" si="28"/>
        <v>6.5666666666666664</v>
      </c>
      <c r="R517" s="434" t="str">
        <f t="shared" si="27"/>
        <v>NO</v>
      </c>
      <c r="S517" s="417" t="str">
        <f t="shared" si="26"/>
        <v>Bajo</v>
      </c>
    </row>
    <row r="518" spans="1:19" ht="32.1" customHeight="1" x14ac:dyDescent="0.2">
      <c r="A518" s="438" t="s">
        <v>180</v>
      </c>
      <c r="B518" s="361" t="s">
        <v>62</v>
      </c>
      <c r="C518" s="378" t="s">
        <v>2598</v>
      </c>
      <c r="D518" s="364">
        <v>52</v>
      </c>
      <c r="E518" s="415"/>
      <c r="F518" s="415"/>
      <c r="G518" s="415"/>
      <c r="H518" s="415"/>
      <c r="I518" s="415"/>
      <c r="J518" s="415">
        <v>39.47</v>
      </c>
      <c r="K518" s="415"/>
      <c r="L518" s="415"/>
      <c r="M518" s="415"/>
      <c r="N518" s="415"/>
      <c r="O518" s="415"/>
      <c r="P518" s="415"/>
      <c r="Q518" s="416">
        <f t="shared" si="28"/>
        <v>39.47</v>
      </c>
      <c r="R518" s="434" t="str">
        <f t="shared" si="27"/>
        <v>NO</v>
      </c>
      <c r="S518" s="417" t="str">
        <f t="shared" si="26"/>
        <v>Alto</v>
      </c>
    </row>
    <row r="519" spans="1:19" ht="32.1" customHeight="1" x14ac:dyDescent="0.2">
      <c r="A519" s="438" t="s">
        <v>180</v>
      </c>
      <c r="B519" s="361" t="s">
        <v>2599</v>
      </c>
      <c r="C519" s="378" t="s">
        <v>2600</v>
      </c>
      <c r="D519" s="364">
        <v>64</v>
      </c>
      <c r="E519" s="415"/>
      <c r="F519" s="415"/>
      <c r="G519" s="415"/>
      <c r="H519" s="415"/>
      <c r="I519" s="415"/>
      <c r="J519" s="415"/>
      <c r="K519" s="415"/>
      <c r="L519" s="415"/>
      <c r="M519" s="415"/>
      <c r="N519" s="415"/>
      <c r="O519" s="415"/>
      <c r="P519" s="415">
        <v>21</v>
      </c>
      <c r="Q519" s="416">
        <f t="shared" si="28"/>
        <v>21</v>
      </c>
      <c r="R519" s="395" t="str">
        <f t="shared" si="27"/>
        <v>NO</v>
      </c>
      <c r="S519" s="417" t="str">
        <f t="shared" si="26"/>
        <v>Medio</v>
      </c>
    </row>
    <row r="520" spans="1:19" ht="32.1" customHeight="1" x14ac:dyDescent="0.2">
      <c r="A520" s="438" t="s">
        <v>180</v>
      </c>
      <c r="B520" s="361" t="s">
        <v>2601</v>
      </c>
      <c r="C520" s="378" t="s">
        <v>2602</v>
      </c>
      <c r="D520" s="364">
        <v>36</v>
      </c>
      <c r="E520" s="415"/>
      <c r="F520" s="415"/>
      <c r="G520" s="415"/>
      <c r="H520" s="415"/>
      <c r="I520" s="415"/>
      <c r="J520" s="415"/>
      <c r="K520" s="415"/>
      <c r="L520" s="415"/>
      <c r="M520" s="415"/>
      <c r="N520" s="415"/>
      <c r="O520" s="415">
        <v>76.900000000000006</v>
      </c>
      <c r="P520" s="415"/>
      <c r="Q520" s="416">
        <f t="shared" si="28"/>
        <v>76.900000000000006</v>
      </c>
      <c r="R520" s="395" t="str">
        <f t="shared" si="27"/>
        <v>NO</v>
      </c>
      <c r="S520" s="417" t="str">
        <f t="shared" si="26"/>
        <v>Alto</v>
      </c>
    </row>
    <row r="521" spans="1:19" ht="32.1" customHeight="1" x14ac:dyDescent="0.2">
      <c r="A521" s="438" t="s">
        <v>180</v>
      </c>
      <c r="B521" s="361" t="s">
        <v>2603</v>
      </c>
      <c r="C521" s="378" t="s">
        <v>2604</v>
      </c>
      <c r="D521" s="364">
        <v>60</v>
      </c>
      <c r="E521" s="415"/>
      <c r="F521" s="415"/>
      <c r="G521" s="415"/>
      <c r="H521" s="415"/>
      <c r="I521" s="415"/>
      <c r="J521" s="415"/>
      <c r="K521" s="415"/>
      <c r="L521" s="415"/>
      <c r="M521" s="415"/>
      <c r="N521" s="415"/>
      <c r="O521" s="415"/>
      <c r="P521" s="415">
        <v>76.900000000000006</v>
      </c>
      <c r="Q521" s="416">
        <f t="shared" si="28"/>
        <v>76.900000000000006</v>
      </c>
      <c r="R521" s="395" t="str">
        <f t="shared" si="27"/>
        <v>NO</v>
      </c>
      <c r="S521" s="417" t="str">
        <f t="shared" si="26"/>
        <v>Alto</v>
      </c>
    </row>
    <row r="522" spans="1:19" ht="32.1" customHeight="1" x14ac:dyDescent="0.2">
      <c r="A522" s="438" t="s">
        <v>180</v>
      </c>
      <c r="B522" s="361" t="s">
        <v>63</v>
      </c>
      <c r="C522" s="378" t="s">
        <v>2605</v>
      </c>
      <c r="D522" s="364">
        <v>72</v>
      </c>
      <c r="E522" s="415"/>
      <c r="F522" s="415"/>
      <c r="G522" s="415"/>
      <c r="H522" s="415"/>
      <c r="I522" s="415"/>
      <c r="J522" s="415"/>
      <c r="K522" s="415"/>
      <c r="L522" s="415"/>
      <c r="M522" s="415"/>
      <c r="N522" s="415"/>
      <c r="O522" s="415"/>
      <c r="P522" s="415">
        <v>77</v>
      </c>
      <c r="Q522" s="416">
        <f t="shared" si="28"/>
        <v>77</v>
      </c>
      <c r="R522" s="434" t="str">
        <f t="shared" si="27"/>
        <v>NO</v>
      </c>
      <c r="S522" s="417" t="str">
        <f t="shared" si="26"/>
        <v>Alto</v>
      </c>
    </row>
    <row r="523" spans="1:19" ht="32.1" customHeight="1" x14ac:dyDescent="0.2">
      <c r="A523" s="438" t="s">
        <v>180</v>
      </c>
      <c r="B523" s="361" t="s">
        <v>2606</v>
      </c>
      <c r="C523" s="378" t="s">
        <v>2607</v>
      </c>
      <c r="D523" s="364">
        <v>17</v>
      </c>
      <c r="E523" s="415"/>
      <c r="F523" s="415"/>
      <c r="G523" s="415"/>
      <c r="H523" s="415"/>
      <c r="I523" s="415"/>
      <c r="J523" s="415"/>
      <c r="K523" s="415"/>
      <c r="L523" s="415"/>
      <c r="M523" s="415"/>
      <c r="N523" s="415"/>
      <c r="O523" s="415"/>
      <c r="P523" s="415">
        <v>76.900000000000006</v>
      </c>
      <c r="Q523" s="416">
        <f t="shared" si="28"/>
        <v>76.900000000000006</v>
      </c>
      <c r="R523" s="395" t="str">
        <f t="shared" si="27"/>
        <v>NO</v>
      </c>
      <c r="S523" s="417" t="str">
        <f t="shared" si="26"/>
        <v>Alto</v>
      </c>
    </row>
    <row r="524" spans="1:19" ht="32.1" customHeight="1" x14ac:dyDescent="0.2">
      <c r="A524" s="242"/>
      <c r="B524" s="300"/>
      <c r="C524" s="300"/>
      <c r="D524" s="301"/>
      <c r="E524" s="244"/>
      <c r="F524" s="244"/>
      <c r="G524" s="244"/>
      <c r="H524" s="244"/>
      <c r="I524" s="244"/>
      <c r="J524" s="244"/>
      <c r="K524" s="244"/>
      <c r="L524" s="244"/>
      <c r="M524" s="244"/>
      <c r="N524" s="244"/>
      <c r="O524" s="244"/>
      <c r="P524" s="244"/>
      <c r="Q524" s="79"/>
      <c r="R524" s="134"/>
      <c r="S524" s="247"/>
    </row>
    <row r="525" spans="1:19" x14ac:dyDescent="0.2">
      <c r="P525" s="18"/>
      <c r="Q525" s="18"/>
      <c r="R525" s="18"/>
    </row>
    <row r="526" spans="1:19" ht="45.75" customHeight="1" x14ac:dyDescent="0.2">
      <c r="A526" s="272" t="s">
        <v>4137</v>
      </c>
      <c r="B526" s="272" t="s">
        <v>4184</v>
      </c>
      <c r="C526" s="322" t="s">
        <v>4575</v>
      </c>
      <c r="D526" s="323"/>
      <c r="E526" s="323"/>
      <c r="F526" s="323"/>
      <c r="G526" s="323"/>
      <c r="H526" s="323"/>
      <c r="I526" s="323"/>
      <c r="J526" s="323"/>
      <c r="K526" s="323"/>
      <c r="L526" s="323"/>
      <c r="M526" s="323"/>
      <c r="N526" s="323"/>
      <c r="O526" s="323"/>
      <c r="P526" s="323"/>
      <c r="Q526" s="323"/>
      <c r="R526" s="323"/>
      <c r="S526" s="323"/>
    </row>
    <row r="527" spans="1:19" ht="34.5" customHeight="1" x14ac:dyDescent="0.2">
      <c r="A527" s="276" t="s">
        <v>4071</v>
      </c>
      <c r="B527" s="278">
        <f>COUNTIF(E10:P523,"&lt;=5")</f>
        <v>221</v>
      </c>
      <c r="C527" s="324" t="s">
        <v>4279</v>
      </c>
      <c r="D527" s="325"/>
      <c r="E527" s="325"/>
      <c r="F527" s="325"/>
      <c r="G527" s="325"/>
      <c r="H527" s="325"/>
      <c r="I527" s="325"/>
      <c r="J527" s="325"/>
      <c r="K527" s="325"/>
      <c r="L527" s="325"/>
      <c r="M527" s="325"/>
      <c r="N527" s="325"/>
      <c r="O527" s="325"/>
      <c r="P527" s="325"/>
      <c r="Q527" s="325"/>
      <c r="R527" s="325"/>
      <c r="S527" s="325"/>
    </row>
    <row r="528" spans="1:19" ht="32.25" customHeight="1" x14ac:dyDescent="0.2">
      <c r="A528" s="263" t="s">
        <v>4072</v>
      </c>
      <c r="B528" s="275">
        <f>COUNTIFS(E10:P523,"&gt;5",E10:P523,"&lt;=14")</f>
        <v>0</v>
      </c>
      <c r="C528" s="324" t="s">
        <v>4576</v>
      </c>
      <c r="D528" s="325"/>
      <c r="E528" s="325"/>
      <c r="F528" s="325"/>
      <c r="G528" s="325"/>
      <c r="H528" s="325"/>
      <c r="I528" s="325"/>
      <c r="J528" s="325"/>
      <c r="K528" s="325"/>
      <c r="L528" s="325"/>
      <c r="M528" s="325"/>
      <c r="N528" s="325"/>
      <c r="O528" s="325"/>
      <c r="P528" s="325"/>
      <c r="Q528" s="325"/>
      <c r="R528" s="325"/>
      <c r="S528" s="325"/>
    </row>
    <row r="529" spans="1:3" ht="32.25" customHeight="1" x14ac:dyDescent="0.2">
      <c r="A529" s="264" t="s">
        <v>4073</v>
      </c>
      <c r="B529" s="270">
        <f>COUNTIFS(E10:P523,"&gt;14",E10:P523,"&lt;=35")</f>
        <v>53</v>
      </c>
      <c r="C529" s="308" t="s">
        <v>4577</v>
      </c>
    </row>
    <row r="530" spans="1:3" ht="32.25" customHeight="1" x14ac:dyDescent="0.2">
      <c r="A530" s="265" t="s">
        <v>4074</v>
      </c>
      <c r="B530" s="270">
        <f>COUNTIFS(E10:P523,"&gt;35",E10:P523,"&lt;=80")</f>
        <v>176</v>
      </c>
    </row>
    <row r="531" spans="1:3" ht="32.25" customHeight="1" x14ac:dyDescent="0.2">
      <c r="A531" s="266" t="s">
        <v>4075</v>
      </c>
      <c r="B531" s="270">
        <f>COUNTIFS(E10:P523,"&gt;80",E10:P523,"&lt;=100")</f>
        <v>272</v>
      </c>
    </row>
    <row r="532" spans="1:3" ht="32.25" customHeight="1" x14ac:dyDescent="0.2">
      <c r="A532" s="285" t="s">
        <v>4076</v>
      </c>
      <c r="B532" s="286">
        <f>COUNT(E10:P523)</f>
        <v>722</v>
      </c>
    </row>
    <row r="533" spans="1:3" ht="37.5" customHeight="1" x14ac:dyDescent="0.2">
      <c r="A533" s="269" t="s">
        <v>4078</v>
      </c>
      <c r="B533" s="271">
        <f>B532-B527</f>
        <v>501</v>
      </c>
    </row>
    <row r="534" spans="1:3" x14ac:dyDescent="0.2"/>
    <row r="535" spans="1:3" x14ac:dyDescent="0.2"/>
    <row r="536" spans="1:3" x14ac:dyDescent="0.2"/>
    <row r="537" spans="1:3" x14ac:dyDescent="0.2"/>
    <row r="538" spans="1:3" x14ac:dyDescent="0.2"/>
    <row r="539" spans="1:3" x14ac:dyDescent="0.2"/>
    <row r="540" spans="1:3" x14ac:dyDescent="0.2"/>
    <row r="541" spans="1:3" x14ac:dyDescent="0.2"/>
    <row r="542" spans="1:3" x14ac:dyDescent="0.2"/>
    <row r="543" spans="1:3" x14ac:dyDescent="0.2"/>
    <row r="544" spans="1:3"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hidden="1"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x14ac:dyDescent="0.2"/>
    <row r="767" x14ac:dyDescent="0.2"/>
    <row r="768" x14ac:dyDescent="0.2"/>
    <row r="769" x14ac:dyDescent="0.2"/>
    <row r="770" x14ac:dyDescent="0.2"/>
    <row r="771" x14ac:dyDescent="0.2"/>
  </sheetData>
  <autoFilter ref="A10:IV523">
    <sortState ref="A12:IV511">
      <sortCondition ref="A10:A516"/>
    </sortState>
  </autoFilter>
  <customSheetViews>
    <customSheetView guid="{45C8AF51-29EC-46A5-AB7F-1F0634E55D82}" scale="60" hiddenRows="1" hiddenColumns="1">
      <pane xSplit="2.1587982832618025" ySplit="10" topLeftCell="D509" activePane="bottomRight" state="frozenSplit"/>
      <selection pane="bottomRight" activeCell="C523" sqref="C523"/>
      <pageMargins left="0.28999999999999998" right="0.2" top="0.6692913385826772" bottom="0.9055118110236221" header="0.43" footer="0.59055118110236227"/>
      <printOptions horizontalCentered="1"/>
      <pageSetup paperSize="14" scale="75" orientation="landscape" r:id="rId1"/>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customSheetView>
    <customSheetView guid="{FCC3B493-4306-43B2-9C73-76324485DD47}" scale="60" hiddenRows="1" hiddenColumns="1">
      <pane xSplit="3" ySplit="10" topLeftCell="D11" activePane="bottomRight" state="frozenSplit"/>
      <selection pane="bottomRight" activeCell="C340" sqref="C340"/>
      <pageMargins left="0.28999999999999998" right="0.2" top="0.6692913385826772" bottom="0.9055118110236221" header="0.43" footer="0.59055118110236227"/>
      <printOptions horizontalCentered="1"/>
      <pageSetup paperSize="14" scale="75" orientation="landscape" r:id="rId2"/>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customSheetView>
    <customSheetView guid="{AEDE1BDB-8710-4CDA-8488-31F49D423ACE}" scale="60" hiddenRows="1" hiddenColumns="1">
      <pane xSplit="3" ySplit="10" topLeftCell="D503" activePane="bottomRight" state="frozenSplit"/>
      <selection pane="bottomRight" activeCell="S518" sqref="S518"/>
      <pageMargins left="0.28999999999999998" right="0.2" top="0.6692913385826772" bottom="0.9055118110236221" header="0.43" footer="0.59055118110236227"/>
      <printOptions horizontalCentered="1"/>
      <pageSetup paperSize="14" scale="75" orientation="landscape" r:id="rId3"/>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customSheetView>
    <customSheetView guid="{75DD7674-E7DE-4BB1-A36D-76AA33452CB3}" scale="60" showAutoFilter="1" hiddenRows="1" hiddenColumns="1">
      <pane xSplit="3" ySplit="10" topLeftCell="D23" activePane="bottomRight" state="frozenSplit"/>
      <selection pane="bottomRight" activeCell="D518" sqref="D518"/>
      <pageMargins left="0.28999999999999998" right="0.2" top="0.6692913385826772" bottom="0.9055118110236221" header="0.43" footer="0.59055118110236227"/>
      <printOptions horizontalCentered="1"/>
      <pageSetup paperSize="14" scale="75" orientation="landscape" r:id="rId4"/>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10:IV509">
        <sortState ref="A12:IV509">
          <sortCondition ref="A10:A514"/>
        </sortState>
      </autoFilter>
    </customSheetView>
  </customSheetViews>
  <mergeCells count="22">
    <mergeCell ref="C528:S528"/>
    <mergeCell ref="H5:J6"/>
    <mergeCell ref="K5:M6"/>
    <mergeCell ref="N5:P6"/>
    <mergeCell ref="Q5:R6"/>
    <mergeCell ref="S5:S6"/>
    <mergeCell ref="B1:D1"/>
    <mergeCell ref="B2:D2"/>
    <mergeCell ref="B3:D3"/>
    <mergeCell ref="B5:D5"/>
    <mergeCell ref="E5:G6"/>
    <mergeCell ref="C526:S526"/>
    <mergeCell ref="C527:S527"/>
    <mergeCell ref="A7:B7"/>
    <mergeCell ref="S9:S10"/>
    <mergeCell ref="R9:R10"/>
    <mergeCell ref="Q9:Q10"/>
    <mergeCell ref="E9:P9"/>
    <mergeCell ref="C9:C10"/>
    <mergeCell ref="D9:D10"/>
    <mergeCell ref="B9:B10"/>
    <mergeCell ref="A9:A10"/>
  </mergeCells>
  <phoneticPr fontId="2" type="noConversion"/>
  <conditionalFormatting sqref="T106 T79:T81 E11:Q93 E500:Q510 E95:Q95 E98:Q236 E238:Q436 E442:Q497 E512:Q523">
    <cfRule type="containsBlanks" dxfId="4452" priority="4355" stopIfTrue="1">
      <formula>LEN(TRIM(E11))=0</formula>
    </cfRule>
    <cfRule type="cellIs" dxfId="4451" priority="4356" stopIfTrue="1" operator="between">
      <formula>80.1</formula>
      <formula>100</formula>
    </cfRule>
    <cfRule type="cellIs" dxfId="4450" priority="4357" stopIfTrue="1" operator="between">
      <formula>35.1</formula>
      <formula>80</formula>
    </cfRule>
    <cfRule type="cellIs" dxfId="4449" priority="4358" stopIfTrue="1" operator="between">
      <formula>14.1</formula>
      <formula>35</formula>
    </cfRule>
    <cfRule type="cellIs" dxfId="4448" priority="4359" stopIfTrue="1" operator="between">
      <formula>5.1</formula>
      <formula>14</formula>
    </cfRule>
    <cfRule type="cellIs" dxfId="4447" priority="4360" stopIfTrue="1" operator="between">
      <formula>0</formula>
      <formula>5</formula>
    </cfRule>
    <cfRule type="containsBlanks" dxfId="4446" priority="4361" stopIfTrue="1">
      <formula>LEN(TRIM(E11))=0</formula>
    </cfRule>
  </conditionalFormatting>
  <conditionalFormatting sqref="T102:T103 T82">
    <cfRule type="containsBlanks" dxfId="4445" priority="3009" stopIfTrue="1">
      <formula>LEN(TRIM(T82))=0</formula>
    </cfRule>
    <cfRule type="cellIs" dxfId="4444" priority="3010" stopIfTrue="1" operator="between">
      <formula>80.1</formula>
      <formula>100</formula>
    </cfRule>
    <cfRule type="cellIs" dxfId="4443" priority="3011" stopIfTrue="1" operator="between">
      <formula>35.1</formula>
      <formula>80</formula>
    </cfRule>
    <cfRule type="cellIs" dxfId="4442" priority="3012" stopIfTrue="1" operator="between">
      <formula>14.1</formula>
      <formula>35</formula>
    </cfRule>
    <cfRule type="cellIs" dxfId="4441" priority="3013" stopIfTrue="1" operator="between">
      <formula>5.1</formula>
      <formula>14</formula>
    </cfRule>
    <cfRule type="cellIs" dxfId="4440" priority="3014" stopIfTrue="1" operator="between">
      <formula>0</formula>
      <formula>5</formula>
    </cfRule>
    <cfRule type="containsBlanks" dxfId="4439" priority="3015" stopIfTrue="1">
      <formula>LEN(TRIM(T82))=0</formula>
    </cfRule>
  </conditionalFormatting>
  <conditionalFormatting sqref="R317 R301:R314 R128:R148 R178:R186 R320:R436 R150:R176 R189:R236 R238:R299 R442:R490">
    <cfRule type="cellIs" dxfId="4438" priority="2458" stopIfTrue="1" operator="equal">
      <formula>"NO"</formula>
    </cfRule>
  </conditionalFormatting>
  <conditionalFormatting sqref="Q177">
    <cfRule type="containsBlanks" dxfId="4437" priority="1472" stopIfTrue="1">
      <formula>LEN(TRIM(Q177))=0</formula>
    </cfRule>
    <cfRule type="cellIs" dxfId="4436" priority="1473" stopIfTrue="1" operator="between">
      <formula>80.1</formula>
      <formula>100</formula>
    </cfRule>
    <cfRule type="cellIs" dxfId="4435" priority="1474" stopIfTrue="1" operator="between">
      <formula>35.1</formula>
      <formula>80</formula>
    </cfRule>
    <cfRule type="cellIs" dxfId="4434" priority="1475" stopIfTrue="1" operator="between">
      <formula>14.1</formula>
      <formula>35</formula>
    </cfRule>
    <cfRule type="cellIs" dxfId="4433" priority="1476" stopIfTrue="1" operator="between">
      <formula>5.1</formula>
      <formula>14</formula>
    </cfRule>
    <cfRule type="cellIs" dxfId="4432" priority="1477" stopIfTrue="1" operator="between">
      <formula>0</formula>
      <formula>5</formula>
    </cfRule>
    <cfRule type="containsBlanks" dxfId="4431" priority="1478" stopIfTrue="1">
      <formula>LEN(TRIM(Q177))=0</formula>
    </cfRule>
  </conditionalFormatting>
  <conditionalFormatting sqref="R177">
    <cfRule type="cellIs" dxfId="4430" priority="1470" stopIfTrue="1" operator="equal">
      <formula>"NO"</formula>
    </cfRule>
  </conditionalFormatting>
  <conditionalFormatting sqref="Q187:Q188">
    <cfRule type="containsBlanks" dxfId="4429" priority="1457" stopIfTrue="1">
      <formula>LEN(TRIM(Q187))=0</formula>
    </cfRule>
    <cfRule type="cellIs" dxfId="4428" priority="1458" stopIfTrue="1" operator="between">
      <formula>80.1</formula>
      <formula>100</formula>
    </cfRule>
    <cfRule type="cellIs" dxfId="4427" priority="1459" stopIfTrue="1" operator="between">
      <formula>35.1</formula>
      <formula>80</formula>
    </cfRule>
    <cfRule type="cellIs" dxfId="4426" priority="1460" stopIfTrue="1" operator="between">
      <formula>14.1</formula>
      <formula>35</formula>
    </cfRule>
    <cfRule type="cellIs" dxfId="4425" priority="1461" stopIfTrue="1" operator="between">
      <formula>5.1</formula>
      <formula>14</formula>
    </cfRule>
    <cfRule type="cellIs" dxfId="4424" priority="1462" stopIfTrue="1" operator="between">
      <formula>0</formula>
      <formula>5</formula>
    </cfRule>
    <cfRule type="containsBlanks" dxfId="4423" priority="1463" stopIfTrue="1">
      <formula>LEN(TRIM(Q187))=0</formula>
    </cfRule>
  </conditionalFormatting>
  <conditionalFormatting sqref="R187:R188">
    <cfRule type="cellIs" dxfId="4422" priority="1455" stopIfTrue="1" operator="equal">
      <formula>"NO"</formula>
    </cfRule>
  </conditionalFormatting>
  <conditionalFormatting sqref="Q149">
    <cfRule type="containsBlanks" dxfId="4421" priority="1343" stopIfTrue="1">
      <formula>LEN(TRIM(Q149))=0</formula>
    </cfRule>
    <cfRule type="cellIs" dxfId="4420" priority="1344" stopIfTrue="1" operator="between">
      <formula>80.1</formula>
      <formula>100</formula>
    </cfRule>
    <cfRule type="cellIs" dxfId="4419" priority="1345" stopIfTrue="1" operator="between">
      <formula>35.1</formula>
      <formula>80</formula>
    </cfRule>
    <cfRule type="cellIs" dxfId="4418" priority="1346" stopIfTrue="1" operator="between">
      <formula>14.1</formula>
      <formula>35</formula>
    </cfRule>
    <cfRule type="cellIs" dxfId="4417" priority="1347" stopIfTrue="1" operator="between">
      <formula>5.1</formula>
      <formula>14</formula>
    </cfRule>
    <cfRule type="cellIs" dxfId="4416" priority="1348" stopIfTrue="1" operator="between">
      <formula>0</formula>
      <formula>5</formula>
    </cfRule>
    <cfRule type="containsBlanks" dxfId="4415" priority="1349" stopIfTrue="1">
      <formula>LEN(TRIM(Q149))=0</formula>
    </cfRule>
  </conditionalFormatting>
  <conditionalFormatting sqref="R149">
    <cfRule type="cellIs" dxfId="4414" priority="1341" stopIfTrue="1" operator="equal">
      <formula>"NO"</formula>
    </cfRule>
  </conditionalFormatting>
  <conditionalFormatting sqref="Q300">
    <cfRule type="containsBlanks" dxfId="4413" priority="1300" stopIfTrue="1">
      <formula>LEN(TRIM(Q300))=0</formula>
    </cfRule>
    <cfRule type="cellIs" dxfId="4412" priority="1301" stopIfTrue="1" operator="between">
      <formula>80.1</formula>
      <formula>100</formula>
    </cfRule>
    <cfRule type="cellIs" dxfId="4411" priority="1302" stopIfTrue="1" operator="between">
      <formula>35.1</formula>
      <formula>80</formula>
    </cfRule>
    <cfRule type="cellIs" dxfId="4410" priority="1303" stopIfTrue="1" operator="between">
      <formula>14.1</formula>
      <formula>35</formula>
    </cfRule>
    <cfRule type="cellIs" dxfId="4409" priority="1304" stopIfTrue="1" operator="between">
      <formula>5.1</formula>
      <formula>14</formula>
    </cfRule>
    <cfRule type="cellIs" dxfId="4408" priority="1305" stopIfTrue="1" operator="between">
      <formula>0</formula>
      <formula>5</formula>
    </cfRule>
    <cfRule type="containsBlanks" dxfId="4407" priority="1306" stopIfTrue="1">
      <formula>LEN(TRIM(Q300))=0</formula>
    </cfRule>
  </conditionalFormatting>
  <conditionalFormatting sqref="R300">
    <cfRule type="cellIs" dxfId="4406" priority="1298" stopIfTrue="1" operator="equal">
      <formula>"NO"</formula>
    </cfRule>
  </conditionalFormatting>
  <conditionalFormatting sqref="Q315:Q316">
    <cfRule type="containsBlanks" dxfId="4405" priority="1271" stopIfTrue="1">
      <formula>LEN(TRIM(Q315))=0</formula>
    </cfRule>
    <cfRule type="cellIs" dxfId="4404" priority="1272" stopIfTrue="1" operator="between">
      <formula>80.1</formula>
      <formula>100</formula>
    </cfRule>
    <cfRule type="cellIs" dxfId="4403" priority="1273" stopIfTrue="1" operator="between">
      <formula>35.1</formula>
      <formula>80</formula>
    </cfRule>
    <cfRule type="cellIs" dxfId="4402" priority="1274" stopIfTrue="1" operator="between">
      <formula>14.1</formula>
      <formula>35</formula>
    </cfRule>
    <cfRule type="cellIs" dxfId="4401" priority="1275" stopIfTrue="1" operator="between">
      <formula>5.1</formula>
      <formula>14</formula>
    </cfRule>
    <cfRule type="cellIs" dxfId="4400" priority="1276" stopIfTrue="1" operator="between">
      <formula>0</formula>
      <formula>5</formula>
    </cfRule>
    <cfRule type="containsBlanks" dxfId="4399" priority="1277" stopIfTrue="1">
      <formula>LEN(TRIM(Q315))=0</formula>
    </cfRule>
  </conditionalFormatting>
  <conditionalFormatting sqref="R315:R316">
    <cfRule type="cellIs" dxfId="4398" priority="1269" stopIfTrue="1" operator="equal">
      <formula>"NO"</formula>
    </cfRule>
  </conditionalFormatting>
  <conditionalFormatting sqref="Q318">
    <cfRule type="containsBlanks" dxfId="4397" priority="1256" stopIfTrue="1">
      <formula>LEN(TRIM(Q318))=0</formula>
    </cfRule>
    <cfRule type="cellIs" dxfId="4396" priority="1257" stopIfTrue="1" operator="between">
      <formula>80.1</formula>
      <formula>100</formula>
    </cfRule>
    <cfRule type="cellIs" dxfId="4395" priority="1258" stopIfTrue="1" operator="between">
      <formula>35.1</formula>
      <formula>80</formula>
    </cfRule>
    <cfRule type="cellIs" dxfId="4394" priority="1259" stopIfTrue="1" operator="between">
      <formula>14.1</formula>
      <formula>35</formula>
    </cfRule>
    <cfRule type="cellIs" dxfId="4393" priority="1260" stopIfTrue="1" operator="between">
      <formula>5.1</formula>
      <formula>14</formula>
    </cfRule>
    <cfRule type="cellIs" dxfId="4392" priority="1261" stopIfTrue="1" operator="between">
      <formula>0</formula>
      <formula>5</formula>
    </cfRule>
    <cfRule type="containsBlanks" dxfId="4391" priority="1262" stopIfTrue="1">
      <formula>LEN(TRIM(Q318))=0</formula>
    </cfRule>
  </conditionalFormatting>
  <conditionalFormatting sqref="R318">
    <cfRule type="cellIs" dxfId="4390" priority="1254" stopIfTrue="1" operator="equal">
      <formula>"NO"</formula>
    </cfRule>
  </conditionalFormatting>
  <conditionalFormatting sqref="Q319">
    <cfRule type="containsBlanks" dxfId="4389" priority="1241" stopIfTrue="1">
      <formula>LEN(TRIM(Q319))=0</formula>
    </cfRule>
    <cfRule type="cellIs" dxfId="4388" priority="1242" stopIfTrue="1" operator="between">
      <formula>80.1</formula>
      <formula>100</formula>
    </cfRule>
    <cfRule type="cellIs" dxfId="4387" priority="1243" stopIfTrue="1" operator="between">
      <formula>35.1</formula>
      <formula>80</formula>
    </cfRule>
    <cfRule type="cellIs" dxfId="4386" priority="1244" stopIfTrue="1" operator="between">
      <formula>14.1</formula>
      <formula>35</formula>
    </cfRule>
    <cfRule type="cellIs" dxfId="4385" priority="1245" stopIfTrue="1" operator="between">
      <formula>5.1</formula>
      <formula>14</formula>
    </cfRule>
    <cfRule type="cellIs" dxfId="4384" priority="1246" stopIfTrue="1" operator="between">
      <formula>0</formula>
      <formula>5</formula>
    </cfRule>
    <cfRule type="containsBlanks" dxfId="4383" priority="1247" stopIfTrue="1">
      <formula>LEN(TRIM(Q319))=0</formula>
    </cfRule>
  </conditionalFormatting>
  <conditionalFormatting sqref="R319">
    <cfRule type="cellIs" dxfId="4382" priority="1239" stopIfTrue="1" operator="equal">
      <formula>"NO"</formula>
    </cfRule>
  </conditionalFormatting>
  <conditionalFormatting sqref="Q491:Q492">
    <cfRule type="containsBlanks" dxfId="4381" priority="208" stopIfTrue="1">
      <formula>LEN(TRIM(Q491))=0</formula>
    </cfRule>
    <cfRule type="cellIs" dxfId="4380" priority="209" stopIfTrue="1" operator="between">
      <formula>80.1</formula>
      <formula>100</formula>
    </cfRule>
    <cfRule type="cellIs" dxfId="4379" priority="210" stopIfTrue="1" operator="between">
      <formula>35.1</formula>
      <formula>80</formula>
    </cfRule>
    <cfRule type="cellIs" dxfId="4378" priority="211" stopIfTrue="1" operator="between">
      <formula>14.1</formula>
      <formula>35</formula>
    </cfRule>
    <cfRule type="cellIs" dxfId="4377" priority="212" stopIfTrue="1" operator="between">
      <formula>5.1</formula>
      <formula>14</formula>
    </cfRule>
    <cfRule type="cellIs" dxfId="4376" priority="213" stopIfTrue="1" operator="between">
      <formula>0</formula>
      <formula>5</formula>
    </cfRule>
    <cfRule type="containsBlanks" dxfId="4375" priority="214" stopIfTrue="1">
      <formula>LEN(TRIM(Q491))=0</formula>
    </cfRule>
  </conditionalFormatting>
  <conditionalFormatting sqref="R491:R492">
    <cfRule type="cellIs" dxfId="4374" priority="206" stopIfTrue="1" operator="equal">
      <formula>"NO"</formula>
    </cfRule>
  </conditionalFormatting>
  <conditionalFormatting sqref="R11:R93 R95 R98:R127">
    <cfRule type="cellIs" dxfId="4373" priority="199" stopIfTrue="1" operator="equal">
      <formula>"NO"</formula>
    </cfRule>
  </conditionalFormatting>
  <conditionalFormatting sqref="S11:S93 S238:S436 S442:S497 S500:S510 S512:S524 S95 S98:S236">
    <cfRule type="cellIs" dxfId="4372" priority="198" stopIfTrue="1" operator="equal">
      <formula>"INVIABLE SANITARIAMENTE"</formula>
    </cfRule>
  </conditionalFormatting>
  <conditionalFormatting sqref="S11:S93 S238:S436 S442:S497 S500:S510 S512:S524 S95 S98:S236">
    <cfRule type="containsText" dxfId="4371" priority="186" stopIfTrue="1" operator="containsText" text="INVIABLE SANITARIAMENTE">
      <formula>NOT(ISERROR(SEARCH("INVIABLE SANITARIAMENTE",S11)))</formula>
    </cfRule>
    <cfRule type="containsText" dxfId="4370" priority="187" stopIfTrue="1" operator="containsText" text="ALTO">
      <formula>NOT(ISERROR(SEARCH("ALTO",S11)))</formula>
    </cfRule>
    <cfRule type="containsText" dxfId="4369" priority="188" stopIfTrue="1" operator="containsText" text="MEDIO">
      <formula>NOT(ISERROR(SEARCH("MEDIO",S11)))</formula>
    </cfRule>
    <cfRule type="containsText" dxfId="4368" priority="189" stopIfTrue="1" operator="containsText" text="BAJO">
      <formula>NOT(ISERROR(SEARCH("BAJO",S11)))</formula>
    </cfRule>
    <cfRule type="containsText" dxfId="4367" priority="190" stopIfTrue="1" operator="containsText" text="SIN RIESGO">
      <formula>NOT(ISERROR(SEARCH("SIN RIESGO",S11)))</formula>
    </cfRule>
  </conditionalFormatting>
  <conditionalFormatting sqref="S11:S93 S238:S436 S442:S497 S500:S510 S512:S524 S95 S98:S236">
    <cfRule type="containsText" dxfId="4366" priority="185" stopIfTrue="1" operator="containsText" text="SIN RIESGO">
      <formula>NOT(ISERROR(SEARCH("SIN RIESGO",S11)))</formula>
    </cfRule>
  </conditionalFormatting>
  <conditionalFormatting sqref="E237:Q237">
    <cfRule type="containsBlanks" dxfId="4365" priority="171" stopIfTrue="1">
      <formula>LEN(TRIM(E237))=0</formula>
    </cfRule>
    <cfRule type="cellIs" dxfId="4364" priority="172" stopIfTrue="1" operator="between">
      <formula>80.1</formula>
      <formula>100</formula>
    </cfRule>
    <cfRule type="cellIs" dxfId="4363" priority="173" stopIfTrue="1" operator="between">
      <formula>35.1</formula>
      <formula>80</formula>
    </cfRule>
    <cfRule type="cellIs" dxfId="4362" priority="174" stopIfTrue="1" operator="between">
      <formula>14.1</formula>
      <formula>35</formula>
    </cfRule>
    <cfRule type="cellIs" dxfId="4361" priority="175" stopIfTrue="1" operator="between">
      <formula>5.1</formula>
      <formula>14</formula>
    </cfRule>
    <cfRule type="cellIs" dxfId="4360" priority="176" stopIfTrue="1" operator="between">
      <formula>0</formula>
      <formula>5</formula>
    </cfRule>
    <cfRule type="containsBlanks" dxfId="4359" priority="177" stopIfTrue="1">
      <formula>LEN(TRIM(E237))=0</formula>
    </cfRule>
  </conditionalFormatting>
  <conditionalFormatting sqref="R237">
    <cfRule type="cellIs" dxfId="4358" priority="170" stopIfTrue="1" operator="equal">
      <formula>"NO"</formula>
    </cfRule>
  </conditionalFormatting>
  <conditionalFormatting sqref="S237">
    <cfRule type="cellIs" dxfId="4357" priority="169" stopIfTrue="1" operator="equal">
      <formula>"INVIABLE SANITARIAMENTE"</formula>
    </cfRule>
  </conditionalFormatting>
  <conditionalFormatting sqref="S237">
    <cfRule type="containsText" dxfId="4356" priority="164" stopIfTrue="1" operator="containsText" text="INVIABLE SANITARIAMENTE">
      <formula>NOT(ISERROR(SEARCH("INVIABLE SANITARIAMENTE",S237)))</formula>
    </cfRule>
    <cfRule type="containsText" dxfId="4355" priority="165" stopIfTrue="1" operator="containsText" text="ALTO">
      <formula>NOT(ISERROR(SEARCH("ALTO",S237)))</formula>
    </cfRule>
    <cfRule type="containsText" dxfId="4354" priority="166" stopIfTrue="1" operator="containsText" text="MEDIO">
      <formula>NOT(ISERROR(SEARCH("MEDIO",S237)))</formula>
    </cfRule>
    <cfRule type="containsText" dxfId="4353" priority="167" stopIfTrue="1" operator="containsText" text="BAJO">
      <formula>NOT(ISERROR(SEARCH("BAJO",S237)))</formula>
    </cfRule>
    <cfRule type="containsText" dxfId="4352" priority="168" stopIfTrue="1" operator="containsText" text="SIN RIESGO">
      <formula>NOT(ISERROR(SEARCH("SIN RIESGO",S237)))</formula>
    </cfRule>
  </conditionalFormatting>
  <conditionalFormatting sqref="S237">
    <cfRule type="containsText" dxfId="4351" priority="163" stopIfTrue="1" operator="containsText" text="SIN RIESGO">
      <formula>NOT(ISERROR(SEARCH("SIN RIESGO",S237)))</formula>
    </cfRule>
  </conditionalFormatting>
  <conditionalFormatting sqref="E437:Q437">
    <cfRule type="containsBlanks" dxfId="4350" priority="156" stopIfTrue="1">
      <formula>LEN(TRIM(E437))=0</formula>
    </cfRule>
    <cfRule type="cellIs" dxfId="4349" priority="157" stopIfTrue="1" operator="between">
      <formula>80.1</formula>
      <formula>100</formula>
    </cfRule>
    <cfRule type="cellIs" dxfId="4348" priority="158" stopIfTrue="1" operator="between">
      <formula>35.1</formula>
      <formula>80</formula>
    </cfRule>
    <cfRule type="cellIs" dxfId="4347" priority="159" stopIfTrue="1" operator="between">
      <formula>14.1</formula>
      <formula>35</formula>
    </cfRule>
    <cfRule type="cellIs" dxfId="4346" priority="160" stopIfTrue="1" operator="between">
      <formula>5.1</formula>
      <formula>14</formula>
    </cfRule>
    <cfRule type="cellIs" dxfId="4345" priority="161" stopIfTrue="1" operator="between">
      <formula>0</formula>
      <formula>5</formula>
    </cfRule>
    <cfRule type="containsBlanks" dxfId="4344" priority="162" stopIfTrue="1">
      <formula>LEN(TRIM(E437))=0</formula>
    </cfRule>
  </conditionalFormatting>
  <conditionalFormatting sqref="R437">
    <cfRule type="cellIs" dxfId="4343" priority="155" stopIfTrue="1" operator="equal">
      <formula>"NO"</formula>
    </cfRule>
  </conditionalFormatting>
  <conditionalFormatting sqref="S437">
    <cfRule type="cellIs" dxfId="4342" priority="154" stopIfTrue="1" operator="equal">
      <formula>"INVIABLE SANITARIAMENTE"</formula>
    </cfRule>
  </conditionalFormatting>
  <conditionalFormatting sqref="S437">
    <cfRule type="containsText" dxfId="4341" priority="149" stopIfTrue="1" operator="containsText" text="INVIABLE SANITARIAMENTE">
      <formula>NOT(ISERROR(SEARCH("INVIABLE SANITARIAMENTE",S437)))</formula>
    </cfRule>
    <cfRule type="containsText" dxfId="4340" priority="150" stopIfTrue="1" operator="containsText" text="ALTO">
      <formula>NOT(ISERROR(SEARCH("ALTO",S437)))</formula>
    </cfRule>
    <cfRule type="containsText" dxfId="4339" priority="151" stopIfTrue="1" operator="containsText" text="MEDIO">
      <formula>NOT(ISERROR(SEARCH("MEDIO",S437)))</formula>
    </cfRule>
    <cfRule type="containsText" dxfId="4338" priority="152" stopIfTrue="1" operator="containsText" text="BAJO">
      <formula>NOT(ISERROR(SEARCH("BAJO",S437)))</formula>
    </cfRule>
    <cfRule type="containsText" dxfId="4337" priority="153" stopIfTrue="1" operator="containsText" text="SIN RIESGO">
      <formula>NOT(ISERROR(SEARCH("SIN RIESGO",S437)))</formula>
    </cfRule>
  </conditionalFormatting>
  <conditionalFormatting sqref="S437">
    <cfRule type="containsText" dxfId="4336" priority="148" stopIfTrue="1" operator="containsText" text="SIN RIESGO">
      <formula>NOT(ISERROR(SEARCH("SIN RIESGO",S437)))</formula>
    </cfRule>
  </conditionalFormatting>
  <conditionalFormatting sqref="E438:Q438">
    <cfRule type="containsBlanks" dxfId="4335" priority="141" stopIfTrue="1">
      <formula>LEN(TRIM(E438))=0</formula>
    </cfRule>
    <cfRule type="cellIs" dxfId="4334" priority="142" stopIfTrue="1" operator="between">
      <formula>80.1</formula>
      <formula>100</formula>
    </cfRule>
    <cfRule type="cellIs" dxfId="4333" priority="143" stopIfTrue="1" operator="between">
      <formula>35.1</formula>
      <formula>80</formula>
    </cfRule>
    <cfRule type="cellIs" dxfId="4332" priority="144" stopIfTrue="1" operator="between">
      <formula>14.1</formula>
      <formula>35</formula>
    </cfRule>
    <cfRule type="cellIs" dxfId="4331" priority="145" stopIfTrue="1" operator="between">
      <formula>5.1</formula>
      <formula>14</formula>
    </cfRule>
    <cfRule type="cellIs" dxfId="4330" priority="146" stopIfTrue="1" operator="between">
      <formula>0</formula>
      <formula>5</formula>
    </cfRule>
    <cfRule type="containsBlanks" dxfId="4329" priority="147" stopIfTrue="1">
      <formula>LEN(TRIM(E438))=0</formula>
    </cfRule>
  </conditionalFormatting>
  <conditionalFormatting sqref="R438">
    <cfRule type="cellIs" dxfId="4328" priority="140" stopIfTrue="1" operator="equal">
      <formula>"NO"</formula>
    </cfRule>
  </conditionalFormatting>
  <conditionalFormatting sqref="S438">
    <cfRule type="cellIs" dxfId="4327" priority="139" stopIfTrue="1" operator="equal">
      <formula>"INVIABLE SANITARIAMENTE"</formula>
    </cfRule>
  </conditionalFormatting>
  <conditionalFormatting sqref="S438">
    <cfRule type="containsText" dxfId="4326" priority="134" stopIfTrue="1" operator="containsText" text="INVIABLE SANITARIAMENTE">
      <formula>NOT(ISERROR(SEARCH("INVIABLE SANITARIAMENTE",S438)))</formula>
    </cfRule>
    <cfRule type="containsText" dxfId="4325" priority="135" stopIfTrue="1" operator="containsText" text="ALTO">
      <formula>NOT(ISERROR(SEARCH("ALTO",S438)))</formula>
    </cfRule>
    <cfRule type="containsText" dxfId="4324" priority="136" stopIfTrue="1" operator="containsText" text="MEDIO">
      <formula>NOT(ISERROR(SEARCH("MEDIO",S438)))</formula>
    </cfRule>
    <cfRule type="containsText" dxfId="4323" priority="137" stopIfTrue="1" operator="containsText" text="BAJO">
      <formula>NOT(ISERROR(SEARCH("BAJO",S438)))</formula>
    </cfRule>
    <cfRule type="containsText" dxfId="4322" priority="138" stopIfTrue="1" operator="containsText" text="SIN RIESGO">
      <formula>NOT(ISERROR(SEARCH("SIN RIESGO",S438)))</formula>
    </cfRule>
  </conditionalFormatting>
  <conditionalFormatting sqref="S438">
    <cfRule type="containsText" dxfId="4321" priority="133" stopIfTrue="1" operator="containsText" text="SIN RIESGO">
      <formula>NOT(ISERROR(SEARCH("SIN RIESGO",S438)))</formula>
    </cfRule>
  </conditionalFormatting>
  <conditionalFormatting sqref="E439:Q439">
    <cfRule type="containsBlanks" dxfId="4320" priority="126" stopIfTrue="1">
      <formula>LEN(TRIM(E439))=0</formula>
    </cfRule>
    <cfRule type="cellIs" dxfId="4319" priority="127" stopIfTrue="1" operator="between">
      <formula>80.1</formula>
      <formula>100</formula>
    </cfRule>
    <cfRule type="cellIs" dxfId="4318" priority="128" stopIfTrue="1" operator="between">
      <formula>35.1</formula>
      <formula>80</formula>
    </cfRule>
    <cfRule type="cellIs" dxfId="4317" priority="129" stopIfTrue="1" operator="between">
      <formula>14.1</formula>
      <formula>35</formula>
    </cfRule>
    <cfRule type="cellIs" dxfId="4316" priority="130" stopIfTrue="1" operator="between">
      <formula>5.1</formula>
      <formula>14</formula>
    </cfRule>
    <cfRule type="cellIs" dxfId="4315" priority="131" stopIfTrue="1" operator="between">
      <formula>0</formula>
      <formula>5</formula>
    </cfRule>
    <cfRule type="containsBlanks" dxfId="4314" priority="132" stopIfTrue="1">
      <formula>LEN(TRIM(E439))=0</formula>
    </cfRule>
  </conditionalFormatting>
  <conditionalFormatting sqref="R439">
    <cfRule type="cellIs" dxfId="4313" priority="125" stopIfTrue="1" operator="equal">
      <formula>"NO"</formula>
    </cfRule>
  </conditionalFormatting>
  <conditionalFormatting sqref="S439">
    <cfRule type="cellIs" dxfId="4312" priority="124" stopIfTrue="1" operator="equal">
      <formula>"INVIABLE SANITARIAMENTE"</formula>
    </cfRule>
  </conditionalFormatting>
  <conditionalFormatting sqref="S439">
    <cfRule type="containsText" dxfId="4311" priority="119" stopIfTrue="1" operator="containsText" text="INVIABLE SANITARIAMENTE">
      <formula>NOT(ISERROR(SEARCH("INVIABLE SANITARIAMENTE",S439)))</formula>
    </cfRule>
    <cfRule type="containsText" dxfId="4310" priority="120" stopIfTrue="1" operator="containsText" text="ALTO">
      <formula>NOT(ISERROR(SEARCH("ALTO",S439)))</formula>
    </cfRule>
    <cfRule type="containsText" dxfId="4309" priority="121" stopIfTrue="1" operator="containsText" text="MEDIO">
      <formula>NOT(ISERROR(SEARCH("MEDIO",S439)))</formula>
    </cfRule>
    <cfRule type="containsText" dxfId="4308" priority="122" stopIfTrue="1" operator="containsText" text="BAJO">
      <formula>NOT(ISERROR(SEARCH("BAJO",S439)))</formula>
    </cfRule>
    <cfRule type="containsText" dxfId="4307" priority="123" stopIfTrue="1" operator="containsText" text="SIN RIESGO">
      <formula>NOT(ISERROR(SEARCH("SIN RIESGO",S439)))</formula>
    </cfRule>
  </conditionalFormatting>
  <conditionalFormatting sqref="S439">
    <cfRule type="containsText" dxfId="4306" priority="118" stopIfTrue="1" operator="containsText" text="SIN RIESGO">
      <formula>NOT(ISERROR(SEARCH("SIN RIESGO",S439)))</formula>
    </cfRule>
  </conditionalFormatting>
  <conditionalFormatting sqref="E440:Q440">
    <cfRule type="containsBlanks" dxfId="4305" priority="111" stopIfTrue="1">
      <formula>LEN(TRIM(E440))=0</formula>
    </cfRule>
    <cfRule type="cellIs" dxfId="4304" priority="112" stopIfTrue="1" operator="between">
      <formula>80.1</formula>
      <formula>100</formula>
    </cfRule>
    <cfRule type="cellIs" dxfId="4303" priority="113" stopIfTrue="1" operator="between">
      <formula>35.1</formula>
      <formula>80</formula>
    </cfRule>
    <cfRule type="cellIs" dxfId="4302" priority="114" stopIfTrue="1" operator="between">
      <formula>14.1</formula>
      <formula>35</formula>
    </cfRule>
    <cfRule type="cellIs" dxfId="4301" priority="115" stopIfTrue="1" operator="between">
      <formula>5.1</formula>
      <formula>14</formula>
    </cfRule>
    <cfRule type="cellIs" dxfId="4300" priority="116" stopIfTrue="1" operator="between">
      <formula>0</formula>
      <formula>5</formula>
    </cfRule>
    <cfRule type="containsBlanks" dxfId="4299" priority="117" stopIfTrue="1">
      <formula>LEN(TRIM(E440))=0</formula>
    </cfRule>
  </conditionalFormatting>
  <conditionalFormatting sqref="R440">
    <cfRule type="cellIs" dxfId="4298" priority="110" stopIfTrue="1" operator="equal">
      <formula>"NO"</formula>
    </cfRule>
  </conditionalFormatting>
  <conditionalFormatting sqref="S440">
    <cfRule type="cellIs" dxfId="4297" priority="109" stopIfTrue="1" operator="equal">
      <formula>"INVIABLE SANITARIAMENTE"</formula>
    </cfRule>
  </conditionalFormatting>
  <conditionalFormatting sqref="S440">
    <cfRule type="containsText" dxfId="4296" priority="104" stopIfTrue="1" operator="containsText" text="INVIABLE SANITARIAMENTE">
      <formula>NOT(ISERROR(SEARCH("INVIABLE SANITARIAMENTE",S440)))</formula>
    </cfRule>
    <cfRule type="containsText" dxfId="4295" priority="105" stopIfTrue="1" operator="containsText" text="ALTO">
      <formula>NOT(ISERROR(SEARCH("ALTO",S440)))</formula>
    </cfRule>
    <cfRule type="containsText" dxfId="4294" priority="106" stopIfTrue="1" operator="containsText" text="MEDIO">
      <formula>NOT(ISERROR(SEARCH("MEDIO",S440)))</formula>
    </cfRule>
    <cfRule type="containsText" dxfId="4293" priority="107" stopIfTrue="1" operator="containsText" text="BAJO">
      <formula>NOT(ISERROR(SEARCH("BAJO",S440)))</formula>
    </cfRule>
    <cfRule type="containsText" dxfId="4292" priority="108" stopIfTrue="1" operator="containsText" text="SIN RIESGO">
      <formula>NOT(ISERROR(SEARCH("SIN RIESGO",S440)))</formula>
    </cfRule>
  </conditionalFormatting>
  <conditionalFormatting sqref="S440">
    <cfRule type="containsText" dxfId="4291" priority="103" stopIfTrue="1" operator="containsText" text="SIN RIESGO">
      <formula>NOT(ISERROR(SEARCH("SIN RIESGO",S440)))</formula>
    </cfRule>
  </conditionalFormatting>
  <conditionalFormatting sqref="E441:Q441">
    <cfRule type="containsBlanks" dxfId="4290" priority="96" stopIfTrue="1">
      <formula>LEN(TRIM(E441))=0</formula>
    </cfRule>
    <cfRule type="cellIs" dxfId="4289" priority="97" stopIfTrue="1" operator="between">
      <formula>80.1</formula>
      <formula>100</formula>
    </cfRule>
    <cfRule type="cellIs" dxfId="4288" priority="98" stopIfTrue="1" operator="between">
      <formula>35.1</formula>
      <formula>80</formula>
    </cfRule>
    <cfRule type="cellIs" dxfId="4287" priority="99" stopIfTrue="1" operator="between">
      <formula>14.1</formula>
      <formula>35</formula>
    </cfRule>
    <cfRule type="cellIs" dxfId="4286" priority="100" stopIfTrue="1" operator="between">
      <formula>5.1</formula>
      <formula>14</formula>
    </cfRule>
    <cfRule type="cellIs" dxfId="4285" priority="101" stopIfTrue="1" operator="between">
      <formula>0</formula>
      <formula>5</formula>
    </cfRule>
    <cfRule type="containsBlanks" dxfId="4284" priority="102" stopIfTrue="1">
      <formula>LEN(TRIM(E441))=0</formula>
    </cfRule>
  </conditionalFormatting>
  <conditionalFormatting sqref="R441">
    <cfRule type="cellIs" dxfId="4283" priority="95" stopIfTrue="1" operator="equal">
      <formula>"NO"</formula>
    </cfRule>
  </conditionalFormatting>
  <conditionalFormatting sqref="S441">
    <cfRule type="cellIs" dxfId="4282" priority="94" stopIfTrue="1" operator="equal">
      <formula>"INVIABLE SANITARIAMENTE"</formula>
    </cfRule>
  </conditionalFormatting>
  <conditionalFormatting sqref="S441">
    <cfRule type="containsText" dxfId="4281" priority="89" stopIfTrue="1" operator="containsText" text="INVIABLE SANITARIAMENTE">
      <formula>NOT(ISERROR(SEARCH("INVIABLE SANITARIAMENTE",S441)))</formula>
    </cfRule>
    <cfRule type="containsText" dxfId="4280" priority="90" stopIfTrue="1" operator="containsText" text="ALTO">
      <formula>NOT(ISERROR(SEARCH("ALTO",S441)))</formula>
    </cfRule>
    <cfRule type="containsText" dxfId="4279" priority="91" stopIfTrue="1" operator="containsText" text="MEDIO">
      <formula>NOT(ISERROR(SEARCH("MEDIO",S441)))</formula>
    </cfRule>
    <cfRule type="containsText" dxfId="4278" priority="92" stopIfTrue="1" operator="containsText" text="BAJO">
      <formula>NOT(ISERROR(SEARCH("BAJO",S441)))</formula>
    </cfRule>
    <cfRule type="containsText" dxfId="4277" priority="93" stopIfTrue="1" operator="containsText" text="SIN RIESGO">
      <formula>NOT(ISERROR(SEARCH("SIN RIESGO",S441)))</formula>
    </cfRule>
  </conditionalFormatting>
  <conditionalFormatting sqref="S441">
    <cfRule type="containsText" dxfId="4276" priority="88" stopIfTrue="1" operator="containsText" text="SIN RIESGO">
      <formula>NOT(ISERROR(SEARCH("SIN RIESGO",S441)))</formula>
    </cfRule>
  </conditionalFormatting>
  <conditionalFormatting sqref="E498:Q498">
    <cfRule type="containsBlanks" dxfId="4275" priority="81" stopIfTrue="1">
      <formula>LEN(TRIM(E498))=0</formula>
    </cfRule>
    <cfRule type="cellIs" dxfId="4274" priority="82" stopIfTrue="1" operator="between">
      <formula>80.1</formula>
      <formula>100</formula>
    </cfRule>
    <cfRule type="cellIs" dxfId="4273" priority="83" stopIfTrue="1" operator="between">
      <formula>35.1</formula>
      <formula>80</formula>
    </cfRule>
    <cfRule type="cellIs" dxfId="4272" priority="84" stopIfTrue="1" operator="between">
      <formula>14.1</formula>
      <formula>35</formula>
    </cfRule>
    <cfRule type="cellIs" dxfId="4271" priority="85" stopIfTrue="1" operator="between">
      <formula>5.1</formula>
      <formula>14</formula>
    </cfRule>
    <cfRule type="cellIs" dxfId="4270" priority="86" stopIfTrue="1" operator="between">
      <formula>0</formula>
      <formula>5</formula>
    </cfRule>
    <cfRule type="containsBlanks" dxfId="4269" priority="87" stopIfTrue="1">
      <formula>LEN(TRIM(E498))=0</formula>
    </cfRule>
  </conditionalFormatting>
  <conditionalFormatting sqref="S498">
    <cfRule type="cellIs" dxfId="4268" priority="80" stopIfTrue="1" operator="equal">
      <formula>"INVIABLE SANITARIAMENTE"</formula>
    </cfRule>
  </conditionalFormatting>
  <conditionalFormatting sqref="S498">
    <cfRule type="containsText" dxfId="4267" priority="75" stopIfTrue="1" operator="containsText" text="INVIABLE SANITARIAMENTE">
      <formula>NOT(ISERROR(SEARCH("INVIABLE SANITARIAMENTE",S498)))</formula>
    </cfRule>
    <cfRule type="containsText" dxfId="4266" priority="76" stopIfTrue="1" operator="containsText" text="ALTO">
      <formula>NOT(ISERROR(SEARCH("ALTO",S498)))</formula>
    </cfRule>
    <cfRule type="containsText" dxfId="4265" priority="77" stopIfTrue="1" operator="containsText" text="MEDIO">
      <formula>NOT(ISERROR(SEARCH("MEDIO",S498)))</formula>
    </cfRule>
    <cfRule type="containsText" dxfId="4264" priority="78" stopIfTrue="1" operator="containsText" text="BAJO">
      <formula>NOT(ISERROR(SEARCH("BAJO",S498)))</formula>
    </cfRule>
    <cfRule type="containsText" dxfId="4263" priority="79" stopIfTrue="1" operator="containsText" text="SIN RIESGO">
      <formula>NOT(ISERROR(SEARCH("SIN RIESGO",S498)))</formula>
    </cfRule>
  </conditionalFormatting>
  <conditionalFormatting sqref="S498">
    <cfRule type="containsText" dxfId="4262" priority="74" stopIfTrue="1" operator="containsText" text="SIN RIESGO">
      <formula>NOT(ISERROR(SEARCH("SIN RIESGO",S498)))</formula>
    </cfRule>
  </conditionalFormatting>
  <conditionalFormatting sqref="E499:Q499">
    <cfRule type="containsBlanks" dxfId="4261" priority="67" stopIfTrue="1">
      <formula>LEN(TRIM(E499))=0</formula>
    </cfRule>
    <cfRule type="cellIs" dxfId="4260" priority="68" stopIfTrue="1" operator="between">
      <formula>80.1</formula>
      <formula>100</formula>
    </cfRule>
    <cfRule type="cellIs" dxfId="4259" priority="69" stopIfTrue="1" operator="between">
      <formula>35.1</formula>
      <formula>80</formula>
    </cfRule>
    <cfRule type="cellIs" dxfId="4258" priority="70" stopIfTrue="1" operator="between">
      <formula>14.1</formula>
      <formula>35</formula>
    </cfRule>
    <cfRule type="cellIs" dxfId="4257" priority="71" stopIfTrue="1" operator="between">
      <formula>5.1</formula>
      <formula>14</formula>
    </cfRule>
    <cfRule type="cellIs" dxfId="4256" priority="72" stopIfTrue="1" operator="between">
      <formula>0</formula>
      <formula>5</formula>
    </cfRule>
    <cfRule type="containsBlanks" dxfId="4255" priority="73" stopIfTrue="1">
      <formula>LEN(TRIM(E499))=0</formula>
    </cfRule>
  </conditionalFormatting>
  <conditionalFormatting sqref="S499">
    <cfRule type="cellIs" dxfId="4254" priority="66" stopIfTrue="1" operator="equal">
      <formula>"INVIABLE SANITARIAMENTE"</formula>
    </cfRule>
  </conditionalFormatting>
  <conditionalFormatting sqref="S499">
    <cfRule type="containsText" dxfId="4253" priority="61" stopIfTrue="1" operator="containsText" text="INVIABLE SANITARIAMENTE">
      <formula>NOT(ISERROR(SEARCH("INVIABLE SANITARIAMENTE",S499)))</formula>
    </cfRule>
    <cfRule type="containsText" dxfId="4252" priority="62" stopIfTrue="1" operator="containsText" text="ALTO">
      <formula>NOT(ISERROR(SEARCH("ALTO",S499)))</formula>
    </cfRule>
    <cfRule type="containsText" dxfId="4251" priority="63" stopIfTrue="1" operator="containsText" text="MEDIO">
      <formula>NOT(ISERROR(SEARCH("MEDIO",S499)))</formula>
    </cfRule>
    <cfRule type="containsText" dxfId="4250" priority="64" stopIfTrue="1" operator="containsText" text="BAJO">
      <formula>NOT(ISERROR(SEARCH("BAJO",S499)))</formula>
    </cfRule>
    <cfRule type="containsText" dxfId="4249" priority="65" stopIfTrue="1" operator="containsText" text="SIN RIESGO">
      <formula>NOT(ISERROR(SEARCH("SIN RIESGO",S499)))</formula>
    </cfRule>
  </conditionalFormatting>
  <conditionalFormatting sqref="S499">
    <cfRule type="containsText" dxfId="4248" priority="60" stopIfTrue="1" operator="containsText" text="SIN RIESGO">
      <formula>NOT(ISERROR(SEARCH("SIN RIESGO",S499)))</formula>
    </cfRule>
  </conditionalFormatting>
  <conditionalFormatting sqref="E511:Q511">
    <cfRule type="containsBlanks" dxfId="4247" priority="53" stopIfTrue="1">
      <formula>LEN(TRIM(E511))=0</formula>
    </cfRule>
    <cfRule type="cellIs" dxfId="4246" priority="54" stopIfTrue="1" operator="between">
      <formula>80.1</formula>
      <formula>100</formula>
    </cfRule>
    <cfRule type="cellIs" dxfId="4245" priority="55" stopIfTrue="1" operator="between">
      <formula>35.1</formula>
      <formula>80</formula>
    </cfRule>
    <cfRule type="cellIs" dxfId="4244" priority="56" stopIfTrue="1" operator="between">
      <formula>14.1</formula>
      <formula>35</formula>
    </cfRule>
    <cfRule type="cellIs" dxfId="4243" priority="57" stopIfTrue="1" operator="between">
      <formula>5.1</formula>
      <formula>14</formula>
    </cfRule>
    <cfRule type="cellIs" dxfId="4242" priority="58" stopIfTrue="1" operator="between">
      <formula>0</formula>
      <formula>5</formula>
    </cfRule>
    <cfRule type="containsBlanks" dxfId="4241" priority="59" stopIfTrue="1">
      <formula>LEN(TRIM(E511))=0</formula>
    </cfRule>
  </conditionalFormatting>
  <conditionalFormatting sqref="S511">
    <cfRule type="cellIs" dxfId="4240" priority="52" stopIfTrue="1" operator="equal">
      <formula>"INVIABLE SANITARIAMENTE"</formula>
    </cfRule>
  </conditionalFormatting>
  <conditionalFormatting sqref="S511">
    <cfRule type="containsText" dxfId="4239" priority="47" stopIfTrue="1" operator="containsText" text="INVIABLE SANITARIAMENTE">
      <formula>NOT(ISERROR(SEARCH("INVIABLE SANITARIAMENTE",S511)))</formula>
    </cfRule>
    <cfRule type="containsText" dxfId="4238" priority="48" stopIfTrue="1" operator="containsText" text="ALTO">
      <formula>NOT(ISERROR(SEARCH("ALTO",S511)))</formula>
    </cfRule>
    <cfRule type="containsText" dxfId="4237" priority="49" stopIfTrue="1" operator="containsText" text="MEDIO">
      <formula>NOT(ISERROR(SEARCH("MEDIO",S511)))</formula>
    </cfRule>
    <cfRule type="containsText" dxfId="4236" priority="50" stopIfTrue="1" operator="containsText" text="BAJO">
      <formula>NOT(ISERROR(SEARCH("BAJO",S511)))</formula>
    </cfRule>
    <cfRule type="containsText" dxfId="4235" priority="51" stopIfTrue="1" operator="containsText" text="SIN RIESGO">
      <formula>NOT(ISERROR(SEARCH("SIN RIESGO",S511)))</formula>
    </cfRule>
  </conditionalFormatting>
  <conditionalFormatting sqref="S511">
    <cfRule type="containsText" dxfId="4234" priority="46" stopIfTrue="1" operator="containsText" text="SIN RIESGO">
      <formula>NOT(ISERROR(SEARCH("SIN RIESGO",S511)))</formula>
    </cfRule>
  </conditionalFormatting>
  <conditionalFormatting sqref="E94:Q94">
    <cfRule type="containsBlanks" dxfId="4233" priority="39" stopIfTrue="1">
      <formula>LEN(TRIM(E94))=0</formula>
    </cfRule>
    <cfRule type="cellIs" dxfId="4232" priority="40" stopIfTrue="1" operator="between">
      <formula>80.1</formula>
      <formula>100</formula>
    </cfRule>
    <cfRule type="cellIs" dxfId="4231" priority="41" stopIfTrue="1" operator="between">
      <formula>35.1</formula>
      <formula>80</formula>
    </cfRule>
    <cfRule type="cellIs" dxfId="4230" priority="42" stopIfTrue="1" operator="between">
      <formula>14.1</formula>
      <formula>35</formula>
    </cfRule>
    <cfRule type="cellIs" dxfId="4229" priority="43" stopIfTrue="1" operator="between">
      <formula>5.1</formula>
      <formula>14</formula>
    </cfRule>
    <cfRule type="cellIs" dxfId="4228" priority="44" stopIfTrue="1" operator="between">
      <formula>0</formula>
      <formula>5</formula>
    </cfRule>
    <cfRule type="containsBlanks" dxfId="4227" priority="45" stopIfTrue="1">
      <formula>LEN(TRIM(E94))=0</formula>
    </cfRule>
  </conditionalFormatting>
  <conditionalFormatting sqref="R94">
    <cfRule type="cellIs" dxfId="4226" priority="38" stopIfTrue="1" operator="equal">
      <formula>"NO"</formula>
    </cfRule>
  </conditionalFormatting>
  <conditionalFormatting sqref="S94">
    <cfRule type="cellIs" dxfId="4225" priority="37" stopIfTrue="1" operator="equal">
      <formula>"INVIABLE SANITARIAMENTE"</formula>
    </cfRule>
  </conditionalFormatting>
  <conditionalFormatting sqref="S94">
    <cfRule type="containsText" dxfId="4224" priority="32" stopIfTrue="1" operator="containsText" text="INVIABLE SANITARIAMENTE">
      <formula>NOT(ISERROR(SEARCH("INVIABLE SANITARIAMENTE",S94)))</formula>
    </cfRule>
    <cfRule type="containsText" dxfId="4223" priority="33" stopIfTrue="1" operator="containsText" text="ALTO">
      <formula>NOT(ISERROR(SEARCH("ALTO",S94)))</formula>
    </cfRule>
    <cfRule type="containsText" dxfId="4222" priority="34" stopIfTrue="1" operator="containsText" text="MEDIO">
      <formula>NOT(ISERROR(SEARCH("MEDIO",S94)))</formula>
    </cfRule>
    <cfRule type="containsText" dxfId="4221" priority="35" stopIfTrue="1" operator="containsText" text="BAJO">
      <formula>NOT(ISERROR(SEARCH("BAJO",S94)))</formula>
    </cfRule>
    <cfRule type="containsText" dxfId="4220" priority="36" stopIfTrue="1" operator="containsText" text="SIN RIESGO">
      <formula>NOT(ISERROR(SEARCH("SIN RIESGO",S94)))</formula>
    </cfRule>
  </conditionalFormatting>
  <conditionalFormatting sqref="S94">
    <cfRule type="containsText" dxfId="4219" priority="31" stopIfTrue="1" operator="containsText" text="SIN RIESGO">
      <formula>NOT(ISERROR(SEARCH("SIN RIESGO",S94)))</formula>
    </cfRule>
  </conditionalFormatting>
  <conditionalFormatting sqref="E96:Q96">
    <cfRule type="containsBlanks" dxfId="4218" priority="24" stopIfTrue="1">
      <formula>LEN(TRIM(E96))=0</formula>
    </cfRule>
    <cfRule type="cellIs" dxfId="4217" priority="25" stopIfTrue="1" operator="between">
      <formula>80.1</formula>
      <formula>100</formula>
    </cfRule>
    <cfRule type="cellIs" dxfId="4216" priority="26" stopIfTrue="1" operator="between">
      <formula>35.1</formula>
      <formula>80</formula>
    </cfRule>
    <cfRule type="cellIs" dxfId="4215" priority="27" stopIfTrue="1" operator="between">
      <formula>14.1</formula>
      <formula>35</formula>
    </cfRule>
    <cfRule type="cellIs" dxfId="4214" priority="28" stopIfTrue="1" operator="between">
      <formula>5.1</formula>
      <formula>14</formula>
    </cfRule>
    <cfRule type="cellIs" dxfId="4213" priority="29" stopIfTrue="1" operator="between">
      <formula>0</formula>
      <formula>5</formula>
    </cfRule>
    <cfRule type="containsBlanks" dxfId="4212" priority="30" stopIfTrue="1">
      <formula>LEN(TRIM(E96))=0</formula>
    </cfRule>
  </conditionalFormatting>
  <conditionalFormatting sqref="R96">
    <cfRule type="cellIs" dxfId="4211" priority="23" stopIfTrue="1" operator="equal">
      <formula>"NO"</formula>
    </cfRule>
  </conditionalFormatting>
  <conditionalFormatting sqref="S96">
    <cfRule type="cellIs" dxfId="4210" priority="22" stopIfTrue="1" operator="equal">
      <formula>"INVIABLE SANITARIAMENTE"</formula>
    </cfRule>
  </conditionalFormatting>
  <conditionalFormatting sqref="S96">
    <cfRule type="containsText" dxfId="4209" priority="17" stopIfTrue="1" operator="containsText" text="INVIABLE SANITARIAMENTE">
      <formula>NOT(ISERROR(SEARCH("INVIABLE SANITARIAMENTE",S96)))</formula>
    </cfRule>
    <cfRule type="containsText" dxfId="4208" priority="18" stopIfTrue="1" operator="containsText" text="ALTO">
      <formula>NOT(ISERROR(SEARCH("ALTO",S96)))</formula>
    </cfRule>
    <cfRule type="containsText" dxfId="4207" priority="19" stopIfTrue="1" operator="containsText" text="MEDIO">
      <formula>NOT(ISERROR(SEARCH("MEDIO",S96)))</formula>
    </cfRule>
    <cfRule type="containsText" dxfId="4206" priority="20" stopIfTrue="1" operator="containsText" text="BAJO">
      <formula>NOT(ISERROR(SEARCH("BAJO",S96)))</formula>
    </cfRule>
    <cfRule type="containsText" dxfId="4205" priority="21" stopIfTrue="1" operator="containsText" text="SIN RIESGO">
      <formula>NOT(ISERROR(SEARCH("SIN RIESGO",S96)))</formula>
    </cfRule>
  </conditionalFormatting>
  <conditionalFormatting sqref="S96">
    <cfRule type="containsText" dxfId="4204" priority="16" stopIfTrue="1" operator="containsText" text="SIN RIESGO">
      <formula>NOT(ISERROR(SEARCH("SIN RIESGO",S96)))</formula>
    </cfRule>
  </conditionalFormatting>
  <conditionalFormatting sqref="E97:Q97">
    <cfRule type="containsBlanks" dxfId="4203" priority="9" stopIfTrue="1">
      <formula>LEN(TRIM(E97))=0</formula>
    </cfRule>
    <cfRule type="cellIs" dxfId="4202" priority="10" stopIfTrue="1" operator="between">
      <formula>80.1</formula>
      <formula>100</formula>
    </cfRule>
    <cfRule type="cellIs" dxfId="4201" priority="11" stopIfTrue="1" operator="between">
      <formula>35.1</formula>
      <formula>80</formula>
    </cfRule>
    <cfRule type="cellIs" dxfId="4200" priority="12" stopIfTrue="1" operator="between">
      <formula>14.1</formula>
      <formula>35</formula>
    </cfRule>
    <cfRule type="cellIs" dxfId="4199" priority="13" stopIfTrue="1" operator="between">
      <formula>5.1</formula>
      <formula>14</formula>
    </cfRule>
    <cfRule type="cellIs" dxfId="4198" priority="14" stopIfTrue="1" operator="between">
      <formula>0</formula>
      <formula>5</formula>
    </cfRule>
    <cfRule type="containsBlanks" dxfId="4197" priority="15" stopIfTrue="1">
      <formula>LEN(TRIM(E97))=0</formula>
    </cfRule>
  </conditionalFormatting>
  <conditionalFormatting sqref="R97">
    <cfRule type="cellIs" dxfId="4196" priority="8" stopIfTrue="1" operator="equal">
      <formula>"NO"</formula>
    </cfRule>
  </conditionalFormatting>
  <conditionalFormatting sqref="S97">
    <cfRule type="cellIs" dxfId="4195" priority="7" stopIfTrue="1" operator="equal">
      <formula>"INVIABLE SANITARIAMENTE"</formula>
    </cfRule>
  </conditionalFormatting>
  <conditionalFormatting sqref="S97">
    <cfRule type="containsText" dxfId="4194" priority="2" stopIfTrue="1" operator="containsText" text="INVIABLE SANITARIAMENTE">
      <formula>NOT(ISERROR(SEARCH("INVIABLE SANITARIAMENTE",S97)))</formula>
    </cfRule>
    <cfRule type="containsText" dxfId="4193" priority="3" stopIfTrue="1" operator="containsText" text="ALTO">
      <formula>NOT(ISERROR(SEARCH("ALTO",S97)))</formula>
    </cfRule>
    <cfRule type="containsText" dxfId="4192" priority="4" stopIfTrue="1" operator="containsText" text="MEDIO">
      <formula>NOT(ISERROR(SEARCH("MEDIO",S97)))</formula>
    </cfRule>
    <cfRule type="containsText" dxfId="4191" priority="5" stopIfTrue="1" operator="containsText" text="BAJO">
      <formula>NOT(ISERROR(SEARCH("BAJO",S97)))</formula>
    </cfRule>
    <cfRule type="containsText" dxfId="4190" priority="6" stopIfTrue="1" operator="containsText" text="SIN RIESGO">
      <formula>NOT(ISERROR(SEARCH("SIN RIESGO",S97)))</formula>
    </cfRule>
  </conditionalFormatting>
  <conditionalFormatting sqref="S97">
    <cfRule type="containsText" dxfId="4189" priority="1" stopIfTrue="1" operator="containsText" text="SIN RIESGO">
      <formula>NOT(ISERROR(SEARCH("SIN RIESGO",S97)))</formula>
    </cfRule>
  </conditionalFormatting>
  <printOptions horizontalCentered="1"/>
  <pageMargins left="0.28999999999999998" right="0.2" top="0.6692913385826772" bottom="0.9055118110236221" header="0.43" footer="0.59055118110236227"/>
  <pageSetup paperSize="14" scale="75" orientation="landscape" r:id="rId5"/>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ignoredErrors>
    <ignoredError sqref="Q86:Q87 Q80:Q81" formulaRange="1"/>
  </ignoredErrors>
  <drawing r:id="rId6"/>
  <legacy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734"/>
  <sheetViews>
    <sheetView zoomScale="70" zoomScaleNormal="70" workbookViewId="0">
      <selection activeCell="A11" sqref="A11"/>
    </sheetView>
  </sheetViews>
  <sheetFormatPr baseColWidth="10" defaultColWidth="0" defaultRowHeight="12.75" customHeight="1" zeroHeight="1" x14ac:dyDescent="0.2"/>
  <cols>
    <col min="1" max="1" width="40" style="34" customWidth="1"/>
    <col min="2" max="2" width="46.42578125" style="14" customWidth="1"/>
    <col min="3" max="3" width="63.42578125" style="19" customWidth="1"/>
    <col min="4" max="4" width="23.5703125" style="240" customWidth="1"/>
    <col min="5" max="18" width="10.7109375" style="13" customWidth="1"/>
    <col min="19" max="19" width="42.28515625" style="13" bestFit="1" customWidth="1"/>
    <col min="20" max="20" width="9.85546875" style="13" hidden="1" customWidth="1"/>
    <col min="21" max="16384" width="11.42578125" style="13" hidden="1"/>
  </cols>
  <sheetData>
    <row r="1" spans="1:23" s="7" customFormat="1" ht="18" customHeight="1" x14ac:dyDescent="0.2">
      <c r="A1" s="108"/>
      <c r="B1" s="326" t="s">
        <v>254</v>
      </c>
      <c r="C1" s="326"/>
      <c r="D1" s="326"/>
      <c r="E1" s="86"/>
      <c r="F1" s="86"/>
      <c r="G1" s="86"/>
      <c r="H1" s="86"/>
      <c r="I1" s="86"/>
      <c r="J1" s="86"/>
      <c r="K1" s="86"/>
      <c r="L1" s="86"/>
      <c r="M1" s="86"/>
      <c r="N1" s="86"/>
      <c r="O1" s="86"/>
      <c r="P1" s="86"/>
      <c r="Q1" s="86"/>
      <c r="R1" s="87"/>
      <c r="S1" s="39" t="s">
        <v>492</v>
      </c>
      <c r="T1" s="3"/>
      <c r="U1" s="5"/>
      <c r="V1" s="6"/>
      <c r="W1" s="6"/>
    </row>
    <row r="2" spans="1:23" s="9" customFormat="1" ht="18" customHeight="1" x14ac:dyDescent="0.2">
      <c r="A2" s="108"/>
      <c r="B2" s="326" t="s">
        <v>4587</v>
      </c>
      <c r="C2" s="326"/>
      <c r="D2" s="326"/>
      <c r="E2" s="310"/>
      <c r="F2" s="310"/>
      <c r="G2" s="310"/>
      <c r="H2" s="310"/>
      <c r="I2" s="310"/>
      <c r="J2" s="310"/>
      <c r="K2" s="310"/>
      <c r="L2" s="310"/>
      <c r="M2" s="310"/>
      <c r="N2" s="310"/>
      <c r="O2" s="310"/>
      <c r="P2" s="310"/>
      <c r="Q2" s="310"/>
      <c r="R2" s="88"/>
      <c r="S2" s="40" t="s">
        <v>255</v>
      </c>
      <c r="T2" s="3"/>
      <c r="U2" s="8"/>
      <c r="V2" s="6"/>
      <c r="W2" s="6"/>
    </row>
    <row r="3" spans="1:23" s="7" customFormat="1" ht="18" customHeight="1" x14ac:dyDescent="0.2">
      <c r="A3" s="108"/>
      <c r="B3" s="327" t="s">
        <v>4588</v>
      </c>
      <c r="C3" s="327"/>
      <c r="D3" s="327"/>
      <c r="E3" s="309"/>
      <c r="F3" s="309"/>
      <c r="G3" s="309"/>
      <c r="H3" s="309"/>
      <c r="I3" s="309"/>
      <c r="J3" s="309"/>
      <c r="K3" s="309"/>
      <c r="L3" s="309"/>
      <c r="M3" s="309"/>
      <c r="N3" s="309"/>
      <c r="O3" s="309"/>
      <c r="P3" s="309"/>
      <c r="Q3" s="309"/>
      <c r="R3" s="89"/>
      <c r="S3" s="40" t="s">
        <v>493</v>
      </c>
      <c r="T3" s="3"/>
      <c r="U3" s="5"/>
      <c r="V3" s="6"/>
      <c r="W3" s="6"/>
    </row>
    <row r="4" spans="1:23" s="7" customFormat="1" ht="18" customHeight="1" x14ac:dyDescent="0.25">
      <c r="A4" s="108"/>
      <c r="B4" s="60" t="s">
        <v>4119</v>
      </c>
      <c r="C4" s="309"/>
      <c r="D4" s="309"/>
      <c r="E4" s="37"/>
      <c r="F4" s="37"/>
      <c r="G4" s="37"/>
      <c r="H4" s="37"/>
      <c r="I4" s="37"/>
      <c r="J4" s="37"/>
      <c r="K4" s="37"/>
      <c r="L4" s="37"/>
      <c r="M4" s="37"/>
      <c r="N4" s="37"/>
      <c r="O4" s="37"/>
      <c r="P4" s="37"/>
      <c r="Q4" s="37"/>
      <c r="R4" s="38"/>
      <c r="S4" s="40" t="s">
        <v>256</v>
      </c>
      <c r="T4" s="3"/>
      <c r="U4" s="5"/>
      <c r="V4" s="6"/>
      <c r="W4" s="6"/>
    </row>
    <row r="5" spans="1:23" s="32" customFormat="1" ht="15" customHeight="1" x14ac:dyDescent="0.2">
      <c r="A5" s="109"/>
      <c r="B5" s="326" t="s">
        <v>4291</v>
      </c>
      <c r="C5" s="326"/>
      <c r="D5" s="326"/>
      <c r="E5" s="319" t="s">
        <v>251</v>
      </c>
      <c r="F5" s="319"/>
      <c r="G5" s="319"/>
      <c r="H5" s="314" t="s">
        <v>258</v>
      </c>
      <c r="I5" s="314"/>
      <c r="J5" s="314"/>
      <c r="K5" s="321" t="s">
        <v>491</v>
      </c>
      <c r="L5" s="321"/>
      <c r="M5" s="321"/>
      <c r="N5" s="318" t="s">
        <v>422</v>
      </c>
      <c r="O5" s="318"/>
      <c r="P5" s="318"/>
      <c r="Q5" s="334" t="s">
        <v>259</v>
      </c>
      <c r="R5" s="334"/>
      <c r="S5" s="313" t="s">
        <v>261</v>
      </c>
    </row>
    <row r="6" spans="1:23" s="32" customFormat="1" ht="16.5" customHeight="1" x14ac:dyDescent="0.2">
      <c r="A6" s="109"/>
      <c r="B6" s="174"/>
      <c r="C6" s="360"/>
      <c r="D6" s="359" t="s">
        <v>260</v>
      </c>
      <c r="E6" s="319"/>
      <c r="F6" s="319"/>
      <c r="G6" s="319"/>
      <c r="H6" s="314"/>
      <c r="I6" s="314"/>
      <c r="J6" s="314"/>
      <c r="K6" s="321"/>
      <c r="L6" s="321"/>
      <c r="M6" s="321"/>
      <c r="N6" s="318"/>
      <c r="O6" s="318"/>
      <c r="P6" s="318"/>
      <c r="Q6" s="334"/>
      <c r="R6" s="334"/>
      <c r="S6" s="313"/>
    </row>
    <row r="7" spans="1:23" s="32" customFormat="1" ht="6.75" customHeight="1" x14ac:dyDescent="0.2">
      <c r="A7" s="109"/>
      <c r="B7" s="174"/>
      <c r="C7" s="360"/>
      <c r="D7" s="360"/>
      <c r="E7" s="439"/>
      <c r="F7" s="439"/>
      <c r="G7" s="439"/>
      <c r="H7" s="439"/>
      <c r="I7" s="439"/>
      <c r="J7" s="439"/>
      <c r="K7" s="439"/>
      <c r="L7" s="439"/>
      <c r="M7" s="439"/>
      <c r="N7" s="439"/>
      <c r="O7" s="439"/>
      <c r="P7" s="439"/>
      <c r="Q7" s="439"/>
      <c r="R7" s="439"/>
      <c r="S7" s="439"/>
    </row>
    <row r="8" spans="1:23" s="241" customFormat="1" ht="27" customHeight="1" x14ac:dyDescent="0.2">
      <c r="A8" s="504" t="s">
        <v>4621</v>
      </c>
      <c r="B8" s="102"/>
      <c r="C8" s="98"/>
      <c r="D8" s="107"/>
      <c r="E8" s="98"/>
      <c r="F8" s="98"/>
      <c r="G8" s="98"/>
      <c r="H8" s="98"/>
      <c r="I8" s="98"/>
      <c r="J8" s="98"/>
      <c r="K8" s="98"/>
      <c r="L8" s="98"/>
      <c r="M8" s="98"/>
      <c r="N8" s="98"/>
      <c r="O8" s="98"/>
      <c r="P8" s="98"/>
      <c r="Q8" s="98"/>
      <c r="R8" s="98"/>
      <c r="S8" s="103"/>
    </row>
    <row r="9" spans="1:23" s="97" customFormat="1" ht="18" customHeight="1" x14ac:dyDescent="0.2">
      <c r="A9" s="330" t="s">
        <v>37</v>
      </c>
      <c r="B9" s="328" t="s">
        <v>38</v>
      </c>
      <c r="C9" s="328" t="s">
        <v>257</v>
      </c>
      <c r="D9" s="337" t="s">
        <v>419</v>
      </c>
      <c r="E9" s="328" t="s">
        <v>33</v>
      </c>
      <c r="F9" s="328"/>
      <c r="G9" s="328"/>
      <c r="H9" s="328"/>
      <c r="I9" s="328"/>
      <c r="J9" s="328"/>
      <c r="K9" s="328"/>
      <c r="L9" s="328"/>
      <c r="M9" s="328"/>
      <c r="N9" s="328"/>
      <c r="O9" s="328"/>
      <c r="P9" s="328"/>
      <c r="Q9" s="335" t="s">
        <v>34</v>
      </c>
      <c r="R9" s="335" t="s">
        <v>36</v>
      </c>
      <c r="S9" s="328" t="s">
        <v>35</v>
      </c>
      <c r="T9" s="111"/>
    </row>
    <row r="10" spans="1:23" s="97" customFormat="1" ht="33" customHeight="1" x14ac:dyDescent="0.2">
      <c r="A10" s="330"/>
      <c r="B10" s="328"/>
      <c r="C10" s="328"/>
      <c r="D10" s="338"/>
      <c r="E10" s="237" t="s">
        <v>21</v>
      </c>
      <c r="F10" s="237" t="s">
        <v>22</v>
      </c>
      <c r="G10" s="237" t="s">
        <v>23</v>
      </c>
      <c r="H10" s="237" t="s">
        <v>24</v>
      </c>
      <c r="I10" s="237" t="s">
        <v>25</v>
      </c>
      <c r="J10" s="237" t="s">
        <v>26</v>
      </c>
      <c r="K10" s="237" t="s">
        <v>27</v>
      </c>
      <c r="L10" s="237" t="s">
        <v>28</v>
      </c>
      <c r="M10" s="237" t="s">
        <v>29</v>
      </c>
      <c r="N10" s="237" t="s">
        <v>30</v>
      </c>
      <c r="O10" s="237" t="s">
        <v>31</v>
      </c>
      <c r="P10" s="237" t="s">
        <v>32</v>
      </c>
      <c r="Q10" s="335"/>
      <c r="R10" s="335"/>
      <c r="S10" s="328"/>
      <c r="T10" s="111"/>
    </row>
    <row r="11" spans="1:23" s="97" customFormat="1" ht="36.950000000000003" customHeight="1" x14ac:dyDescent="0.2">
      <c r="A11" s="412" t="s">
        <v>232</v>
      </c>
      <c r="B11" s="412" t="s">
        <v>14</v>
      </c>
      <c r="C11" s="412" t="s">
        <v>380</v>
      </c>
      <c r="D11" s="364">
        <v>201</v>
      </c>
      <c r="E11" s="47"/>
      <c r="F11" s="47"/>
      <c r="G11" s="47"/>
      <c r="H11" s="47"/>
      <c r="I11" s="47"/>
      <c r="J11" s="47"/>
      <c r="K11" s="47"/>
      <c r="L11" s="47"/>
      <c r="M11" s="47"/>
      <c r="N11" s="47">
        <v>97.3</v>
      </c>
      <c r="O11" s="47"/>
      <c r="P11" s="47"/>
      <c r="Q11" s="440">
        <f t="shared" ref="Q11:Q44" si="0">AVERAGE(E11:P11)</f>
        <v>97.3</v>
      </c>
      <c r="R11" s="441" t="str">
        <f t="shared" ref="R11:R44" si="1">IF(Q11&lt;5,"SI","NO")</f>
        <v>NO</v>
      </c>
      <c r="S11" s="442" t="str">
        <f t="shared" ref="S11:S44" si="2">IF(Q11&lt;=5,"Sin Riesgo",IF(Q11 &lt;=14,"Bajo",IF(Q11&lt;=35,"Medio",IF(Q11&lt;=80,"Alto","Inviable Sanitariamente"))))</f>
        <v>Inviable Sanitariamente</v>
      </c>
      <c r="T11" s="113"/>
    </row>
    <row r="12" spans="1:23" s="97" customFormat="1" ht="36.950000000000003" customHeight="1" x14ac:dyDescent="0.2">
      <c r="A12" s="412" t="s">
        <v>232</v>
      </c>
      <c r="B12" s="436" t="s">
        <v>49</v>
      </c>
      <c r="C12" s="443" t="s">
        <v>381</v>
      </c>
      <c r="D12" s="433"/>
      <c r="E12" s="47"/>
      <c r="F12" s="47"/>
      <c r="G12" s="47"/>
      <c r="H12" s="47"/>
      <c r="I12" s="47"/>
      <c r="J12" s="47"/>
      <c r="K12" s="47"/>
      <c r="L12" s="47"/>
      <c r="M12" s="47"/>
      <c r="N12" s="47"/>
      <c r="O12" s="47"/>
      <c r="P12" s="47"/>
      <c r="Q12" s="440" t="e">
        <f t="shared" si="0"/>
        <v>#DIV/0!</v>
      </c>
      <c r="R12" s="441" t="e">
        <f t="shared" si="1"/>
        <v>#DIV/0!</v>
      </c>
      <c r="S12" s="442" t="e">
        <f t="shared" si="2"/>
        <v>#DIV/0!</v>
      </c>
      <c r="T12" s="113"/>
    </row>
    <row r="13" spans="1:23" s="97" customFormat="1" ht="36.950000000000003" customHeight="1" x14ac:dyDescent="0.2">
      <c r="A13" s="412" t="s">
        <v>232</v>
      </c>
      <c r="B13" s="406" t="s">
        <v>379</v>
      </c>
      <c r="C13" s="406" t="s">
        <v>1746</v>
      </c>
      <c r="D13" s="364">
        <v>600</v>
      </c>
      <c r="E13" s="47"/>
      <c r="F13" s="47"/>
      <c r="G13" s="47"/>
      <c r="H13" s="47"/>
      <c r="I13" s="47"/>
      <c r="J13" s="47"/>
      <c r="K13" s="47"/>
      <c r="L13" s="47"/>
      <c r="M13" s="47"/>
      <c r="N13" s="47">
        <v>97.3</v>
      </c>
      <c r="O13" s="47"/>
      <c r="P13" s="47"/>
      <c r="Q13" s="440">
        <f t="shared" si="0"/>
        <v>97.3</v>
      </c>
      <c r="R13" s="381" t="str">
        <f t="shared" si="1"/>
        <v>NO</v>
      </c>
      <c r="S13" s="442" t="str">
        <f t="shared" si="2"/>
        <v>Inviable Sanitariamente</v>
      </c>
    </row>
    <row r="14" spans="1:23" s="97" customFormat="1" ht="32.1" customHeight="1" x14ac:dyDescent="0.2">
      <c r="A14" s="412" t="s">
        <v>232</v>
      </c>
      <c r="B14" s="406" t="s">
        <v>13</v>
      </c>
      <c r="C14" s="406" t="s">
        <v>1747</v>
      </c>
      <c r="D14" s="364">
        <v>195</v>
      </c>
      <c r="E14" s="47"/>
      <c r="F14" s="47"/>
      <c r="G14" s="47"/>
      <c r="H14" s="47"/>
      <c r="I14" s="47"/>
      <c r="J14" s="47"/>
      <c r="K14" s="47"/>
      <c r="L14" s="47"/>
      <c r="M14" s="47"/>
      <c r="N14" s="47">
        <v>97.3</v>
      </c>
      <c r="O14" s="47"/>
      <c r="P14" s="47"/>
      <c r="Q14" s="440">
        <f t="shared" si="0"/>
        <v>97.3</v>
      </c>
      <c r="R14" s="381" t="str">
        <f t="shared" si="1"/>
        <v>NO</v>
      </c>
      <c r="S14" s="442" t="str">
        <f t="shared" si="2"/>
        <v>Inviable Sanitariamente</v>
      </c>
    </row>
    <row r="15" spans="1:23" s="97" customFormat="1" ht="32.1" customHeight="1" x14ac:dyDescent="0.2">
      <c r="A15" s="412" t="s">
        <v>232</v>
      </c>
      <c r="B15" s="406" t="s">
        <v>1748</v>
      </c>
      <c r="C15" s="406" t="s">
        <v>1749</v>
      </c>
      <c r="D15" s="364">
        <v>70</v>
      </c>
      <c r="E15" s="47"/>
      <c r="F15" s="47"/>
      <c r="G15" s="47"/>
      <c r="H15" s="47"/>
      <c r="I15" s="47"/>
      <c r="J15" s="47"/>
      <c r="K15" s="47">
        <v>93.7</v>
      </c>
      <c r="L15" s="47"/>
      <c r="M15" s="47"/>
      <c r="N15" s="47"/>
      <c r="O15" s="47"/>
      <c r="P15" s="47"/>
      <c r="Q15" s="440">
        <f t="shared" si="0"/>
        <v>93.7</v>
      </c>
      <c r="R15" s="381" t="str">
        <f t="shared" si="1"/>
        <v>NO</v>
      </c>
      <c r="S15" s="442" t="str">
        <f t="shared" si="2"/>
        <v>Inviable Sanitariamente</v>
      </c>
    </row>
    <row r="16" spans="1:23" s="97" customFormat="1" ht="32.1" customHeight="1" x14ac:dyDescent="0.2">
      <c r="A16" s="412" t="s">
        <v>232</v>
      </c>
      <c r="B16" s="406" t="s">
        <v>1750</v>
      </c>
      <c r="C16" s="406" t="s">
        <v>1751</v>
      </c>
      <c r="D16" s="364">
        <v>150</v>
      </c>
      <c r="E16" s="47"/>
      <c r="F16" s="47"/>
      <c r="G16" s="47"/>
      <c r="H16" s="47"/>
      <c r="I16" s="47"/>
      <c r="J16" s="47"/>
      <c r="K16" s="47">
        <v>93.7</v>
      </c>
      <c r="L16" s="47"/>
      <c r="M16" s="47">
        <v>97.35</v>
      </c>
      <c r="N16" s="47"/>
      <c r="O16" s="47"/>
      <c r="P16" s="47"/>
      <c r="Q16" s="440">
        <f t="shared" si="0"/>
        <v>95.525000000000006</v>
      </c>
      <c r="R16" s="381" t="str">
        <f t="shared" si="1"/>
        <v>NO</v>
      </c>
      <c r="S16" s="442" t="str">
        <f t="shared" si="2"/>
        <v>Inviable Sanitariamente</v>
      </c>
    </row>
    <row r="17" spans="1:19" s="97" customFormat="1" ht="32.1" customHeight="1" x14ac:dyDescent="0.2">
      <c r="A17" s="412" t="s">
        <v>232</v>
      </c>
      <c r="B17" s="406" t="s">
        <v>1752</v>
      </c>
      <c r="C17" s="406" t="s">
        <v>1753</v>
      </c>
      <c r="D17" s="364">
        <v>43</v>
      </c>
      <c r="E17" s="47"/>
      <c r="F17" s="47"/>
      <c r="G17" s="47"/>
      <c r="H17" s="47"/>
      <c r="I17" s="47"/>
      <c r="J17" s="47"/>
      <c r="K17" s="47">
        <v>93.7</v>
      </c>
      <c r="L17" s="47"/>
      <c r="M17" s="47"/>
      <c r="N17" s="47"/>
      <c r="O17" s="47"/>
      <c r="P17" s="47"/>
      <c r="Q17" s="440">
        <f t="shared" si="0"/>
        <v>93.7</v>
      </c>
      <c r="R17" s="381" t="str">
        <f t="shared" si="1"/>
        <v>NO</v>
      </c>
      <c r="S17" s="442" t="str">
        <f t="shared" si="2"/>
        <v>Inviable Sanitariamente</v>
      </c>
    </row>
    <row r="18" spans="1:19" s="97" customFormat="1" ht="32.1" customHeight="1" x14ac:dyDescent="0.2">
      <c r="A18" s="412" t="s">
        <v>232</v>
      </c>
      <c r="B18" s="406" t="s">
        <v>382</v>
      </c>
      <c r="C18" s="406" t="s">
        <v>383</v>
      </c>
      <c r="D18" s="364">
        <v>36</v>
      </c>
      <c r="E18" s="444">
        <v>6.45</v>
      </c>
      <c r="F18" s="444">
        <v>26.55</v>
      </c>
      <c r="G18" s="444">
        <v>26.55</v>
      </c>
      <c r="H18" s="444">
        <v>0</v>
      </c>
      <c r="I18" s="444"/>
      <c r="J18" s="444">
        <v>48.8</v>
      </c>
      <c r="K18" s="444">
        <v>0</v>
      </c>
      <c r="L18" s="444">
        <v>0</v>
      </c>
      <c r="M18" s="444"/>
      <c r="N18" s="444">
        <v>0</v>
      </c>
      <c r="O18" s="444"/>
      <c r="P18" s="47">
        <v>0</v>
      </c>
      <c r="Q18" s="440">
        <f t="shared" si="0"/>
        <v>12.038888888888888</v>
      </c>
      <c r="R18" s="381" t="str">
        <f t="shared" si="1"/>
        <v>NO</v>
      </c>
      <c r="S18" s="442" t="str">
        <f t="shared" si="2"/>
        <v>Bajo</v>
      </c>
    </row>
    <row r="19" spans="1:19" s="97" customFormat="1" ht="32.1" customHeight="1" x14ac:dyDescent="0.2">
      <c r="A19" s="412" t="s">
        <v>182</v>
      </c>
      <c r="B19" s="445" t="s">
        <v>1586</v>
      </c>
      <c r="C19" s="445" t="s">
        <v>1587</v>
      </c>
      <c r="D19" s="364">
        <v>25</v>
      </c>
      <c r="E19" s="47">
        <v>97.3</v>
      </c>
      <c r="F19" s="47"/>
      <c r="G19" s="47"/>
      <c r="H19" s="47"/>
      <c r="I19" s="47"/>
      <c r="J19" s="47">
        <v>97.3</v>
      </c>
      <c r="K19" s="47"/>
      <c r="L19" s="47"/>
      <c r="M19" s="47"/>
      <c r="N19" s="47"/>
      <c r="O19" s="47">
        <v>97.3</v>
      </c>
      <c r="P19" s="47"/>
      <c r="Q19" s="440">
        <f t="shared" si="0"/>
        <v>97.3</v>
      </c>
      <c r="R19" s="375" t="str">
        <f t="shared" si="1"/>
        <v>NO</v>
      </c>
      <c r="S19" s="442" t="str">
        <f t="shared" si="2"/>
        <v>Inviable Sanitariamente</v>
      </c>
    </row>
    <row r="20" spans="1:19" s="97" customFormat="1" ht="32.1" customHeight="1" x14ac:dyDescent="0.2">
      <c r="A20" s="412" t="s">
        <v>182</v>
      </c>
      <c r="B20" s="445" t="s">
        <v>1588</v>
      </c>
      <c r="C20" s="445" t="s">
        <v>1589</v>
      </c>
      <c r="D20" s="364">
        <v>82</v>
      </c>
      <c r="E20" s="47"/>
      <c r="F20" s="47"/>
      <c r="G20" s="47"/>
      <c r="H20" s="47"/>
      <c r="I20" s="47"/>
      <c r="J20" s="47">
        <v>97.3</v>
      </c>
      <c r="K20" s="47"/>
      <c r="L20" s="47"/>
      <c r="M20" s="47"/>
      <c r="N20" s="47"/>
      <c r="O20" s="47"/>
      <c r="P20" s="47">
        <v>97.3</v>
      </c>
      <c r="Q20" s="440">
        <f t="shared" si="0"/>
        <v>97.3</v>
      </c>
      <c r="R20" s="375" t="str">
        <f t="shared" si="1"/>
        <v>NO</v>
      </c>
      <c r="S20" s="442" t="str">
        <f t="shared" si="2"/>
        <v>Inviable Sanitariamente</v>
      </c>
    </row>
    <row r="21" spans="1:19" s="97" customFormat="1" ht="32.1" customHeight="1" x14ac:dyDescent="0.2">
      <c r="A21" s="412" t="s">
        <v>182</v>
      </c>
      <c r="B21" s="445" t="s">
        <v>631</v>
      </c>
      <c r="C21" s="445" t="s">
        <v>1590</v>
      </c>
      <c r="D21" s="364">
        <v>8</v>
      </c>
      <c r="E21" s="47"/>
      <c r="F21" s="47"/>
      <c r="G21" s="47"/>
      <c r="H21" s="47"/>
      <c r="I21" s="47"/>
      <c r="J21" s="47">
        <v>97.3</v>
      </c>
      <c r="K21" s="47"/>
      <c r="L21" s="47"/>
      <c r="M21" s="47"/>
      <c r="N21" s="47"/>
      <c r="O21" s="47"/>
      <c r="P21" s="47"/>
      <c r="Q21" s="440">
        <f t="shared" si="0"/>
        <v>97.3</v>
      </c>
      <c r="R21" s="381" t="str">
        <f t="shared" si="1"/>
        <v>NO</v>
      </c>
      <c r="S21" s="442" t="str">
        <f t="shared" si="2"/>
        <v>Inviable Sanitariamente</v>
      </c>
    </row>
    <row r="22" spans="1:19" s="97" customFormat="1" ht="31.5" customHeight="1" x14ac:dyDescent="0.2">
      <c r="A22" s="412" t="s">
        <v>182</v>
      </c>
      <c r="B22" s="445" t="s">
        <v>1591</v>
      </c>
      <c r="C22" s="445" t="s">
        <v>1592</v>
      </c>
      <c r="D22" s="364">
        <v>45</v>
      </c>
      <c r="E22" s="47"/>
      <c r="F22" s="47"/>
      <c r="G22" s="47"/>
      <c r="H22" s="47"/>
      <c r="I22" s="47"/>
      <c r="J22" s="47">
        <v>100</v>
      </c>
      <c r="K22" s="47"/>
      <c r="L22" s="47"/>
      <c r="M22" s="47"/>
      <c r="N22" s="47"/>
      <c r="O22" s="47"/>
      <c r="P22" s="47">
        <v>97.3</v>
      </c>
      <c r="Q22" s="440">
        <f t="shared" si="0"/>
        <v>98.65</v>
      </c>
      <c r="R22" s="381" t="str">
        <f t="shared" si="1"/>
        <v>NO</v>
      </c>
      <c r="S22" s="442" t="str">
        <f t="shared" si="2"/>
        <v>Inviable Sanitariamente</v>
      </c>
    </row>
    <row r="23" spans="1:19" s="97" customFormat="1" ht="32.1" customHeight="1" x14ac:dyDescent="0.2">
      <c r="A23" s="412" t="s">
        <v>182</v>
      </c>
      <c r="B23" s="445" t="s">
        <v>1593</v>
      </c>
      <c r="C23" s="445" t="s">
        <v>378</v>
      </c>
      <c r="D23" s="364">
        <v>8</v>
      </c>
      <c r="E23" s="47"/>
      <c r="F23" s="47"/>
      <c r="G23" s="47"/>
      <c r="H23" s="47"/>
      <c r="I23" s="47"/>
      <c r="J23" s="47">
        <v>97.3</v>
      </c>
      <c r="K23" s="47"/>
      <c r="L23" s="47"/>
      <c r="M23" s="47"/>
      <c r="N23" s="47"/>
      <c r="O23" s="47"/>
      <c r="P23" s="47"/>
      <c r="Q23" s="440">
        <f t="shared" si="0"/>
        <v>97.3</v>
      </c>
      <c r="R23" s="381" t="str">
        <f t="shared" si="1"/>
        <v>NO</v>
      </c>
      <c r="S23" s="442" t="str">
        <f t="shared" si="2"/>
        <v>Inviable Sanitariamente</v>
      </c>
    </row>
    <row r="24" spans="1:19" s="97" customFormat="1" ht="32.1" customHeight="1" x14ac:dyDescent="0.2">
      <c r="A24" s="412" t="s">
        <v>182</v>
      </c>
      <c r="B24" s="445" t="s">
        <v>1594</v>
      </c>
      <c r="C24" s="445" t="s">
        <v>1595</v>
      </c>
      <c r="D24" s="364">
        <v>30</v>
      </c>
      <c r="E24" s="47"/>
      <c r="F24" s="47"/>
      <c r="G24" s="47"/>
      <c r="H24" s="47"/>
      <c r="I24" s="47"/>
      <c r="J24" s="47">
        <v>97.3</v>
      </c>
      <c r="K24" s="47"/>
      <c r="L24" s="47"/>
      <c r="M24" s="47"/>
      <c r="N24" s="47"/>
      <c r="O24" s="47"/>
      <c r="P24" s="47"/>
      <c r="Q24" s="440">
        <f t="shared" si="0"/>
        <v>97.3</v>
      </c>
      <c r="R24" s="381" t="str">
        <f t="shared" si="1"/>
        <v>NO</v>
      </c>
      <c r="S24" s="442" t="str">
        <f t="shared" si="2"/>
        <v>Inviable Sanitariamente</v>
      </c>
    </row>
    <row r="25" spans="1:19" s="97" customFormat="1" ht="32.1" customHeight="1" x14ac:dyDescent="0.2">
      <c r="A25" s="412" t="s">
        <v>182</v>
      </c>
      <c r="B25" s="445" t="s">
        <v>1596</v>
      </c>
      <c r="C25" s="445" t="s">
        <v>1597</v>
      </c>
      <c r="D25" s="364">
        <v>25</v>
      </c>
      <c r="E25" s="47"/>
      <c r="F25" s="47"/>
      <c r="G25" s="47"/>
      <c r="H25" s="47"/>
      <c r="I25" s="47"/>
      <c r="J25" s="47">
        <v>97.3</v>
      </c>
      <c r="K25" s="47"/>
      <c r="L25" s="47"/>
      <c r="M25" s="47"/>
      <c r="N25" s="47"/>
      <c r="O25" s="47"/>
      <c r="P25" s="47"/>
      <c r="Q25" s="440">
        <f t="shared" si="0"/>
        <v>97.3</v>
      </c>
      <c r="R25" s="381" t="str">
        <f t="shared" si="1"/>
        <v>NO</v>
      </c>
      <c r="S25" s="442" t="str">
        <f t="shared" si="2"/>
        <v>Inviable Sanitariamente</v>
      </c>
    </row>
    <row r="26" spans="1:19" s="97" customFormat="1" ht="32.1" customHeight="1" x14ac:dyDescent="0.2">
      <c r="A26" s="412" t="s">
        <v>182</v>
      </c>
      <c r="B26" s="445" t="s">
        <v>1598</v>
      </c>
      <c r="C26" s="445" t="s">
        <v>1599</v>
      </c>
      <c r="D26" s="364">
        <v>60</v>
      </c>
      <c r="E26" s="47"/>
      <c r="F26" s="47"/>
      <c r="G26" s="47"/>
      <c r="H26" s="47"/>
      <c r="I26" s="47"/>
      <c r="J26" s="47">
        <v>97.3</v>
      </c>
      <c r="K26" s="47"/>
      <c r="L26" s="47"/>
      <c r="M26" s="47"/>
      <c r="N26" s="47"/>
      <c r="O26" s="47"/>
      <c r="P26" s="47">
        <v>97.3</v>
      </c>
      <c r="Q26" s="440">
        <f t="shared" si="0"/>
        <v>97.3</v>
      </c>
      <c r="R26" s="381" t="str">
        <f t="shared" si="1"/>
        <v>NO</v>
      </c>
      <c r="S26" s="442" t="str">
        <f t="shared" si="2"/>
        <v>Inviable Sanitariamente</v>
      </c>
    </row>
    <row r="27" spans="1:19" s="97" customFormat="1" ht="32.1" customHeight="1" x14ac:dyDescent="0.2">
      <c r="A27" s="412" t="s">
        <v>182</v>
      </c>
      <c r="B27" s="445" t="s">
        <v>576</v>
      </c>
      <c r="C27" s="445" t="s">
        <v>1601</v>
      </c>
      <c r="D27" s="364">
        <v>180</v>
      </c>
      <c r="E27" s="47"/>
      <c r="F27" s="47"/>
      <c r="G27" s="47"/>
      <c r="H27" s="47"/>
      <c r="I27" s="47"/>
      <c r="J27" s="47">
        <v>97.3</v>
      </c>
      <c r="K27" s="47"/>
      <c r="L27" s="47"/>
      <c r="M27" s="47"/>
      <c r="N27" s="47"/>
      <c r="O27" s="47"/>
      <c r="P27" s="47">
        <v>97.3</v>
      </c>
      <c r="Q27" s="440">
        <f t="shared" si="0"/>
        <v>97.3</v>
      </c>
      <c r="R27" s="381" t="str">
        <f t="shared" si="1"/>
        <v>NO</v>
      </c>
      <c r="S27" s="442" t="str">
        <f t="shared" si="2"/>
        <v>Inviable Sanitariamente</v>
      </c>
    </row>
    <row r="28" spans="1:19" s="97" customFormat="1" ht="32.1" customHeight="1" x14ac:dyDescent="0.2">
      <c r="A28" s="412" t="s">
        <v>182</v>
      </c>
      <c r="B28" s="445" t="s">
        <v>1602</v>
      </c>
      <c r="C28" s="445" t="s">
        <v>1603</v>
      </c>
      <c r="D28" s="364"/>
      <c r="E28" s="47"/>
      <c r="F28" s="47"/>
      <c r="G28" s="47"/>
      <c r="H28" s="47"/>
      <c r="I28" s="47"/>
      <c r="J28" s="47"/>
      <c r="K28" s="47"/>
      <c r="L28" s="47"/>
      <c r="M28" s="47"/>
      <c r="N28" s="47"/>
      <c r="O28" s="47"/>
      <c r="P28" s="47"/>
      <c r="Q28" s="440" t="e">
        <f t="shared" si="0"/>
        <v>#DIV/0!</v>
      </c>
      <c r="R28" s="381" t="e">
        <f t="shared" si="1"/>
        <v>#DIV/0!</v>
      </c>
      <c r="S28" s="442" t="e">
        <f t="shared" si="2"/>
        <v>#DIV/0!</v>
      </c>
    </row>
    <row r="29" spans="1:19" s="97" customFormat="1" ht="32.1" customHeight="1" x14ac:dyDescent="0.2">
      <c r="A29" s="412" t="s">
        <v>182</v>
      </c>
      <c r="B29" s="445" t="s">
        <v>1604</v>
      </c>
      <c r="C29" s="445" t="s">
        <v>1605</v>
      </c>
      <c r="D29" s="364"/>
      <c r="E29" s="47"/>
      <c r="F29" s="47"/>
      <c r="G29" s="47"/>
      <c r="H29" s="47"/>
      <c r="I29" s="47"/>
      <c r="J29" s="47"/>
      <c r="K29" s="47"/>
      <c r="L29" s="47"/>
      <c r="M29" s="47"/>
      <c r="N29" s="47"/>
      <c r="O29" s="47"/>
      <c r="P29" s="47"/>
      <c r="Q29" s="440" t="e">
        <f t="shared" si="0"/>
        <v>#DIV/0!</v>
      </c>
      <c r="R29" s="375" t="e">
        <f t="shared" si="1"/>
        <v>#DIV/0!</v>
      </c>
      <c r="S29" s="442" t="e">
        <f t="shared" si="2"/>
        <v>#DIV/0!</v>
      </c>
    </row>
    <row r="30" spans="1:19" s="97" customFormat="1" ht="32.1" customHeight="1" x14ac:dyDescent="0.2">
      <c r="A30" s="412" t="s">
        <v>182</v>
      </c>
      <c r="B30" s="445" t="s">
        <v>45</v>
      </c>
      <c r="C30" s="445" t="s">
        <v>1606</v>
      </c>
      <c r="D30" s="364">
        <v>45</v>
      </c>
      <c r="E30" s="47"/>
      <c r="F30" s="47"/>
      <c r="G30" s="47"/>
      <c r="H30" s="47"/>
      <c r="I30" s="47"/>
      <c r="J30" s="47">
        <v>97.3</v>
      </c>
      <c r="K30" s="47"/>
      <c r="L30" s="47"/>
      <c r="M30" s="47"/>
      <c r="N30" s="47"/>
      <c r="O30" s="47"/>
      <c r="P30" s="47"/>
      <c r="Q30" s="440">
        <f t="shared" si="0"/>
        <v>97.3</v>
      </c>
      <c r="R30" s="381" t="str">
        <f t="shared" si="1"/>
        <v>NO</v>
      </c>
      <c r="S30" s="442" t="str">
        <f t="shared" si="2"/>
        <v>Inviable Sanitariamente</v>
      </c>
    </row>
    <row r="31" spans="1:19" s="97" customFormat="1" ht="32.1" customHeight="1" x14ac:dyDescent="0.2">
      <c r="A31" s="412" t="s">
        <v>182</v>
      </c>
      <c r="B31" s="445" t="s">
        <v>1607</v>
      </c>
      <c r="C31" s="445" t="s">
        <v>1608</v>
      </c>
      <c r="D31" s="364">
        <v>48</v>
      </c>
      <c r="E31" s="47"/>
      <c r="F31" s="47"/>
      <c r="G31" s="47"/>
      <c r="H31" s="47"/>
      <c r="I31" s="47"/>
      <c r="J31" s="47">
        <v>100</v>
      </c>
      <c r="K31" s="47"/>
      <c r="L31" s="47"/>
      <c r="M31" s="47"/>
      <c r="N31" s="47"/>
      <c r="O31" s="47"/>
      <c r="P31" s="47">
        <v>97.3</v>
      </c>
      <c r="Q31" s="440">
        <f t="shared" si="0"/>
        <v>98.65</v>
      </c>
      <c r="R31" s="381" t="str">
        <f t="shared" si="1"/>
        <v>NO</v>
      </c>
      <c r="S31" s="442" t="str">
        <f t="shared" si="2"/>
        <v>Inviable Sanitariamente</v>
      </c>
    </row>
    <row r="32" spans="1:19" s="97" customFormat="1" ht="32.1" customHeight="1" x14ac:dyDescent="0.2">
      <c r="A32" s="412" t="s">
        <v>182</v>
      </c>
      <c r="B32" s="445" t="s">
        <v>1609</v>
      </c>
      <c r="C32" s="445" t="s">
        <v>1610</v>
      </c>
      <c r="D32" s="364">
        <v>79</v>
      </c>
      <c r="E32" s="47"/>
      <c r="F32" s="47"/>
      <c r="G32" s="47"/>
      <c r="H32" s="47"/>
      <c r="I32" s="47"/>
      <c r="J32" s="47">
        <v>97.3</v>
      </c>
      <c r="K32" s="47"/>
      <c r="L32" s="47"/>
      <c r="M32" s="47"/>
      <c r="N32" s="47"/>
      <c r="O32" s="47"/>
      <c r="P32" s="47">
        <v>97.3</v>
      </c>
      <c r="Q32" s="440">
        <f t="shared" si="0"/>
        <v>97.3</v>
      </c>
      <c r="R32" s="381" t="str">
        <f t="shared" si="1"/>
        <v>NO</v>
      </c>
      <c r="S32" s="442" t="str">
        <f t="shared" si="2"/>
        <v>Inviable Sanitariamente</v>
      </c>
    </row>
    <row r="33" spans="1:19" s="97" customFormat="1" ht="32.1" customHeight="1" x14ac:dyDescent="0.2">
      <c r="A33" s="412" t="s">
        <v>182</v>
      </c>
      <c r="B33" s="445" t="s">
        <v>654</v>
      </c>
      <c r="C33" s="445" t="s">
        <v>1611</v>
      </c>
      <c r="D33" s="364">
        <v>15</v>
      </c>
      <c r="E33" s="47"/>
      <c r="F33" s="47"/>
      <c r="G33" s="47"/>
      <c r="H33" s="47"/>
      <c r="I33" s="47"/>
      <c r="J33" s="47">
        <v>97.3</v>
      </c>
      <c r="K33" s="47"/>
      <c r="L33" s="47"/>
      <c r="M33" s="47"/>
      <c r="N33" s="47"/>
      <c r="O33" s="47"/>
      <c r="P33" s="47"/>
      <c r="Q33" s="440">
        <f t="shared" si="0"/>
        <v>97.3</v>
      </c>
      <c r="R33" s="381" t="str">
        <f t="shared" si="1"/>
        <v>NO</v>
      </c>
      <c r="S33" s="442" t="str">
        <f t="shared" si="2"/>
        <v>Inviable Sanitariamente</v>
      </c>
    </row>
    <row r="34" spans="1:19" s="97" customFormat="1" ht="32.1" customHeight="1" x14ac:dyDescent="0.2">
      <c r="A34" s="412" t="s">
        <v>182</v>
      </c>
      <c r="B34" s="445" t="s">
        <v>1612</v>
      </c>
      <c r="C34" s="445" t="s">
        <v>1613</v>
      </c>
      <c r="D34" s="364">
        <v>120</v>
      </c>
      <c r="E34" s="47"/>
      <c r="F34" s="47"/>
      <c r="G34" s="47"/>
      <c r="H34" s="47"/>
      <c r="I34" s="47"/>
      <c r="J34" s="47">
        <v>97.3</v>
      </c>
      <c r="K34" s="47"/>
      <c r="L34" s="47"/>
      <c r="M34" s="47"/>
      <c r="N34" s="47"/>
      <c r="O34" s="47"/>
      <c r="P34" s="47">
        <v>97.3</v>
      </c>
      <c r="Q34" s="440">
        <f t="shared" si="0"/>
        <v>97.3</v>
      </c>
      <c r="R34" s="381" t="str">
        <f t="shared" si="1"/>
        <v>NO</v>
      </c>
      <c r="S34" s="442" t="str">
        <f t="shared" si="2"/>
        <v>Inviable Sanitariamente</v>
      </c>
    </row>
    <row r="35" spans="1:19" s="97" customFormat="1" ht="32.1" customHeight="1" x14ac:dyDescent="0.2">
      <c r="A35" s="412" t="s">
        <v>182</v>
      </c>
      <c r="B35" s="445" t="s">
        <v>1614</v>
      </c>
      <c r="C35" s="445" t="s">
        <v>1615</v>
      </c>
      <c r="D35" s="364"/>
      <c r="E35" s="47"/>
      <c r="F35" s="47"/>
      <c r="G35" s="47"/>
      <c r="H35" s="47"/>
      <c r="I35" s="47"/>
      <c r="J35" s="47"/>
      <c r="K35" s="47"/>
      <c r="L35" s="47"/>
      <c r="M35" s="47"/>
      <c r="N35" s="47"/>
      <c r="O35" s="47"/>
      <c r="P35" s="47"/>
      <c r="Q35" s="440" t="e">
        <f t="shared" si="0"/>
        <v>#DIV/0!</v>
      </c>
      <c r="R35" s="381" t="e">
        <f t="shared" si="1"/>
        <v>#DIV/0!</v>
      </c>
      <c r="S35" s="442" t="e">
        <f t="shared" si="2"/>
        <v>#DIV/0!</v>
      </c>
    </row>
    <row r="36" spans="1:19" s="97" customFormat="1" ht="32.1" customHeight="1" x14ac:dyDescent="0.2">
      <c r="A36" s="412" t="s">
        <v>182</v>
      </c>
      <c r="B36" s="445" t="s">
        <v>1614</v>
      </c>
      <c r="C36" s="445" t="s">
        <v>1616</v>
      </c>
      <c r="D36" s="364">
        <v>15</v>
      </c>
      <c r="E36" s="47"/>
      <c r="F36" s="47"/>
      <c r="G36" s="47"/>
      <c r="H36" s="47"/>
      <c r="I36" s="47"/>
      <c r="J36" s="47"/>
      <c r="K36" s="47"/>
      <c r="L36" s="47"/>
      <c r="M36" s="47">
        <v>97.3</v>
      </c>
      <c r="N36" s="47"/>
      <c r="O36" s="47"/>
      <c r="P36" s="47"/>
      <c r="Q36" s="440">
        <f t="shared" si="0"/>
        <v>97.3</v>
      </c>
      <c r="R36" s="381" t="str">
        <f t="shared" si="1"/>
        <v>NO</v>
      </c>
      <c r="S36" s="442" t="str">
        <f t="shared" si="2"/>
        <v>Inviable Sanitariamente</v>
      </c>
    </row>
    <row r="37" spans="1:19" s="97" customFormat="1" ht="32.1" customHeight="1" x14ac:dyDescent="0.2">
      <c r="A37" s="412" t="s">
        <v>182</v>
      </c>
      <c r="B37" s="445" t="s">
        <v>1617</v>
      </c>
      <c r="C37" s="445" t="s">
        <v>1618</v>
      </c>
      <c r="D37" s="364">
        <v>45</v>
      </c>
      <c r="E37" s="47"/>
      <c r="F37" s="47"/>
      <c r="G37" s="47"/>
      <c r="H37" s="47"/>
      <c r="I37" s="47"/>
      <c r="J37" s="47">
        <v>100</v>
      </c>
      <c r="K37" s="47"/>
      <c r="L37" s="47"/>
      <c r="M37" s="47"/>
      <c r="N37" s="47"/>
      <c r="O37" s="47"/>
      <c r="P37" s="47">
        <v>97.3</v>
      </c>
      <c r="Q37" s="440">
        <f t="shared" si="0"/>
        <v>98.65</v>
      </c>
      <c r="R37" s="381" t="str">
        <f t="shared" si="1"/>
        <v>NO</v>
      </c>
      <c r="S37" s="442" t="str">
        <f t="shared" si="2"/>
        <v>Inviable Sanitariamente</v>
      </c>
    </row>
    <row r="38" spans="1:19" s="97" customFormat="1" ht="32.1" customHeight="1" x14ac:dyDescent="0.2">
      <c r="A38" s="412" t="s">
        <v>182</v>
      </c>
      <c r="B38" s="445" t="s">
        <v>1619</v>
      </c>
      <c r="C38" s="445" t="s">
        <v>1620</v>
      </c>
      <c r="D38" s="364">
        <v>48</v>
      </c>
      <c r="E38" s="47"/>
      <c r="F38" s="47"/>
      <c r="G38" s="47"/>
      <c r="H38" s="47"/>
      <c r="I38" s="47"/>
      <c r="J38" s="47">
        <v>97.3</v>
      </c>
      <c r="K38" s="47"/>
      <c r="L38" s="47"/>
      <c r="M38" s="47"/>
      <c r="N38" s="47"/>
      <c r="O38" s="47"/>
      <c r="P38" s="47">
        <v>97.3</v>
      </c>
      <c r="Q38" s="440">
        <f t="shared" si="0"/>
        <v>97.3</v>
      </c>
      <c r="R38" s="381" t="str">
        <f t="shared" si="1"/>
        <v>NO</v>
      </c>
      <c r="S38" s="442" t="str">
        <f t="shared" si="2"/>
        <v>Inviable Sanitariamente</v>
      </c>
    </row>
    <row r="39" spans="1:19" s="97" customFormat="1" ht="32.1" customHeight="1" x14ac:dyDescent="0.2">
      <c r="A39" s="361" t="s">
        <v>184</v>
      </c>
      <c r="B39" s="445" t="s">
        <v>1841</v>
      </c>
      <c r="C39" s="445" t="s">
        <v>1842</v>
      </c>
      <c r="D39" s="364">
        <v>770</v>
      </c>
      <c r="E39" s="47"/>
      <c r="F39" s="47"/>
      <c r="G39" s="47">
        <v>97.3</v>
      </c>
      <c r="H39" s="47"/>
      <c r="I39" s="47"/>
      <c r="J39" s="47"/>
      <c r="K39" s="47"/>
      <c r="L39" s="47"/>
      <c r="M39" s="47"/>
      <c r="N39" s="47">
        <v>97.35</v>
      </c>
      <c r="O39" s="47">
        <v>97.3</v>
      </c>
      <c r="P39" s="47"/>
      <c r="Q39" s="440">
        <f t="shared" si="0"/>
        <v>97.316666666666663</v>
      </c>
      <c r="R39" s="381" t="str">
        <f t="shared" si="1"/>
        <v>NO</v>
      </c>
      <c r="S39" s="442" t="str">
        <f t="shared" si="2"/>
        <v>Inviable Sanitariamente</v>
      </c>
    </row>
    <row r="40" spans="1:19" s="97" customFormat="1" ht="32.1" customHeight="1" x14ac:dyDescent="0.2">
      <c r="A40" s="361" t="s">
        <v>184</v>
      </c>
      <c r="B40" s="445" t="s">
        <v>1843</v>
      </c>
      <c r="C40" s="445" t="s">
        <v>1844</v>
      </c>
      <c r="D40" s="364">
        <v>1532</v>
      </c>
      <c r="E40" s="47"/>
      <c r="F40" s="47"/>
      <c r="G40" s="47"/>
      <c r="H40" s="47"/>
      <c r="I40" s="47"/>
      <c r="J40" s="47"/>
      <c r="K40" s="47"/>
      <c r="L40" s="47"/>
      <c r="M40" s="47"/>
      <c r="N40" s="47">
        <v>0</v>
      </c>
      <c r="O40" s="47">
        <v>97.3</v>
      </c>
      <c r="P40" s="47"/>
      <c r="Q40" s="440">
        <f>AVERAGE(E40:P40)</f>
        <v>48.65</v>
      </c>
      <c r="R40" s="381" t="str">
        <f>IF(Q40&lt;5,"SI","NO")</f>
        <v>NO</v>
      </c>
      <c r="S40" s="442" t="str">
        <f>IF(Q40&lt;=5,"Sin Riesgo",IF(Q40 &lt;=14,"Bajo",IF(Q40&lt;=35,"Medio",IF(Q40&lt;=80,"Alto","Inviable Sanitariamente"))))</f>
        <v>Alto</v>
      </c>
    </row>
    <row r="41" spans="1:19" s="97" customFormat="1" ht="32.1" customHeight="1" x14ac:dyDescent="0.2">
      <c r="A41" s="361" t="s">
        <v>184</v>
      </c>
      <c r="B41" s="445" t="s">
        <v>4553</v>
      </c>
      <c r="C41" s="445" t="s">
        <v>4245</v>
      </c>
      <c r="D41" s="364">
        <v>100</v>
      </c>
      <c r="E41" s="47"/>
      <c r="F41" s="47">
        <v>0</v>
      </c>
      <c r="G41" s="47"/>
      <c r="H41" s="47"/>
      <c r="I41" s="47"/>
      <c r="J41" s="47"/>
      <c r="K41" s="47"/>
      <c r="L41" s="47"/>
      <c r="M41" s="47"/>
      <c r="N41" s="47">
        <v>97.35</v>
      </c>
      <c r="O41" s="47">
        <v>97.3</v>
      </c>
      <c r="P41" s="47"/>
      <c r="Q41" s="440">
        <f t="shared" si="0"/>
        <v>64.883333333333326</v>
      </c>
      <c r="R41" s="381" t="str">
        <f t="shared" si="1"/>
        <v>NO</v>
      </c>
      <c r="S41" s="442" t="str">
        <f t="shared" si="2"/>
        <v>Alto</v>
      </c>
    </row>
    <row r="42" spans="1:19" s="97" customFormat="1" ht="32.1" customHeight="1" x14ac:dyDescent="0.2">
      <c r="A42" s="361" t="s">
        <v>184</v>
      </c>
      <c r="B42" s="445" t="s">
        <v>4551</v>
      </c>
      <c r="C42" s="445" t="s">
        <v>4552</v>
      </c>
      <c r="D42" s="364">
        <v>150</v>
      </c>
      <c r="E42" s="47"/>
      <c r="F42" s="47"/>
      <c r="G42" s="47"/>
      <c r="H42" s="47"/>
      <c r="I42" s="47"/>
      <c r="J42" s="47"/>
      <c r="K42" s="47"/>
      <c r="L42" s="47"/>
      <c r="M42" s="47"/>
      <c r="N42" s="47">
        <v>0</v>
      </c>
      <c r="O42" s="47"/>
      <c r="P42" s="47"/>
      <c r="Q42" s="440">
        <f t="shared" si="0"/>
        <v>0</v>
      </c>
      <c r="R42" s="381" t="str">
        <f t="shared" si="1"/>
        <v>SI</v>
      </c>
      <c r="S42" s="442" t="str">
        <f t="shared" ref="S42" si="3">IF(Q42&lt;5,"Sin Riesgo",IF(Q42 &lt;=14,"Bajo",IF(Q42&lt;=35,"Medio",IF(Q42&lt;=80,"Alto","Inviable Sanitariamente"))))</f>
        <v>Sin Riesgo</v>
      </c>
    </row>
    <row r="43" spans="1:19" s="97" customFormat="1" ht="32.1" customHeight="1" x14ac:dyDescent="0.2">
      <c r="A43" s="361" t="s">
        <v>3946</v>
      </c>
      <c r="B43" s="445" t="s">
        <v>51</v>
      </c>
      <c r="C43" s="445" t="s">
        <v>1845</v>
      </c>
      <c r="D43" s="364">
        <v>98</v>
      </c>
      <c r="E43" s="47"/>
      <c r="F43" s="47"/>
      <c r="G43" s="47"/>
      <c r="H43" s="47"/>
      <c r="I43" s="47"/>
      <c r="J43" s="47"/>
      <c r="K43" s="47"/>
      <c r="L43" s="47">
        <v>97.3</v>
      </c>
      <c r="M43" s="47"/>
      <c r="N43" s="47"/>
      <c r="O43" s="47"/>
      <c r="P43" s="47"/>
      <c r="Q43" s="440">
        <f t="shared" si="0"/>
        <v>97.3</v>
      </c>
      <c r="R43" s="381" t="str">
        <f t="shared" si="1"/>
        <v>NO</v>
      </c>
      <c r="S43" s="442" t="str">
        <f t="shared" si="2"/>
        <v>Inviable Sanitariamente</v>
      </c>
    </row>
    <row r="44" spans="1:19" s="97" customFormat="1" ht="32.1" customHeight="1" x14ac:dyDescent="0.2">
      <c r="A44" s="361" t="s">
        <v>3946</v>
      </c>
      <c r="B44" s="445" t="s">
        <v>1846</v>
      </c>
      <c r="C44" s="445" t="s">
        <v>1847</v>
      </c>
      <c r="D44" s="364">
        <v>250</v>
      </c>
      <c r="E44" s="47"/>
      <c r="F44" s="47"/>
      <c r="G44" s="47"/>
      <c r="H44" s="47"/>
      <c r="I44" s="47"/>
      <c r="J44" s="47"/>
      <c r="K44" s="47"/>
      <c r="L44" s="47">
        <v>97.3</v>
      </c>
      <c r="M44" s="47"/>
      <c r="N44" s="47"/>
      <c r="O44" s="47"/>
      <c r="P44" s="47"/>
      <c r="Q44" s="440">
        <f t="shared" si="0"/>
        <v>97.3</v>
      </c>
      <c r="R44" s="381" t="str">
        <f t="shared" si="1"/>
        <v>NO</v>
      </c>
      <c r="S44" s="442" t="str">
        <f t="shared" si="2"/>
        <v>Inviable Sanitariamente</v>
      </c>
    </row>
    <row r="45" spans="1:19" s="97" customFormat="1" ht="32.1" customHeight="1" x14ac:dyDescent="0.2">
      <c r="A45" s="361" t="s">
        <v>3946</v>
      </c>
      <c r="B45" s="445" t="s">
        <v>1848</v>
      </c>
      <c r="C45" s="445" t="s">
        <v>1849</v>
      </c>
      <c r="D45" s="364"/>
      <c r="E45" s="47"/>
      <c r="F45" s="47"/>
      <c r="G45" s="47"/>
      <c r="H45" s="47"/>
      <c r="I45" s="47"/>
      <c r="J45" s="47"/>
      <c r="K45" s="47"/>
      <c r="L45" s="47"/>
      <c r="M45" s="47"/>
      <c r="N45" s="47"/>
      <c r="O45" s="47"/>
      <c r="P45" s="47"/>
      <c r="Q45" s="440" t="e">
        <f t="shared" ref="Q45:Q72" si="4">AVERAGE(E45:P45)</f>
        <v>#DIV/0!</v>
      </c>
      <c r="R45" s="375" t="e">
        <f t="shared" ref="R45:R72" si="5">IF(Q45&lt;5,"SI","NO")</f>
        <v>#DIV/0!</v>
      </c>
      <c r="S45" s="442" t="e">
        <f t="shared" ref="S45:S72" si="6">IF(Q45&lt;=5,"Sin Riesgo",IF(Q45 &lt;=14,"Bajo",IF(Q45&lt;=35,"Medio",IF(Q45&lt;=80,"Alto","Inviable Sanitariamente"))))</f>
        <v>#DIV/0!</v>
      </c>
    </row>
    <row r="46" spans="1:19" s="97" customFormat="1" ht="32.1" customHeight="1" x14ac:dyDescent="0.2">
      <c r="A46" s="361" t="s">
        <v>3946</v>
      </c>
      <c r="B46" s="445" t="s">
        <v>1850</v>
      </c>
      <c r="C46" s="406" t="s">
        <v>1851</v>
      </c>
      <c r="D46" s="364"/>
      <c r="E46" s="47"/>
      <c r="F46" s="47"/>
      <c r="G46" s="47"/>
      <c r="H46" s="47"/>
      <c r="I46" s="47"/>
      <c r="J46" s="47"/>
      <c r="K46" s="47"/>
      <c r="L46" s="47"/>
      <c r="M46" s="47"/>
      <c r="N46" s="47"/>
      <c r="O46" s="47"/>
      <c r="P46" s="47"/>
      <c r="Q46" s="440" t="e">
        <f t="shared" si="4"/>
        <v>#DIV/0!</v>
      </c>
      <c r="R46" s="446" t="e">
        <f t="shared" si="5"/>
        <v>#DIV/0!</v>
      </c>
      <c r="S46" s="442" t="e">
        <f t="shared" si="6"/>
        <v>#DIV/0!</v>
      </c>
    </row>
    <row r="47" spans="1:19" s="97" customFormat="1" ht="32.1" customHeight="1" x14ac:dyDescent="0.2">
      <c r="A47" s="361" t="s">
        <v>3946</v>
      </c>
      <c r="B47" s="445" t="s">
        <v>1852</v>
      </c>
      <c r="C47" s="406" t="s">
        <v>1853</v>
      </c>
      <c r="D47" s="364"/>
      <c r="E47" s="47"/>
      <c r="F47" s="47"/>
      <c r="G47" s="47"/>
      <c r="H47" s="47"/>
      <c r="I47" s="47"/>
      <c r="J47" s="47"/>
      <c r="K47" s="47"/>
      <c r="L47" s="47"/>
      <c r="M47" s="47"/>
      <c r="N47" s="47"/>
      <c r="O47" s="47"/>
      <c r="P47" s="47"/>
      <c r="Q47" s="440" t="e">
        <f t="shared" si="4"/>
        <v>#DIV/0!</v>
      </c>
      <c r="R47" s="446" t="e">
        <f t="shared" si="5"/>
        <v>#DIV/0!</v>
      </c>
      <c r="S47" s="442" t="e">
        <f t="shared" si="6"/>
        <v>#DIV/0!</v>
      </c>
    </row>
    <row r="48" spans="1:19" s="97" customFormat="1" ht="32.1" customHeight="1" x14ac:dyDescent="0.2">
      <c r="A48" s="361" t="s">
        <v>185</v>
      </c>
      <c r="B48" s="445" t="s">
        <v>1854</v>
      </c>
      <c r="C48" s="445" t="s">
        <v>1855</v>
      </c>
      <c r="D48" s="364">
        <v>705</v>
      </c>
      <c r="E48" s="47"/>
      <c r="F48" s="47"/>
      <c r="G48" s="47"/>
      <c r="H48" s="47"/>
      <c r="I48" s="47"/>
      <c r="J48" s="47">
        <v>26.55</v>
      </c>
      <c r="K48" s="47"/>
      <c r="L48" s="47"/>
      <c r="M48" s="47"/>
      <c r="N48" s="47"/>
      <c r="O48" s="47"/>
      <c r="P48" s="47"/>
      <c r="Q48" s="440">
        <f t="shared" si="4"/>
        <v>26.55</v>
      </c>
      <c r="R48" s="381" t="str">
        <f t="shared" si="5"/>
        <v>NO</v>
      </c>
      <c r="S48" s="442" t="str">
        <f t="shared" si="6"/>
        <v>Medio</v>
      </c>
    </row>
    <row r="49" spans="1:19" s="97" customFormat="1" ht="32.1" customHeight="1" x14ac:dyDescent="0.2">
      <c r="A49" s="361" t="s">
        <v>185</v>
      </c>
      <c r="B49" s="445" t="s">
        <v>71</v>
      </c>
      <c r="C49" s="445" t="s">
        <v>1856</v>
      </c>
      <c r="D49" s="364">
        <v>175</v>
      </c>
      <c r="E49" s="47"/>
      <c r="F49" s="47"/>
      <c r="G49" s="47"/>
      <c r="H49" s="47"/>
      <c r="I49" s="47"/>
      <c r="J49" s="47">
        <v>97.35</v>
      </c>
      <c r="K49" s="47"/>
      <c r="L49" s="47"/>
      <c r="M49" s="47"/>
      <c r="N49" s="47"/>
      <c r="O49" s="47"/>
      <c r="P49" s="47"/>
      <c r="Q49" s="440">
        <f t="shared" si="4"/>
        <v>97.35</v>
      </c>
      <c r="R49" s="381" t="str">
        <f t="shared" si="5"/>
        <v>NO</v>
      </c>
      <c r="S49" s="442" t="str">
        <f t="shared" si="6"/>
        <v>Inviable Sanitariamente</v>
      </c>
    </row>
    <row r="50" spans="1:19" s="97" customFormat="1" ht="32.1" customHeight="1" x14ac:dyDescent="0.2">
      <c r="A50" s="361" t="s">
        <v>185</v>
      </c>
      <c r="B50" s="445" t="s">
        <v>1857</v>
      </c>
      <c r="C50" s="445" t="s">
        <v>1858</v>
      </c>
      <c r="D50" s="364">
        <v>21</v>
      </c>
      <c r="E50" s="47"/>
      <c r="F50" s="47"/>
      <c r="G50" s="47"/>
      <c r="H50" s="47"/>
      <c r="I50" s="47">
        <v>97.35</v>
      </c>
      <c r="J50" s="47"/>
      <c r="K50" s="47"/>
      <c r="L50" s="47"/>
      <c r="M50" s="47"/>
      <c r="N50" s="47"/>
      <c r="O50" s="47"/>
      <c r="P50" s="47"/>
      <c r="Q50" s="440">
        <f t="shared" si="4"/>
        <v>97.35</v>
      </c>
      <c r="R50" s="381" t="str">
        <f t="shared" si="5"/>
        <v>NO</v>
      </c>
      <c r="S50" s="442" t="str">
        <f t="shared" si="6"/>
        <v>Inviable Sanitariamente</v>
      </c>
    </row>
    <row r="51" spans="1:19" s="97" customFormat="1" ht="32.1" customHeight="1" x14ac:dyDescent="0.2">
      <c r="A51" s="361" t="s">
        <v>185</v>
      </c>
      <c r="B51" s="445" t="s">
        <v>1859</v>
      </c>
      <c r="C51" s="445" t="s">
        <v>1860</v>
      </c>
      <c r="D51" s="364">
        <v>392</v>
      </c>
      <c r="E51" s="47"/>
      <c r="F51" s="47"/>
      <c r="G51" s="47"/>
      <c r="H51" s="47"/>
      <c r="I51" s="47"/>
      <c r="J51" s="47">
        <v>97.35</v>
      </c>
      <c r="K51" s="47"/>
      <c r="L51" s="47"/>
      <c r="M51" s="47"/>
      <c r="N51" s="47"/>
      <c r="O51" s="47"/>
      <c r="P51" s="47"/>
      <c r="Q51" s="440">
        <f t="shared" si="4"/>
        <v>97.35</v>
      </c>
      <c r="R51" s="381" t="str">
        <f t="shared" si="5"/>
        <v>NO</v>
      </c>
      <c r="S51" s="442" t="str">
        <f t="shared" si="6"/>
        <v>Inviable Sanitariamente</v>
      </c>
    </row>
    <row r="52" spans="1:19" s="97" customFormat="1" ht="32.1" customHeight="1" x14ac:dyDescent="0.2">
      <c r="A52" s="361" t="s">
        <v>185</v>
      </c>
      <c r="B52" s="445" t="s">
        <v>1861</v>
      </c>
      <c r="C52" s="445" t="s">
        <v>1862</v>
      </c>
      <c r="D52" s="364">
        <v>137</v>
      </c>
      <c r="E52" s="47"/>
      <c r="F52" s="47"/>
      <c r="G52" s="47"/>
      <c r="H52" s="47"/>
      <c r="I52" s="47"/>
      <c r="J52" s="47">
        <v>97.35</v>
      </c>
      <c r="K52" s="47"/>
      <c r="L52" s="47"/>
      <c r="M52" s="47"/>
      <c r="N52" s="47"/>
      <c r="O52" s="47"/>
      <c r="P52" s="47"/>
      <c r="Q52" s="440">
        <f t="shared" si="4"/>
        <v>97.35</v>
      </c>
      <c r="R52" s="381" t="str">
        <f t="shared" si="5"/>
        <v>NO</v>
      </c>
      <c r="S52" s="442" t="str">
        <f t="shared" si="6"/>
        <v>Inviable Sanitariamente</v>
      </c>
    </row>
    <row r="53" spans="1:19" s="97" customFormat="1" ht="32.1" customHeight="1" x14ac:dyDescent="0.2">
      <c r="A53" s="361" t="s">
        <v>185</v>
      </c>
      <c r="B53" s="445" t="s">
        <v>1863</v>
      </c>
      <c r="C53" s="445" t="s">
        <v>1864</v>
      </c>
      <c r="D53" s="364">
        <v>328</v>
      </c>
      <c r="E53" s="47"/>
      <c r="F53" s="47"/>
      <c r="G53" s="47"/>
      <c r="H53" s="47"/>
      <c r="I53" s="47">
        <v>53.1</v>
      </c>
      <c r="J53" s="47"/>
      <c r="K53" s="47"/>
      <c r="L53" s="47"/>
      <c r="M53" s="47"/>
      <c r="N53" s="47"/>
      <c r="O53" s="47"/>
      <c r="P53" s="47"/>
      <c r="Q53" s="440">
        <f t="shared" si="4"/>
        <v>53.1</v>
      </c>
      <c r="R53" s="381" t="str">
        <f t="shared" si="5"/>
        <v>NO</v>
      </c>
      <c r="S53" s="442" t="str">
        <f t="shared" si="6"/>
        <v>Alto</v>
      </c>
    </row>
    <row r="54" spans="1:19" s="97" customFormat="1" ht="32.1" customHeight="1" x14ac:dyDescent="0.2">
      <c r="A54" s="361" t="s">
        <v>185</v>
      </c>
      <c r="B54" s="445" t="s">
        <v>1865</v>
      </c>
      <c r="C54" s="445" t="s">
        <v>1866</v>
      </c>
      <c r="D54" s="364">
        <v>110</v>
      </c>
      <c r="E54" s="47"/>
      <c r="F54" s="47"/>
      <c r="G54" s="47"/>
      <c r="H54" s="47"/>
      <c r="I54" s="47">
        <v>97.35</v>
      </c>
      <c r="J54" s="47"/>
      <c r="K54" s="47"/>
      <c r="L54" s="47"/>
      <c r="M54" s="47"/>
      <c r="N54" s="47"/>
      <c r="O54" s="47"/>
      <c r="P54" s="47"/>
      <c r="Q54" s="440">
        <f t="shared" si="4"/>
        <v>97.35</v>
      </c>
      <c r="R54" s="381" t="str">
        <f t="shared" si="5"/>
        <v>NO</v>
      </c>
      <c r="S54" s="442" t="str">
        <f t="shared" si="6"/>
        <v>Inviable Sanitariamente</v>
      </c>
    </row>
    <row r="55" spans="1:19" s="97" customFormat="1" ht="32.1" customHeight="1" x14ac:dyDescent="0.2">
      <c r="A55" s="361" t="s">
        <v>185</v>
      </c>
      <c r="B55" s="445" t="s">
        <v>1867</v>
      </c>
      <c r="C55" s="445" t="s">
        <v>1868</v>
      </c>
      <c r="D55" s="364">
        <v>55</v>
      </c>
      <c r="E55" s="47"/>
      <c r="F55" s="47"/>
      <c r="G55" s="47">
        <v>97.3</v>
      </c>
      <c r="H55" s="47"/>
      <c r="I55" s="47"/>
      <c r="J55" s="47"/>
      <c r="K55" s="47"/>
      <c r="L55" s="47"/>
      <c r="M55" s="47">
        <v>97.3</v>
      </c>
      <c r="N55" s="47"/>
      <c r="O55" s="47"/>
      <c r="P55" s="47"/>
      <c r="Q55" s="440">
        <f t="shared" si="4"/>
        <v>97.3</v>
      </c>
      <c r="R55" s="381" t="str">
        <f t="shared" si="5"/>
        <v>NO</v>
      </c>
      <c r="S55" s="442" t="str">
        <f t="shared" si="6"/>
        <v>Inviable Sanitariamente</v>
      </c>
    </row>
    <row r="56" spans="1:19" s="97" customFormat="1" ht="32.1" customHeight="1" x14ac:dyDescent="0.2">
      <c r="A56" s="361" t="s">
        <v>185</v>
      </c>
      <c r="B56" s="445" t="s">
        <v>384</v>
      </c>
      <c r="C56" s="445" t="s">
        <v>385</v>
      </c>
      <c r="D56" s="364">
        <v>169</v>
      </c>
      <c r="E56" s="47"/>
      <c r="F56" s="47"/>
      <c r="G56" s="47"/>
      <c r="H56" s="47"/>
      <c r="I56" s="47"/>
      <c r="J56" s="47">
        <v>97.35</v>
      </c>
      <c r="K56" s="47"/>
      <c r="L56" s="47"/>
      <c r="M56" s="47"/>
      <c r="N56" s="47"/>
      <c r="O56" s="47"/>
      <c r="P56" s="47"/>
      <c r="Q56" s="440">
        <f t="shared" si="4"/>
        <v>97.35</v>
      </c>
      <c r="R56" s="381" t="str">
        <f t="shared" si="5"/>
        <v>NO</v>
      </c>
      <c r="S56" s="442" t="str">
        <f t="shared" si="6"/>
        <v>Inviable Sanitariamente</v>
      </c>
    </row>
    <row r="57" spans="1:19" s="97" customFormat="1" ht="32.1" customHeight="1" x14ac:dyDescent="0.2">
      <c r="A57" s="412" t="s">
        <v>186</v>
      </c>
      <c r="B57" s="412" t="s">
        <v>1869</v>
      </c>
      <c r="C57" s="412" t="s">
        <v>1870</v>
      </c>
      <c r="D57" s="364"/>
      <c r="E57" s="47"/>
      <c r="F57" s="47"/>
      <c r="G57" s="47"/>
      <c r="H57" s="47"/>
      <c r="I57" s="47"/>
      <c r="J57" s="47"/>
      <c r="K57" s="47"/>
      <c r="L57" s="47"/>
      <c r="M57" s="47"/>
      <c r="N57" s="47"/>
      <c r="O57" s="47"/>
      <c r="P57" s="47"/>
      <c r="Q57" s="440" t="e">
        <f t="shared" si="4"/>
        <v>#DIV/0!</v>
      </c>
      <c r="R57" s="395" t="e">
        <f t="shared" si="5"/>
        <v>#DIV/0!</v>
      </c>
      <c r="S57" s="442" t="e">
        <f t="shared" si="6"/>
        <v>#DIV/0!</v>
      </c>
    </row>
    <row r="58" spans="1:19" s="97" customFormat="1" ht="32.1" customHeight="1" x14ac:dyDescent="0.2">
      <c r="A58" s="412" t="s">
        <v>186</v>
      </c>
      <c r="B58" s="412" t="s">
        <v>1871</v>
      </c>
      <c r="C58" s="412" t="s">
        <v>1872</v>
      </c>
      <c r="D58" s="364"/>
      <c r="E58" s="47"/>
      <c r="F58" s="47"/>
      <c r="G58" s="47"/>
      <c r="H58" s="47"/>
      <c r="I58" s="47"/>
      <c r="J58" s="47"/>
      <c r="K58" s="47"/>
      <c r="L58" s="47"/>
      <c r="M58" s="47"/>
      <c r="N58" s="47"/>
      <c r="O58" s="47"/>
      <c r="P58" s="47"/>
      <c r="Q58" s="440" t="e">
        <f t="shared" si="4"/>
        <v>#DIV/0!</v>
      </c>
      <c r="R58" s="395" t="e">
        <f t="shared" si="5"/>
        <v>#DIV/0!</v>
      </c>
      <c r="S58" s="442" t="e">
        <f t="shared" si="6"/>
        <v>#DIV/0!</v>
      </c>
    </row>
    <row r="59" spans="1:19" s="97" customFormat="1" ht="32.1" customHeight="1" x14ac:dyDescent="0.2">
      <c r="A59" s="412" t="s">
        <v>186</v>
      </c>
      <c r="B59" s="412" t="s">
        <v>1873</v>
      </c>
      <c r="C59" s="412" t="s">
        <v>1874</v>
      </c>
      <c r="D59" s="364"/>
      <c r="E59" s="47"/>
      <c r="F59" s="47"/>
      <c r="G59" s="47"/>
      <c r="H59" s="47"/>
      <c r="I59" s="47"/>
      <c r="J59" s="47"/>
      <c r="K59" s="47"/>
      <c r="L59" s="47"/>
      <c r="M59" s="47"/>
      <c r="N59" s="47"/>
      <c r="O59" s="47"/>
      <c r="P59" s="47"/>
      <c r="Q59" s="440" t="e">
        <f t="shared" si="4"/>
        <v>#DIV/0!</v>
      </c>
      <c r="R59" s="395" t="e">
        <f t="shared" si="5"/>
        <v>#DIV/0!</v>
      </c>
      <c r="S59" s="442" t="e">
        <f t="shared" si="6"/>
        <v>#DIV/0!</v>
      </c>
    </row>
    <row r="60" spans="1:19" s="97" customFormat="1" ht="32.1" customHeight="1" x14ac:dyDescent="0.2">
      <c r="A60" s="412" t="s">
        <v>186</v>
      </c>
      <c r="B60" s="412" t="s">
        <v>387</v>
      </c>
      <c r="C60" s="412" t="s">
        <v>1875</v>
      </c>
      <c r="D60" s="364"/>
      <c r="E60" s="47"/>
      <c r="F60" s="47"/>
      <c r="G60" s="47"/>
      <c r="H60" s="47"/>
      <c r="I60" s="47"/>
      <c r="J60" s="47"/>
      <c r="K60" s="47"/>
      <c r="L60" s="47"/>
      <c r="M60" s="47"/>
      <c r="N60" s="47"/>
      <c r="O60" s="47"/>
      <c r="P60" s="47"/>
      <c r="Q60" s="440" t="e">
        <f t="shared" si="4"/>
        <v>#DIV/0!</v>
      </c>
      <c r="R60" s="395" t="e">
        <f t="shared" si="5"/>
        <v>#DIV/0!</v>
      </c>
      <c r="S60" s="442" t="e">
        <f t="shared" si="6"/>
        <v>#DIV/0!</v>
      </c>
    </row>
    <row r="61" spans="1:19" s="97" customFormat="1" ht="32.1" customHeight="1" x14ac:dyDescent="0.2">
      <c r="A61" s="412" t="s">
        <v>186</v>
      </c>
      <c r="B61" s="412" t="s">
        <v>1876</v>
      </c>
      <c r="C61" s="412" t="s">
        <v>1877</v>
      </c>
      <c r="D61" s="364"/>
      <c r="E61" s="47"/>
      <c r="F61" s="47"/>
      <c r="G61" s="47"/>
      <c r="H61" s="47"/>
      <c r="I61" s="47"/>
      <c r="J61" s="47"/>
      <c r="K61" s="47"/>
      <c r="L61" s="47"/>
      <c r="M61" s="47"/>
      <c r="N61" s="47"/>
      <c r="O61" s="47"/>
      <c r="P61" s="47"/>
      <c r="Q61" s="440" t="e">
        <f t="shared" si="4"/>
        <v>#DIV/0!</v>
      </c>
      <c r="R61" s="395" t="e">
        <f t="shared" si="5"/>
        <v>#DIV/0!</v>
      </c>
      <c r="S61" s="442" t="e">
        <f t="shared" si="6"/>
        <v>#DIV/0!</v>
      </c>
    </row>
    <row r="62" spans="1:19" s="97" customFormat="1" ht="32.1" customHeight="1" x14ac:dyDescent="0.2">
      <c r="A62" s="412" t="s">
        <v>186</v>
      </c>
      <c r="B62" s="412" t="s">
        <v>1878</v>
      </c>
      <c r="C62" s="412" t="s">
        <v>1879</v>
      </c>
      <c r="D62" s="364">
        <v>280</v>
      </c>
      <c r="E62" s="47"/>
      <c r="F62" s="47"/>
      <c r="G62" s="47"/>
      <c r="H62" s="47"/>
      <c r="I62" s="47"/>
      <c r="J62" s="47"/>
      <c r="K62" s="47"/>
      <c r="L62" s="47"/>
      <c r="M62" s="47">
        <v>80</v>
      </c>
      <c r="N62" s="47"/>
      <c r="O62" s="47"/>
      <c r="P62" s="47"/>
      <c r="Q62" s="440">
        <f t="shared" si="4"/>
        <v>80</v>
      </c>
      <c r="R62" s="434" t="str">
        <f t="shared" si="5"/>
        <v>NO</v>
      </c>
      <c r="S62" s="442" t="str">
        <f t="shared" si="6"/>
        <v>Alto</v>
      </c>
    </row>
    <row r="63" spans="1:19" s="97" customFormat="1" ht="32.1" customHeight="1" x14ac:dyDescent="0.2">
      <c r="A63" s="412" t="s">
        <v>186</v>
      </c>
      <c r="B63" s="412" t="s">
        <v>1880</v>
      </c>
      <c r="C63" s="412" t="s">
        <v>1881</v>
      </c>
      <c r="D63" s="364"/>
      <c r="E63" s="47"/>
      <c r="F63" s="47"/>
      <c r="G63" s="47"/>
      <c r="H63" s="47"/>
      <c r="I63" s="47"/>
      <c r="J63" s="47"/>
      <c r="K63" s="47"/>
      <c r="L63" s="47"/>
      <c r="M63" s="47"/>
      <c r="N63" s="47"/>
      <c r="O63" s="47"/>
      <c r="P63" s="47"/>
      <c r="Q63" s="440" t="e">
        <f t="shared" si="4"/>
        <v>#DIV/0!</v>
      </c>
      <c r="R63" s="395" t="e">
        <f t="shared" si="5"/>
        <v>#DIV/0!</v>
      </c>
      <c r="S63" s="442" t="e">
        <f t="shared" si="6"/>
        <v>#DIV/0!</v>
      </c>
    </row>
    <row r="64" spans="1:19" s="97" customFormat="1" ht="32.1" customHeight="1" x14ac:dyDescent="0.2">
      <c r="A64" s="412" t="s">
        <v>186</v>
      </c>
      <c r="B64" s="412" t="s">
        <v>1882</v>
      </c>
      <c r="C64" s="412" t="s">
        <v>1883</v>
      </c>
      <c r="D64" s="364">
        <v>46</v>
      </c>
      <c r="E64" s="47"/>
      <c r="F64" s="47"/>
      <c r="G64" s="47"/>
      <c r="H64" s="47"/>
      <c r="I64" s="47"/>
      <c r="J64" s="47"/>
      <c r="K64" s="47"/>
      <c r="L64" s="47"/>
      <c r="M64" s="47">
        <v>94.6</v>
      </c>
      <c r="N64" s="47"/>
      <c r="O64" s="47"/>
      <c r="P64" s="47"/>
      <c r="Q64" s="440">
        <f t="shared" si="4"/>
        <v>94.6</v>
      </c>
      <c r="R64" s="434" t="str">
        <f t="shared" si="5"/>
        <v>NO</v>
      </c>
      <c r="S64" s="442" t="str">
        <f t="shared" si="6"/>
        <v>Inviable Sanitariamente</v>
      </c>
    </row>
    <row r="65" spans="1:16384" s="97" customFormat="1" ht="32.1" customHeight="1" x14ac:dyDescent="0.2">
      <c r="A65" s="412" t="s">
        <v>186</v>
      </c>
      <c r="B65" s="412" t="s">
        <v>1884</v>
      </c>
      <c r="C65" s="412" t="s">
        <v>1885</v>
      </c>
      <c r="D65" s="364"/>
      <c r="E65" s="47"/>
      <c r="F65" s="47"/>
      <c r="G65" s="47"/>
      <c r="H65" s="47"/>
      <c r="I65" s="47"/>
      <c r="J65" s="47"/>
      <c r="K65" s="47"/>
      <c r="L65" s="47"/>
      <c r="M65" s="47"/>
      <c r="N65" s="47"/>
      <c r="O65" s="47"/>
      <c r="P65" s="47"/>
      <c r="Q65" s="440" t="e">
        <f t="shared" si="4"/>
        <v>#DIV/0!</v>
      </c>
      <c r="R65" s="395" t="e">
        <f t="shared" si="5"/>
        <v>#DIV/0!</v>
      </c>
      <c r="S65" s="442" t="e">
        <f t="shared" si="6"/>
        <v>#DIV/0!</v>
      </c>
    </row>
    <row r="66" spans="1:16384" s="97" customFormat="1" ht="32.1" customHeight="1" x14ac:dyDescent="0.2">
      <c r="A66" s="412" t="s">
        <v>186</v>
      </c>
      <c r="B66" s="412" t="s">
        <v>1886</v>
      </c>
      <c r="C66" s="412" t="s">
        <v>1887</v>
      </c>
      <c r="D66" s="364"/>
      <c r="E66" s="47"/>
      <c r="F66" s="47"/>
      <c r="G66" s="47"/>
      <c r="H66" s="47"/>
      <c r="I66" s="47"/>
      <c r="J66" s="47"/>
      <c r="K66" s="47"/>
      <c r="L66" s="47"/>
      <c r="M66" s="47"/>
      <c r="N66" s="47"/>
      <c r="O66" s="47"/>
      <c r="P66" s="47"/>
      <c r="Q66" s="440" t="e">
        <f t="shared" si="4"/>
        <v>#DIV/0!</v>
      </c>
      <c r="R66" s="395" t="e">
        <f t="shared" si="5"/>
        <v>#DIV/0!</v>
      </c>
      <c r="S66" s="442" t="e">
        <f t="shared" si="6"/>
        <v>#DIV/0!</v>
      </c>
    </row>
    <row r="67" spans="1:16384" s="97" customFormat="1" ht="32.1" customHeight="1" x14ac:dyDescent="0.2">
      <c r="A67" s="412" t="s">
        <v>186</v>
      </c>
      <c r="B67" s="412" t="s">
        <v>1442</v>
      </c>
      <c r="C67" s="412" t="s">
        <v>1888</v>
      </c>
      <c r="D67" s="364"/>
      <c r="E67" s="47"/>
      <c r="F67" s="47"/>
      <c r="G67" s="47"/>
      <c r="H67" s="47"/>
      <c r="I67" s="47"/>
      <c r="J67" s="47"/>
      <c r="K67" s="47"/>
      <c r="L67" s="47"/>
      <c r="M67" s="47"/>
      <c r="N67" s="47"/>
      <c r="O67" s="47"/>
      <c r="P67" s="47"/>
      <c r="Q67" s="440" t="e">
        <f t="shared" si="4"/>
        <v>#DIV/0!</v>
      </c>
      <c r="R67" s="395" t="e">
        <f t="shared" si="5"/>
        <v>#DIV/0!</v>
      </c>
      <c r="S67" s="442" t="e">
        <f t="shared" si="6"/>
        <v>#DIV/0!</v>
      </c>
    </row>
    <row r="68" spans="1:16384" s="97" customFormat="1" ht="32.1" customHeight="1" x14ac:dyDescent="0.2">
      <c r="A68" s="412" t="s">
        <v>186</v>
      </c>
      <c r="B68" s="412" t="s">
        <v>1889</v>
      </c>
      <c r="C68" s="412" t="s">
        <v>1890</v>
      </c>
      <c r="D68" s="364">
        <v>35</v>
      </c>
      <c r="E68" s="47"/>
      <c r="F68" s="47"/>
      <c r="G68" s="47"/>
      <c r="H68" s="47"/>
      <c r="I68" s="47"/>
      <c r="J68" s="47"/>
      <c r="K68" s="47"/>
      <c r="L68" s="47"/>
      <c r="M68" s="47">
        <v>91.2</v>
      </c>
      <c r="N68" s="47"/>
      <c r="O68" s="47"/>
      <c r="P68" s="47"/>
      <c r="Q68" s="440">
        <f t="shared" si="4"/>
        <v>91.2</v>
      </c>
      <c r="R68" s="434" t="str">
        <f t="shared" si="5"/>
        <v>NO</v>
      </c>
      <c r="S68" s="442" t="str">
        <f t="shared" si="6"/>
        <v>Inviable Sanitariamente</v>
      </c>
    </row>
    <row r="69" spans="1:16384" s="97" customFormat="1" ht="32.1" customHeight="1" x14ac:dyDescent="0.2">
      <c r="A69" s="412" t="s">
        <v>186</v>
      </c>
      <c r="B69" s="412" t="s">
        <v>647</v>
      </c>
      <c r="C69" s="412" t="s">
        <v>1891</v>
      </c>
      <c r="D69" s="364"/>
      <c r="E69" s="47"/>
      <c r="F69" s="47"/>
      <c r="G69" s="47"/>
      <c r="H69" s="47"/>
      <c r="I69" s="47"/>
      <c r="J69" s="47"/>
      <c r="K69" s="47"/>
      <c r="L69" s="47"/>
      <c r="M69" s="47"/>
      <c r="N69" s="47"/>
      <c r="O69" s="47"/>
      <c r="P69" s="47"/>
      <c r="Q69" s="440" t="e">
        <f t="shared" si="4"/>
        <v>#DIV/0!</v>
      </c>
      <c r="R69" s="395" t="e">
        <f t="shared" si="5"/>
        <v>#DIV/0!</v>
      </c>
      <c r="S69" s="442" t="e">
        <f t="shared" si="6"/>
        <v>#DIV/0!</v>
      </c>
    </row>
    <row r="70" spans="1:16384" s="97" customFormat="1" ht="32.1" customHeight="1" x14ac:dyDescent="0.2">
      <c r="A70" s="412" t="s">
        <v>186</v>
      </c>
      <c r="B70" s="412" t="s">
        <v>17</v>
      </c>
      <c r="C70" s="412" t="s">
        <v>1892</v>
      </c>
      <c r="D70" s="364"/>
      <c r="E70" s="47"/>
      <c r="F70" s="47"/>
      <c r="G70" s="47"/>
      <c r="H70" s="47"/>
      <c r="I70" s="47"/>
      <c r="J70" s="47"/>
      <c r="K70" s="47"/>
      <c r="L70" s="47"/>
      <c r="M70" s="47"/>
      <c r="N70" s="47"/>
      <c r="O70" s="47"/>
      <c r="P70" s="47"/>
      <c r="Q70" s="440" t="e">
        <f t="shared" si="4"/>
        <v>#DIV/0!</v>
      </c>
      <c r="R70" s="395" t="e">
        <f t="shared" si="5"/>
        <v>#DIV/0!</v>
      </c>
      <c r="S70" s="442" t="e">
        <f t="shared" si="6"/>
        <v>#DIV/0!</v>
      </c>
    </row>
    <row r="71" spans="1:16384" s="97" customFormat="1" ht="32.1" customHeight="1" x14ac:dyDescent="0.2">
      <c r="A71" s="447" t="s">
        <v>186</v>
      </c>
      <c r="B71" s="448" t="s">
        <v>71</v>
      </c>
      <c r="C71" s="448" t="s">
        <v>386</v>
      </c>
      <c r="D71" s="449">
        <v>600</v>
      </c>
      <c r="E71" s="450"/>
      <c r="F71" s="450"/>
      <c r="G71" s="450"/>
      <c r="H71" s="450"/>
      <c r="I71" s="450"/>
      <c r="J71" s="450"/>
      <c r="K71" s="450"/>
      <c r="L71" s="450"/>
      <c r="M71" s="450">
        <v>90.4</v>
      </c>
      <c r="N71" s="450"/>
      <c r="O71" s="450"/>
      <c r="P71" s="450"/>
      <c r="Q71" s="451">
        <f t="shared" si="4"/>
        <v>90.4</v>
      </c>
      <c r="R71" s="452" t="str">
        <f t="shared" si="5"/>
        <v>NO</v>
      </c>
      <c r="S71" s="453" t="str">
        <f t="shared" si="6"/>
        <v>Inviable Sanitariamente</v>
      </c>
    </row>
    <row r="72" spans="1:16384" s="144" customFormat="1" ht="32.1" customHeight="1" x14ac:dyDescent="0.2">
      <c r="A72" s="412" t="s">
        <v>186</v>
      </c>
      <c r="B72" s="445" t="s">
        <v>4079</v>
      </c>
      <c r="C72" s="445" t="s">
        <v>4080</v>
      </c>
      <c r="D72" s="364"/>
      <c r="E72" s="47"/>
      <c r="F72" s="47"/>
      <c r="G72" s="47"/>
      <c r="H72" s="47"/>
      <c r="I72" s="47"/>
      <c r="J72" s="47"/>
      <c r="K72" s="47"/>
      <c r="L72" s="47"/>
      <c r="M72" s="47"/>
      <c r="N72" s="47"/>
      <c r="O72" s="47"/>
      <c r="P72" s="47"/>
      <c r="Q72" s="440" t="e">
        <f t="shared" si="4"/>
        <v>#DIV/0!</v>
      </c>
      <c r="R72" s="395" t="e">
        <f t="shared" si="5"/>
        <v>#DIV/0!</v>
      </c>
      <c r="S72" s="442" t="e">
        <f t="shared" si="6"/>
        <v>#DIV/0!</v>
      </c>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97"/>
      <c r="GB72" s="97"/>
      <c r="GC72" s="97"/>
      <c r="GD72" s="97"/>
      <c r="GE72" s="97"/>
      <c r="GF72" s="97"/>
      <c r="GG72" s="97"/>
      <c r="GH72" s="97"/>
      <c r="GI72" s="97"/>
      <c r="GJ72" s="97"/>
      <c r="GK72" s="97"/>
      <c r="GL72" s="97"/>
      <c r="GM72" s="97"/>
      <c r="GN72" s="97"/>
      <c r="GO72" s="97"/>
      <c r="GP72" s="97"/>
      <c r="GQ72" s="97"/>
      <c r="GR72" s="97"/>
      <c r="GS72" s="97"/>
      <c r="GT72" s="97"/>
      <c r="GU72" s="97"/>
      <c r="GV72" s="97"/>
      <c r="GW72" s="97"/>
      <c r="GX72" s="97"/>
      <c r="GY72" s="97"/>
      <c r="GZ72" s="97"/>
      <c r="HA72" s="97"/>
      <c r="HB72" s="97"/>
      <c r="HC72" s="97"/>
      <c r="HD72" s="97"/>
      <c r="HE72" s="97"/>
      <c r="HF72" s="97"/>
      <c r="HG72" s="97"/>
      <c r="HH72" s="97"/>
      <c r="HI72" s="97"/>
      <c r="HJ72" s="97"/>
      <c r="HK72" s="97"/>
      <c r="HL72" s="97"/>
      <c r="HM72" s="97"/>
      <c r="HN72" s="97"/>
      <c r="HO72" s="97"/>
      <c r="HP72" s="97"/>
      <c r="HQ72" s="97"/>
      <c r="HR72" s="97"/>
      <c r="HS72" s="97"/>
      <c r="HT72" s="97"/>
      <c r="HU72" s="97"/>
      <c r="HV72" s="97"/>
      <c r="HW72" s="97"/>
      <c r="HX72" s="97"/>
      <c r="HY72" s="97"/>
      <c r="HZ72" s="97"/>
      <c r="IA72" s="97"/>
      <c r="IB72" s="97"/>
      <c r="IC72" s="97"/>
      <c r="ID72" s="97"/>
      <c r="IE72" s="97"/>
      <c r="IF72" s="97"/>
      <c r="IG72" s="97"/>
      <c r="IH72" s="97"/>
      <c r="II72" s="97"/>
      <c r="IJ72" s="97"/>
      <c r="IK72" s="97"/>
      <c r="IL72" s="97"/>
      <c r="IM72" s="97"/>
      <c r="IN72" s="97"/>
      <c r="IO72" s="97"/>
      <c r="IP72" s="97"/>
      <c r="IQ72" s="97"/>
      <c r="IR72" s="97"/>
      <c r="IS72" s="97"/>
      <c r="IT72" s="97"/>
      <c r="IU72" s="97"/>
      <c r="IV72" s="97"/>
      <c r="IW72" s="97"/>
      <c r="IX72" s="97"/>
      <c r="IY72" s="97"/>
      <c r="IZ72" s="97"/>
      <c r="JA72" s="97"/>
      <c r="JB72" s="97"/>
      <c r="JC72" s="97"/>
      <c r="JD72" s="97"/>
      <c r="JE72" s="97"/>
      <c r="JF72" s="97"/>
      <c r="JG72" s="97"/>
      <c r="JH72" s="97"/>
      <c r="JI72" s="97"/>
      <c r="JJ72" s="97"/>
      <c r="JK72" s="97"/>
      <c r="JL72" s="97"/>
      <c r="JM72" s="97"/>
      <c r="JN72" s="97"/>
      <c r="JO72" s="97"/>
      <c r="JP72" s="97"/>
      <c r="JQ72" s="97"/>
      <c r="JR72" s="97"/>
      <c r="JS72" s="97"/>
      <c r="JT72" s="97"/>
      <c r="JU72" s="97"/>
      <c r="JV72" s="97"/>
      <c r="JW72" s="97"/>
      <c r="JX72" s="97"/>
      <c r="JY72" s="97"/>
      <c r="JZ72" s="97"/>
      <c r="KA72" s="97"/>
      <c r="KB72" s="97"/>
      <c r="KC72" s="97"/>
      <c r="KD72" s="97"/>
      <c r="KE72" s="97"/>
      <c r="KF72" s="97"/>
      <c r="KG72" s="97"/>
      <c r="KH72" s="97"/>
      <c r="KI72" s="97"/>
      <c r="KJ72" s="97"/>
      <c r="KK72" s="97"/>
      <c r="KL72" s="97"/>
      <c r="KM72" s="97"/>
      <c r="KN72" s="97"/>
      <c r="KO72" s="97"/>
      <c r="KP72" s="97"/>
      <c r="KQ72" s="97"/>
      <c r="KR72" s="97"/>
      <c r="KS72" s="97"/>
      <c r="KT72" s="97"/>
      <c r="KU72" s="97"/>
      <c r="KV72" s="97"/>
      <c r="KW72" s="97"/>
      <c r="KX72" s="97"/>
      <c r="KY72" s="97"/>
      <c r="KZ72" s="97"/>
      <c r="LA72" s="97"/>
      <c r="LB72" s="97"/>
      <c r="LC72" s="97"/>
      <c r="LD72" s="97"/>
      <c r="LE72" s="97"/>
      <c r="LF72" s="97"/>
      <c r="LG72" s="97"/>
      <c r="LH72" s="97"/>
      <c r="LI72" s="97"/>
      <c r="LJ72" s="97"/>
      <c r="LK72" s="97"/>
      <c r="LL72" s="97"/>
      <c r="LM72" s="97"/>
      <c r="LN72" s="97"/>
      <c r="LO72" s="97"/>
      <c r="LP72" s="97"/>
      <c r="LQ72" s="97"/>
      <c r="LR72" s="97"/>
      <c r="LS72" s="97"/>
      <c r="LT72" s="97"/>
      <c r="LU72" s="97"/>
      <c r="LV72" s="97"/>
      <c r="LW72" s="97"/>
      <c r="LX72" s="97"/>
      <c r="LY72" s="97"/>
      <c r="LZ72" s="97"/>
      <c r="MA72" s="97"/>
      <c r="MB72" s="97"/>
      <c r="MC72" s="97"/>
      <c r="MD72" s="97"/>
      <c r="ME72" s="97"/>
      <c r="MF72" s="97"/>
      <c r="MG72" s="97"/>
      <c r="MH72" s="97"/>
      <c r="MI72" s="97"/>
      <c r="MJ72" s="97"/>
      <c r="MK72" s="97"/>
      <c r="ML72" s="97"/>
      <c r="MM72" s="97"/>
      <c r="MN72" s="97"/>
      <c r="MO72" s="97"/>
      <c r="MP72" s="97"/>
      <c r="MQ72" s="97"/>
      <c r="MR72" s="97"/>
      <c r="MS72" s="97"/>
      <c r="MT72" s="97"/>
      <c r="MU72" s="97"/>
      <c r="MV72" s="97"/>
      <c r="MW72" s="97"/>
      <c r="MX72" s="97"/>
      <c r="MY72" s="97"/>
      <c r="MZ72" s="97"/>
      <c r="NA72" s="97"/>
      <c r="NB72" s="97"/>
      <c r="NC72" s="97"/>
      <c r="ND72" s="97"/>
      <c r="NE72" s="97"/>
      <c r="NF72" s="97"/>
      <c r="NG72" s="97"/>
      <c r="NH72" s="97"/>
      <c r="NI72" s="97"/>
      <c r="NJ72" s="97"/>
      <c r="NK72" s="97"/>
      <c r="NL72" s="97"/>
      <c r="NM72" s="97"/>
      <c r="NN72" s="97"/>
      <c r="NO72" s="97"/>
      <c r="NP72" s="97"/>
      <c r="NQ72" s="97"/>
      <c r="NR72" s="97"/>
      <c r="NS72" s="97"/>
      <c r="NT72" s="97"/>
      <c r="NU72" s="97"/>
      <c r="NV72" s="97"/>
      <c r="NW72" s="97"/>
      <c r="NX72" s="97"/>
      <c r="NY72" s="97"/>
      <c r="NZ72" s="97"/>
      <c r="OA72" s="97"/>
      <c r="OB72" s="97"/>
      <c r="OC72" s="97"/>
      <c r="OD72" s="97"/>
      <c r="OE72" s="97"/>
      <c r="OF72" s="97"/>
      <c r="OG72" s="97"/>
      <c r="OH72" s="97"/>
      <c r="OI72" s="97"/>
      <c r="OJ72" s="97"/>
      <c r="OK72" s="97"/>
      <c r="OL72" s="97"/>
      <c r="OM72" s="97"/>
      <c r="ON72" s="97"/>
      <c r="OO72" s="97"/>
      <c r="OP72" s="97"/>
      <c r="OQ72" s="97"/>
      <c r="OR72" s="97"/>
      <c r="OS72" s="97"/>
      <c r="OT72" s="97"/>
      <c r="OU72" s="97"/>
      <c r="OV72" s="97"/>
      <c r="OW72" s="97"/>
      <c r="OX72" s="97"/>
      <c r="OY72" s="97"/>
      <c r="OZ72" s="97"/>
      <c r="PA72" s="97"/>
      <c r="PB72" s="97"/>
      <c r="PC72" s="97"/>
      <c r="PD72" s="97"/>
      <c r="PE72" s="97"/>
      <c r="PF72" s="97"/>
      <c r="PG72" s="97"/>
      <c r="PH72" s="97"/>
      <c r="PI72" s="97"/>
      <c r="PJ72" s="97"/>
      <c r="PK72" s="97"/>
      <c r="PL72" s="97"/>
      <c r="PM72" s="97"/>
      <c r="PN72" s="97"/>
      <c r="PO72" s="97"/>
      <c r="PP72" s="97"/>
      <c r="PQ72" s="97"/>
      <c r="PR72" s="97"/>
      <c r="PS72" s="97"/>
      <c r="PT72" s="97"/>
      <c r="PU72" s="97"/>
      <c r="PV72" s="97"/>
      <c r="PW72" s="97"/>
      <c r="PX72" s="97"/>
      <c r="PY72" s="97"/>
      <c r="PZ72" s="97"/>
      <c r="QA72" s="97"/>
      <c r="QB72" s="97"/>
      <c r="QC72" s="97"/>
      <c r="QD72" s="97"/>
      <c r="QE72" s="97"/>
      <c r="QF72" s="97"/>
      <c r="QG72" s="97"/>
      <c r="QH72" s="97"/>
      <c r="QI72" s="97"/>
      <c r="QJ72" s="97"/>
      <c r="QK72" s="97"/>
      <c r="QL72" s="97"/>
      <c r="QM72" s="97"/>
      <c r="QN72" s="97"/>
      <c r="QO72" s="97"/>
      <c r="QP72" s="97"/>
      <c r="QQ72" s="97"/>
      <c r="QR72" s="97"/>
      <c r="QS72" s="97"/>
      <c r="QT72" s="97"/>
      <c r="QU72" s="97"/>
      <c r="QV72" s="97"/>
      <c r="QW72" s="97"/>
      <c r="QX72" s="97"/>
      <c r="QY72" s="97"/>
      <c r="QZ72" s="97"/>
      <c r="RA72" s="97"/>
      <c r="RB72" s="97"/>
      <c r="RC72" s="97"/>
      <c r="RD72" s="97"/>
      <c r="RE72" s="97"/>
      <c r="RF72" s="97"/>
      <c r="RG72" s="97"/>
      <c r="RH72" s="97"/>
      <c r="RI72" s="97"/>
      <c r="RJ72" s="97"/>
      <c r="RK72" s="97"/>
      <c r="RL72" s="97"/>
      <c r="RM72" s="97"/>
      <c r="RN72" s="97"/>
      <c r="RO72" s="97"/>
      <c r="RP72" s="97"/>
      <c r="RQ72" s="97"/>
      <c r="RR72" s="97"/>
      <c r="RS72" s="97"/>
      <c r="RT72" s="97"/>
      <c r="RU72" s="97"/>
      <c r="RV72" s="97"/>
      <c r="RW72" s="97"/>
      <c r="RX72" s="97"/>
      <c r="RY72" s="97"/>
      <c r="RZ72" s="97"/>
      <c r="SA72" s="97"/>
      <c r="SB72" s="97"/>
      <c r="SC72" s="97"/>
      <c r="SD72" s="97"/>
      <c r="SE72" s="97"/>
      <c r="SF72" s="97"/>
      <c r="SG72" s="97"/>
      <c r="SH72" s="97"/>
      <c r="SI72" s="97"/>
      <c r="SJ72" s="97"/>
      <c r="SK72" s="97"/>
      <c r="SL72" s="97"/>
      <c r="SM72" s="97"/>
      <c r="SN72" s="97"/>
      <c r="SO72" s="97"/>
      <c r="SP72" s="97"/>
      <c r="SQ72" s="97"/>
      <c r="SR72" s="97"/>
      <c r="SS72" s="97"/>
      <c r="ST72" s="97"/>
      <c r="SU72" s="97"/>
      <c r="SV72" s="97"/>
      <c r="SW72" s="97"/>
      <c r="SX72" s="97"/>
      <c r="SY72" s="97"/>
      <c r="SZ72" s="97"/>
      <c r="TA72" s="97"/>
      <c r="TB72" s="97"/>
      <c r="TC72" s="97"/>
      <c r="TD72" s="97"/>
      <c r="TE72" s="97"/>
      <c r="TF72" s="97"/>
      <c r="TG72" s="97"/>
      <c r="TH72" s="97"/>
      <c r="TI72" s="97"/>
      <c r="TJ72" s="97"/>
      <c r="TK72" s="97"/>
      <c r="TL72" s="97"/>
      <c r="TM72" s="97"/>
      <c r="TN72" s="97"/>
      <c r="TO72" s="97"/>
      <c r="TP72" s="97"/>
      <c r="TQ72" s="97"/>
      <c r="TR72" s="97"/>
      <c r="TS72" s="97"/>
      <c r="TT72" s="97"/>
      <c r="TU72" s="97"/>
      <c r="TV72" s="97"/>
      <c r="TW72" s="97"/>
      <c r="TX72" s="97"/>
      <c r="TY72" s="97"/>
      <c r="TZ72" s="97"/>
      <c r="UA72" s="97"/>
      <c r="UB72" s="97"/>
      <c r="UC72" s="97"/>
      <c r="UD72" s="97"/>
      <c r="UE72" s="97"/>
      <c r="UF72" s="97"/>
      <c r="UG72" s="97"/>
      <c r="UH72" s="97"/>
      <c r="UI72" s="97"/>
      <c r="UJ72" s="97"/>
      <c r="UK72" s="97"/>
      <c r="UL72" s="97"/>
      <c r="UM72" s="97"/>
      <c r="UN72" s="97"/>
      <c r="UO72" s="97"/>
      <c r="UP72" s="97"/>
      <c r="UQ72" s="97"/>
      <c r="UR72" s="97"/>
      <c r="US72" s="97"/>
      <c r="UT72" s="97"/>
      <c r="UU72" s="97"/>
      <c r="UV72" s="97"/>
      <c r="UW72" s="97"/>
      <c r="UX72" s="97"/>
      <c r="UY72" s="97"/>
      <c r="UZ72" s="97"/>
      <c r="VA72" s="97"/>
      <c r="VB72" s="97"/>
      <c r="VC72" s="97"/>
      <c r="VD72" s="97"/>
      <c r="VE72" s="97"/>
      <c r="VF72" s="97"/>
      <c r="VG72" s="97"/>
      <c r="VH72" s="97"/>
      <c r="VI72" s="97"/>
      <c r="VJ72" s="97"/>
      <c r="VK72" s="97"/>
      <c r="VL72" s="97"/>
      <c r="VM72" s="97"/>
      <c r="VN72" s="97"/>
      <c r="VO72" s="97"/>
      <c r="VP72" s="97"/>
      <c r="VQ72" s="97"/>
      <c r="VR72" s="97"/>
      <c r="VS72" s="97"/>
      <c r="VT72" s="97"/>
      <c r="VU72" s="97"/>
      <c r="VV72" s="97"/>
      <c r="VW72" s="97"/>
      <c r="VX72" s="97"/>
      <c r="VY72" s="97"/>
      <c r="VZ72" s="97"/>
      <c r="WA72" s="97"/>
      <c r="WB72" s="97"/>
      <c r="WC72" s="97"/>
      <c r="WD72" s="97"/>
      <c r="WE72" s="97"/>
      <c r="WF72" s="97"/>
      <c r="WG72" s="97"/>
      <c r="WH72" s="97"/>
      <c r="WI72" s="97"/>
      <c r="WJ72" s="97"/>
      <c r="WK72" s="97"/>
      <c r="WL72" s="97"/>
      <c r="WM72" s="97"/>
      <c r="WN72" s="97"/>
      <c r="WO72" s="97"/>
      <c r="WP72" s="97"/>
      <c r="WQ72" s="97"/>
      <c r="WR72" s="97"/>
      <c r="WS72" s="97"/>
      <c r="WT72" s="97"/>
      <c r="WU72" s="97"/>
      <c r="WV72" s="97"/>
      <c r="WW72" s="97"/>
      <c r="WX72" s="97"/>
      <c r="WY72" s="97"/>
      <c r="WZ72" s="97"/>
      <c r="XA72" s="97"/>
      <c r="XB72" s="97"/>
      <c r="XC72" s="97"/>
      <c r="XD72" s="97"/>
      <c r="XE72" s="97"/>
      <c r="XF72" s="97"/>
      <c r="XG72" s="97"/>
      <c r="XH72" s="97"/>
      <c r="XI72" s="97"/>
      <c r="XJ72" s="97"/>
      <c r="XK72" s="97"/>
      <c r="XL72" s="97"/>
      <c r="XM72" s="97"/>
      <c r="XN72" s="97"/>
      <c r="XO72" s="97"/>
      <c r="XP72" s="97"/>
      <c r="XQ72" s="97"/>
      <c r="XR72" s="97"/>
      <c r="XS72" s="97"/>
      <c r="XT72" s="97"/>
      <c r="XU72" s="97"/>
      <c r="XV72" s="97"/>
      <c r="XW72" s="97"/>
      <c r="XX72" s="97"/>
      <c r="XY72" s="97"/>
      <c r="XZ72" s="97"/>
      <c r="YA72" s="97"/>
      <c r="YB72" s="97"/>
      <c r="YC72" s="97"/>
      <c r="YD72" s="97"/>
      <c r="YE72" s="97"/>
      <c r="YF72" s="97"/>
      <c r="YG72" s="97"/>
      <c r="YH72" s="97"/>
      <c r="YI72" s="97"/>
      <c r="YJ72" s="97"/>
      <c r="YK72" s="97"/>
      <c r="YL72" s="97"/>
      <c r="YM72" s="97"/>
      <c r="YN72" s="97"/>
      <c r="YO72" s="97"/>
      <c r="YP72" s="97"/>
      <c r="YQ72" s="97"/>
      <c r="YR72" s="97"/>
      <c r="YS72" s="97"/>
      <c r="YT72" s="97"/>
      <c r="YU72" s="97"/>
      <c r="YV72" s="97"/>
      <c r="YW72" s="97"/>
      <c r="YX72" s="97"/>
      <c r="YY72" s="97"/>
      <c r="YZ72" s="97"/>
      <c r="ZA72" s="97"/>
      <c r="ZB72" s="97"/>
      <c r="ZC72" s="97"/>
      <c r="ZD72" s="97"/>
      <c r="ZE72" s="97"/>
      <c r="ZF72" s="97"/>
      <c r="ZG72" s="97"/>
      <c r="ZH72" s="97"/>
      <c r="ZI72" s="97"/>
      <c r="ZJ72" s="97"/>
      <c r="ZK72" s="97"/>
      <c r="ZL72" s="97"/>
      <c r="ZM72" s="97"/>
      <c r="ZN72" s="97"/>
      <c r="ZO72" s="97"/>
      <c r="ZP72" s="97"/>
      <c r="ZQ72" s="97"/>
      <c r="ZR72" s="97"/>
      <c r="ZS72" s="97"/>
      <c r="ZT72" s="97"/>
      <c r="ZU72" s="97"/>
      <c r="ZV72" s="97"/>
      <c r="ZW72" s="97"/>
      <c r="ZX72" s="97"/>
      <c r="ZY72" s="97"/>
      <c r="ZZ72" s="97"/>
      <c r="AAA72" s="97"/>
      <c r="AAB72" s="97"/>
      <c r="AAC72" s="97"/>
      <c r="AAD72" s="97"/>
      <c r="AAE72" s="97"/>
      <c r="AAF72" s="97"/>
      <c r="AAG72" s="97"/>
      <c r="AAH72" s="97"/>
      <c r="AAI72" s="97"/>
      <c r="AAJ72" s="97"/>
      <c r="AAK72" s="97"/>
      <c r="AAL72" s="97"/>
      <c r="AAM72" s="97"/>
      <c r="AAN72" s="97"/>
      <c r="AAO72" s="97"/>
      <c r="AAP72" s="97"/>
      <c r="AAQ72" s="97"/>
      <c r="AAR72" s="97"/>
      <c r="AAS72" s="97"/>
      <c r="AAT72" s="97"/>
      <c r="AAU72" s="97"/>
      <c r="AAV72" s="97"/>
      <c r="AAW72" s="97"/>
      <c r="AAX72" s="97"/>
      <c r="AAY72" s="97"/>
      <c r="AAZ72" s="97"/>
      <c r="ABA72" s="97"/>
      <c r="ABB72" s="97"/>
      <c r="ABC72" s="97"/>
      <c r="ABD72" s="97"/>
      <c r="ABE72" s="97"/>
      <c r="ABF72" s="97"/>
      <c r="ABG72" s="97"/>
      <c r="ABH72" s="97"/>
      <c r="ABI72" s="97"/>
      <c r="ABJ72" s="97"/>
      <c r="ABK72" s="97"/>
      <c r="ABL72" s="97"/>
      <c r="ABM72" s="97"/>
      <c r="ABN72" s="97"/>
      <c r="ABO72" s="97"/>
      <c r="ABP72" s="97"/>
      <c r="ABQ72" s="97"/>
      <c r="ABR72" s="97"/>
      <c r="ABS72" s="97"/>
      <c r="ABT72" s="97"/>
      <c r="ABU72" s="97"/>
      <c r="ABV72" s="97"/>
      <c r="ABW72" s="97"/>
      <c r="ABX72" s="97"/>
      <c r="ABY72" s="97"/>
      <c r="ABZ72" s="97"/>
      <c r="ACA72" s="97"/>
      <c r="ACB72" s="97"/>
      <c r="ACC72" s="97"/>
      <c r="ACD72" s="97"/>
      <c r="ACE72" s="97"/>
      <c r="ACF72" s="97"/>
      <c r="ACG72" s="97"/>
      <c r="ACH72" s="97"/>
      <c r="ACI72" s="97"/>
      <c r="ACJ72" s="97"/>
      <c r="ACK72" s="97"/>
      <c r="ACL72" s="97"/>
      <c r="ACM72" s="97"/>
      <c r="ACN72" s="97"/>
      <c r="ACO72" s="97"/>
      <c r="ACP72" s="97"/>
      <c r="ACQ72" s="97"/>
      <c r="ACR72" s="97"/>
      <c r="ACS72" s="97"/>
      <c r="ACT72" s="97"/>
      <c r="ACU72" s="97"/>
      <c r="ACV72" s="97"/>
      <c r="ACW72" s="97"/>
      <c r="ACX72" s="97"/>
      <c r="ACY72" s="97"/>
      <c r="ACZ72" s="97"/>
      <c r="ADA72" s="97"/>
      <c r="ADB72" s="97"/>
      <c r="ADC72" s="97"/>
      <c r="ADD72" s="97"/>
      <c r="ADE72" s="97"/>
      <c r="ADF72" s="97"/>
      <c r="ADG72" s="97"/>
      <c r="ADH72" s="97"/>
      <c r="ADI72" s="97"/>
      <c r="ADJ72" s="97"/>
      <c r="ADK72" s="97"/>
      <c r="ADL72" s="97"/>
      <c r="ADM72" s="97"/>
      <c r="ADN72" s="97"/>
      <c r="ADO72" s="97"/>
      <c r="ADP72" s="97"/>
      <c r="ADQ72" s="97"/>
      <c r="ADR72" s="97"/>
      <c r="ADS72" s="97"/>
      <c r="ADT72" s="97"/>
      <c r="ADU72" s="97"/>
      <c r="ADV72" s="97"/>
      <c r="ADW72" s="97"/>
      <c r="ADX72" s="97"/>
      <c r="ADY72" s="97"/>
      <c r="ADZ72" s="97"/>
      <c r="AEA72" s="97"/>
      <c r="AEB72" s="97"/>
      <c r="AEC72" s="97"/>
      <c r="AED72" s="97"/>
      <c r="AEE72" s="97"/>
      <c r="AEF72" s="97"/>
      <c r="AEG72" s="97"/>
      <c r="AEH72" s="97"/>
      <c r="AEI72" s="97"/>
      <c r="AEJ72" s="97"/>
      <c r="AEK72" s="97"/>
      <c r="AEL72" s="97"/>
      <c r="AEM72" s="97"/>
      <c r="AEN72" s="97"/>
      <c r="AEO72" s="97"/>
      <c r="AEP72" s="97"/>
      <c r="AEQ72" s="97"/>
      <c r="AER72" s="97"/>
      <c r="AES72" s="97"/>
      <c r="AET72" s="97"/>
      <c r="AEU72" s="97"/>
      <c r="AEV72" s="97"/>
      <c r="AEW72" s="97"/>
      <c r="AEX72" s="97"/>
      <c r="AEY72" s="97"/>
      <c r="AEZ72" s="97"/>
      <c r="AFA72" s="97"/>
      <c r="AFB72" s="97"/>
      <c r="AFC72" s="97"/>
      <c r="AFD72" s="97"/>
      <c r="AFE72" s="97"/>
      <c r="AFF72" s="97"/>
      <c r="AFG72" s="97"/>
      <c r="AFH72" s="97"/>
      <c r="AFI72" s="97"/>
      <c r="AFJ72" s="97"/>
      <c r="AFK72" s="97"/>
      <c r="AFL72" s="97"/>
      <c r="AFM72" s="97"/>
      <c r="AFN72" s="97"/>
      <c r="AFO72" s="97"/>
      <c r="AFP72" s="97"/>
      <c r="AFQ72" s="97"/>
      <c r="AFR72" s="97"/>
      <c r="AFS72" s="97"/>
      <c r="AFT72" s="97"/>
      <c r="AFU72" s="97"/>
      <c r="AFV72" s="97"/>
      <c r="AFW72" s="97"/>
      <c r="AFX72" s="97"/>
      <c r="AFY72" s="97"/>
      <c r="AFZ72" s="97"/>
      <c r="AGA72" s="97"/>
      <c r="AGB72" s="97"/>
      <c r="AGC72" s="97"/>
      <c r="AGD72" s="97"/>
      <c r="AGE72" s="97"/>
      <c r="AGF72" s="97"/>
      <c r="AGG72" s="97"/>
      <c r="AGH72" s="97"/>
      <c r="AGI72" s="97"/>
      <c r="AGJ72" s="97"/>
      <c r="AGK72" s="97"/>
      <c r="AGL72" s="97"/>
      <c r="AGM72" s="97"/>
      <c r="AGN72" s="97"/>
      <c r="AGO72" s="97"/>
      <c r="AGP72" s="97"/>
      <c r="AGQ72" s="97"/>
      <c r="AGR72" s="97"/>
      <c r="AGS72" s="97"/>
      <c r="AGT72" s="97"/>
      <c r="AGU72" s="97"/>
      <c r="AGV72" s="97"/>
      <c r="AGW72" s="97"/>
      <c r="AGX72" s="97"/>
      <c r="AGY72" s="97"/>
      <c r="AGZ72" s="97"/>
      <c r="AHA72" s="97"/>
      <c r="AHB72" s="97"/>
      <c r="AHC72" s="97"/>
      <c r="AHD72" s="97"/>
      <c r="AHE72" s="97"/>
      <c r="AHF72" s="97"/>
      <c r="AHG72" s="97"/>
      <c r="AHH72" s="97"/>
      <c r="AHI72" s="97"/>
      <c r="AHJ72" s="97"/>
      <c r="AHK72" s="97"/>
      <c r="AHL72" s="97"/>
      <c r="AHM72" s="97"/>
      <c r="AHN72" s="97"/>
      <c r="AHO72" s="97"/>
      <c r="AHP72" s="97"/>
      <c r="AHQ72" s="97"/>
      <c r="AHR72" s="97"/>
      <c r="AHS72" s="97"/>
      <c r="AHT72" s="97"/>
      <c r="AHU72" s="97"/>
      <c r="AHV72" s="97"/>
      <c r="AHW72" s="97"/>
      <c r="AHX72" s="97"/>
      <c r="AHY72" s="97"/>
      <c r="AHZ72" s="97"/>
      <c r="AIA72" s="97"/>
      <c r="AIB72" s="97"/>
      <c r="AIC72" s="97"/>
      <c r="AID72" s="97"/>
      <c r="AIE72" s="97"/>
      <c r="AIF72" s="97"/>
      <c r="AIG72" s="97"/>
      <c r="AIH72" s="97"/>
      <c r="AII72" s="97"/>
      <c r="AIJ72" s="97"/>
      <c r="AIK72" s="97"/>
      <c r="AIL72" s="97"/>
      <c r="AIM72" s="97"/>
      <c r="AIN72" s="97"/>
      <c r="AIO72" s="97"/>
      <c r="AIP72" s="97"/>
      <c r="AIQ72" s="97"/>
      <c r="AIR72" s="97"/>
      <c r="AIS72" s="97"/>
      <c r="AIT72" s="97"/>
      <c r="AIU72" s="97"/>
      <c r="AIV72" s="97"/>
      <c r="AIW72" s="97"/>
      <c r="AIX72" s="97"/>
      <c r="AIY72" s="97"/>
      <c r="AIZ72" s="97"/>
      <c r="AJA72" s="97"/>
      <c r="AJB72" s="97"/>
      <c r="AJC72" s="97"/>
      <c r="AJD72" s="97"/>
      <c r="AJE72" s="97"/>
      <c r="AJF72" s="97"/>
      <c r="AJG72" s="97"/>
      <c r="AJH72" s="97"/>
      <c r="AJI72" s="97"/>
      <c r="AJJ72" s="97"/>
      <c r="AJK72" s="97"/>
      <c r="AJL72" s="97"/>
      <c r="AJM72" s="97"/>
      <c r="AJN72" s="97"/>
      <c r="AJO72" s="97"/>
      <c r="AJP72" s="97"/>
      <c r="AJQ72" s="97"/>
      <c r="AJR72" s="97"/>
      <c r="AJS72" s="97"/>
      <c r="AJT72" s="97"/>
      <c r="AJU72" s="97"/>
      <c r="AJV72" s="97"/>
      <c r="AJW72" s="97"/>
      <c r="AJX72" s="97"/>
      <c r="AJY72" s="97"/>
      <c r="AJZ72" s="97"/>
      <c r="AKA72" s="97"/>
      <c r="AKB72" s="97"/>
      <c r="AKC72" s="97"/>
      <c r="AKD72" s="97"/>
      <c r="AKE72" s="97"/>
      <c r="AKF72" s="97"/>
      <c r="AKG72" s="97"/>
      <c r="AKH72" s="97"/>
      <c r="AKI72" s="97"/>
      <c r="AKJ72" s="97"/>
      <c r="AKK72" s="97"/>
      <c r="AKL72" s="97"/>
      <c r="AKM72" s="97"/>
      <c r="AKN72" s="97"/>
      <c r="AKO72" s="97"/>
      <c r="AKP72" s="97"/>
      <c r="AKQ72" s="97"/>
      <c r="AKR72" s="97"/>
      <c r="AKS72" s="97"/>
      <c r="AKT72" s="97"/>
      <c r="AKU72" s="97"/>
      <c r="AKV72" s="97"/>
      <c r="AKW72" s="97"/>
      <c r="AKX72" s="97"/>
      <c r="AKY72" s="97"/>
      <c r="AKZ72" s="97"/>
      <c r="ALA72" s="97"/>
      <c r="ALB72" s="97"/>
      <c r="ALC72" s="97"/>
      <c r="ALD72" s="97"/>
      <c r="ALE72" s="97"/>
      <c r="ALF72" s="97"/>
      <c r="ALG72" s="97"/>
      <c r="ALH72" s="97"/>
      <c r="ALI72" s="97"/>
      <c r="ALJ72" s="97"/>
      <c r="ALK72" s="97"/>
      <c r="ALL72" s="97"/>
      <c r="ALM72" s="97"/>
      <c r="ALN72" s="97"/>
      <c r="ALO72" s="97"/>
      <c r="ALP72" s="97"/>
      <c r="ALQ72" s="97"/>
      <c r="ALR72" s="97"/>
      <c r="ALS72" s="97"/>
      <c r="ALT72" s="97"/>
      <c r="ALU72" s="97"/>
      <c r="ALV72" s="97"/>
      <c r="ALW72" s="97"/>
      <c r="ALX72" s="97"/>
      <c r="ALY72" s="97"/>
      <c r="ALZ72" s="97"/>
      <c r="AMA72" s="97"/>
      <c r="AMB72" s="97"/>
      <c r="AMC72" s="97"/>
      <c r="AMD72" s="97"/>
      <c r="AME72" s="97"/>
      <c r="AMF72" s="97"/>
      <c r="AMG72" s="97"/>
      <c r="AMH72" s="97"/>
      <c r="AMI72" s="97"/>
      <c r="AMJ72" s="97"/>
      <c r="AMK72" s="97"/>
      <c r="AML72" s="97"/>
      <c r="AMM72" s="97"/>
      <c r="AMN72" s="97"/>
      <c r="AMO72" s="97"/>
      <c r="AMP72" s="97"/>
      <c r="AMQ72" s="97"/>
      <c r="AMR72" s="97"/>
      <c r="AMS72" s="97"/>
      <c r="AMT72" s="97"/>
      <c r="AMU72" s="97"/>
      <c r="AMV72" s="97"/>
      <c r="AMW72" s="97"/>
      <c r="AMX72" s="97"/>
      <c r="AMY72" s="97"/>
      <c r="AMZ72" s="97"/>
      <c r="ANA72" s="97"/>
      <c r="ANB72" s="97"/>
      <c r="ANC72" s="97"/>
      <c r="AND72" s="97"/>
      <c r="ANE72" s="97"/>
      <c r="ANF72" s="97"/>
      <c r="ANG72" s="97"/>
      <c r="ANH72" s="97"/>
      <c r="ANI72" s="97"/>
      <c r="ANJ72" s="97"/>
      <c r="ANK72" s="97"/>
      <c r="ANL72" s="97"/>
      <c r="ANM72" s="97"/>
      <c r="ANN72" s="97"/>
      <c r="ANO72" s="97"/>
      <c r="ANP72" s="97"/>
      <c r="ANQ72" s="97"/>
      <c r="ANR72" s="97"/>
      <c r="ANS72" s="97"/>
      <c r="ANT72" s="97"/>
      <c r="ANU72" s="97"/>
      <c r="ANV72" s="97"/>
      <c r="ANW72" s="97"/>
      <c r="ANX72" s="97"/>
      <c r="ANY72" s="97"/>
      <c r="ANZ72" s="97"/>
      <c r="AOA72" s="97"/>
      <c r="AOB72" s="97"/>
      <c r="AOC72" s="97"/>
      <c r="AOD72" s="97"/>
      <c r="AOE72" s="97"/>
      <c r="AOF72" s="97"/>
      <c r="AOG72" s="97"/>
      <c r="AOH72" s="97"/>
      <c r="AOI72" s="97"/>
      <c r="AOJ72" s="97"/>
      <c r="AOK72" s="97"/>
      <c r="AOL72" s="97"/>
      <c r="AOM72" s="97"/>
      <c r="AON72" s="97"/>
      <c r="AOO72" s="97"/>
      <c r="AOP72" s="97"/>
      <c r="AOQ72" s="97"/>
      <c r="AOR72" s="97"/>
      <c r="AOS72" s="97"/>
      <c r="AOT72" s="97"/>
      <c r="AOU72" s="97"/>
      <c r="AOV72" s="97"/>
      <c r="AOW72" s="97"/>
      <c r="AOX72" s="97"/>
      <c r="AOY72" s="97"/>
      <c r="AOZ72" s="97"/>
      <c r="APA72" s="97"/>
      <c r="APB72" s="97"/>
      <c r="APC72" s="97"/>
      <c r="APD72" s="97"/>
      <c r="APE72" s="97"/>
      <c r="APF72" s="97"/>
      <c r="APG72" s="97"/>
      <c r="APH72" s="97"/>
      <c r="API72" s="97"/>
      <c r="APJ72" s="97"/>
      <c r="APK72" s="97"/>
      <c r="APL72" s="97"/>
      <c r="APM72" s="97"/>
      <c r="APN72" s="97"/>
      <c r="APO72" s="97"/>
      <c r="APP72" s="97"/>
      <c r="APQ72" s="97"/>
      <c r="APR72" s="97"/>
      <c r="APS72" s="97"/>
      <c r="APT72" s="97"/>
      <c r="APU72" s="97"/>
      <c r="APV72" s="97"/>
      <c r="APW72" s="97"/>
      <c r="APX72" s="97"/>
      <c r="APY72" s="97"/>
      <c r="APZ72" s="97"/>
      <c r="AQA72" s="97"/>
      <c r="AQB72" s="97"/>
      <c r="AQC72" s="97"/>
      <c r="AQD72" s="97"/>
      <c r="AQE72" s="97"/>
      <c r="AQF72" s="97"/>
      <c r="AQG72" s="97"/>
      <c r="AQH72" s="97"/>
      <c r="AQI72" s="97"/>
      <c r="AQJ72" s="97"/>
      <c r="AQK72" s="97"/>
      <c r="AQL72" s="97"/>
      <c r="AQM72" s="97"/>
      <c r="AQN72" s="97"/>
      <c r="AQO72" s="97"/>
      <c r="AQP72" s="97"/>
      <c r="AQQ72" s="97"/>
      <c r="AQR72" s="97"/>
      <c r="AQS72" s="97"/>
      <c r="AQT72" s="97"/>
      <c r="AQU72" s="97"/>
      <c r="AQV72" s="97"/>
      <c r="AQW72" s="97"/>
      <c r="AQX72" s="97"/>
      <c r="AQY72" s="97"/>
      <c r="AQZ72" s="97"/>
      <c r="ARA72" s="97"/>
      <c r="ARB72" s="97"/>
      <c r="ARC72" s="97"/>
      <c r="ARD72" s="97"/>
      <c r="ARE72" s="97"/>
      <c r="ARF72" s="97"/>
      <c r="ARG72" s="97"/>
      <c r="ARH72" s="97"/>
      <c r="ARI72" s="97"/>
      <c r="ARJ72" s="97"/>
      <c r="ARK72" s="97"/>
      <c r="ARL72" s="97"/>
      <c r="ARM72" s="97"/>
      <c r="ARN72" s="97"/>
      <c r="ARO72" s="97"/>
      <c r="ARP72" s="97"/>
      <c r="ARQ72" s="97"/>
      <c r="ARR72" s="97"/>
      <c r="ARS72" s="97"/>
      <c r="ART72" s="97"/>
      <c r="ARU72" s="97"/>
      <c r="ARV72" s="97"/>
      <c r="ARW72" s="97"/>
      <c r="ARX72" s="97"/>
      <c r="ARY72" s="97"/>
      <c r="ARZ72" s="97"/>
      <c r="ASA72" s="97"/>
      <c r="ASB72" s="97"/>
      <c r="ASC72" s="97"/>
      <c r="ASD72" s="97"/>
      <c r="ASE72" s="97"/>
      <c r="ASF72" s="97"/>
      <c r="ASG72" s="97"/>
      <c r="ASH72" s="97"/>
      <c r="ASI72" s="97"/>
      <c r="ASJ72" s="97"/>
      <c r="ASK72" s="97"/>
      <c r="ASL72" s="97"/>
      <c r="ASM72" s="97"/>
      <c r="ASN72" s="97"/>
      <c r="ASO72" s="97"/>
      <c r="ASP72" s="97"/>
      <c r="ASQ72" s="97"/>
      <c r="ASR72" s="97"/>
      <c r="ASS72" s="97"/>
      <c r="AST72" s="97"/>
      <c r="ASU72" s="97"/>
      <c r="ASV72" s="97"/>
      <c r="ASW72" s="97"/>
      <c r="ASX72" s="97"/>
      <c r="ASY72" s="97"/>
      <c r="ASZ72" s="97"/>
      <c r="ATA72" s="97"/>
      <c r="ATB72" s="97"/>
      <c r="ATC72" s="97"/>
      <c r="ATD72" s="97"/>
      <c r="ATE72" s="97"/>
      <c r="ATF72" s="97"/>
      <c r="ATG72" s="97"/>
      <c r="ATH72" s="97"/>
      <c r="ATI72" s="97"/>
      <c r="ATJ72" s="97"/>
      <c r="ATK72" s="97"/>
      <c r="ATL72" s="97"/>
      <c r="ATM72" s="97"/>
      <c r="ATN72" s="97"/>
      <c r="ATO72" s="97"/>
      <c r="ATP72" s="97"/>
      <c r="ATQ72" s="97"/>
      <c r="ATR72" s="97"/>
      <c r="ATS72" s="97"/>
      <c r="ATT72" s="97"/>
      <c r="ATU72" s="97"/>
      <c r="ATV72" s="97"/>
      <c r="ATW72" s="97"/>
      <c r="ATX72" s="97"/>
      <c r="ATY72" s="97"/>
      <c r="ATZ72" s="97"/>
      <c r="AUA72" s="97"/>
      <c r="AUB72" s="97"/>
      <c r="AUC72" s="97"/>
      <c r="AUD72" s="97"/>
      <c r="AUE72" s="97"/>
      <c r="AUF72" s="97"/>
      <c r="AUG72" s="97"/>
      <c r="AUH72" s="97"/>
      <c r="AUI72" s="97"/>
      <c r="AUJ72" s="97"/>
      <c r="AUK72" s="97"/>
      <c r="AUL72" s="97"/>
      <c r="AUM72" s="97"/>
      <c r="AUN72" s="97"/>
      <c r="AUO72" s="97"/>
      <c r="AUP72" s="97"/>
      <c r="AUQ72" s="97"/>
      <c r="AUR72" s="97"/>
      <c r="AUS72" s="97"/>
      <c r="AUT72" s="97"/>
      <c r="AUU72" s="97"/>
      <c r="AUV72" s="97"/>
      <c r="AUW72" s="97"/>
      <c r="AUX72" s="97"/>
      <c r="AUY72" s="97"/>
      <c r="AUZ72" s="97"/>
      <c r="AVA72" s="97"/>
      <c r="AVB72" s="97"/>
      <c r="AVC72" s="97"/>
      <c r="AVD72" s="97"/>
      <c r="AVE72" s="97"/>
      <c r="AVF72" s="97"/>
      <c r="AVG72" s="97"/>
      <c r="AVH72" s="97"/>
      <c r="AVI72" s="97"/>
      <c r="AVJ72" s="97"/>
      <c r="AVK72" s="97"/>
      <c r="AVL72" s="97"/>
      <c r="AVM72" s="97"/>
      <c r="AVN72" s="97"/>
      <c r="AVO72" s="97"/>
      <c r="AVP72" s="97"/>
      <c r="AVQ72" s="97"/>
      <c r="AVR72" s="97"/>
      <c r="AVS72" s="97"/>
      <c r="AVT72" s="97"/>
      <c r="AVU72" s="97"/>
      <c r="AVV72" s="97"/>
      <c r="AVW72" s="97"/>
      <c r="AVX72" s="97"/>
      <c r="AVY72" s="97"/>
      <c r="AVZ72" s="97"/>
      <c r="AWA72" s="97"/>
      <c r="AWB72" s="97"/>
      <c r="AWC72" s="97"/>
      <c r="AWD72" s="97"/>
      <c r="AWE72" s="97"/>
      <c r="AWF72" s="97"/>
      <c r="AWG72" s="97"/>
      <c r="AWH72" s="97"/>
      <c r="AWI72" s="97"/>
      <c r="AWJ72" s="97"/>
      <c r="AWK72" s="97"/>
      <c r="AWL72" s="97"/>
      <c r="AWM72" s="97"/>
      <c r="AWN72" s="97"/>
      <c r="AWO72" s="97"/>
      <c r="AWP72" s="97"/>
      <c r="AWQ72" s="97"/>
      <c r="AWR72" s="97"/>
      <c r="AWS72" s="97"/>
      <c r="AWT72" s="97"/>
      <c r="AWU72" s="97"/>
      <c r="AWV72" s="97"/>
      <c r="AWW72" s="97"/>
      <c r="AWX72" s="97"/>
      <c r="AWY72" s="97"/>
      <c r="AWZ72" s="97"/>
      <c r="AXA72" s="97"/>
      <c r="AXB72" s="97"/>
      <c r="AXC72" s="97"/>
      <c r="AXD72" s="97"/>
      <c r="AXE72" s="97"/>
      <c r="AXF72" s="97"/>
      <c r="AXG72" s="97"/>
      <c r="AXH72" s="97"/>
      <c r="AXI72" s="97"/>
      <c r="AXJ72" s="97"/>
      <c r="AXK72" s="97"/>
      <c r="AXL72" s="97"/>
      <c r="AXM72" s="97"/>
      <c r="AXN72" s="97"/>
      <c r="AXO72" s="97"/>
      <c r="AXP72" s="97"/>
      <c r="AXQ72" s="97"/>
      <c r="AXR72" s="97"/>
      <c r="AXS72" s="97"/>
      <c r="AXT72" s="97"/>
      <c r="AXU72" s="97"/>
      <c r="AXV72" s="97"/>
      <c r="AXW72" s="97"/>
      <c r="AXX72" s="97"/>
      <c r="AXY72" s="97"/>
      <c r="AXZ72" s="97"/>
      <c r="AYA72" s="97"/>
      <c r="AYB72" s="97"/>
      <c r="AYC72" s="97"/>
      <c r="AYD72" s="97"/>
      <c r="AYE72" s="97"/>
      <c r="AYF72" s="97"/>
      <c r="AYG72" s="97"/>
      <c r="AYH72" s="97"/>
      <c r="AYI72" s="97"/>
      <c r="AYJ72" s="97"/>
      <c r="AYK72" s="97"/>
      <c r="AYL72" s="97"/>
      <c r="AYM72" s="97"/>
      <c r="AYN72" s="97"/>
      <c r="AYO72" s="97"/>
      <c r="AYP72" s="97"/>
      <c r="AYQ72" s="97"/>
      <c r="AYR72" s="97"/>
      <c r="AYS72" s="97"/>
      <c r="AYT72" s="97"/>
      <c r="AYU72" s="97"/>
      <c r="AYV72" s="97"/>
      <c r="AYW72" s="97"/>
      <c r="AYX72" s="97"/>
      <c r="AYY72" s="97"/>
      <c r="AYZ72" s="97"/>
      <c r="AZA72" s="97"/>
      <c r="AZB72" s="97"/>
      <c r="AZC72" s="97"/>
      <c r="AZD72" s="97"/>
      <c r="AZE72" s="97"/>
      <c r="AZF72" s="97"/>
      <c r="AZG72" s="97"/>
      <c r="AZH72" s="97"/>
      <c r="AZI72" s="97"/>
      <c r="AZJ72" s="97"/>
      <c r="AZK72" s="97"/>
      <c r="AZL72" s="97"/>
      <c r="AZM72" s="97"/>
      <c r="AZN72" s="97"/>
      <c r="AZO72" s="97"/>
      <c r="AZP72" s="97"/>
      <c r="AZQ72" s="97"/>
      <c r="AZR72" s="97"/>
      <c r="AZS72" s="97"/>
      <c r="AZT72" s="97"/>
      <c r="AZU72" s="97"/>
      <c r="AZV72" s="97"/>
      <c r="AZW72" s="97"/>
      <c r="AZX72" s="97"/>
      <c r="AZY72" s="97"/>
      <c r="AZZ72" s="97"/>
      <c r="BAA72" s="97"/>
      <c r="BAB72" s="97"/>
      <c r="BAC72" s="97"/>
      <c r="BAD72" s="97"/>
      <c r="BAE72" s="97"/>
      <c r="BAF72" s="97"/>
      <c r="BAG72" s="97"/>
      <c r="BAH72" s="97"/>
      <c r="BAI72" s="97"/>
      <c r="BAJ72" s="97"/>
      <c r="BAK72" s="97"/>
      <c r="BAL72" s="97"/>
      <c r="BAM72" s="97"/>
      <c r="BAN72" s="97"/>
      <c r="BAO72" s="97"/>
      <c r="BAP72" s="97"/>
      <c r="BAQ72" s="97"/>
      <c r="BAR72" s="97"/>
      <c r="BAS72" s="97"/>
      <c r="BAT72" s="97"/>
      <c r="BAU72" s="97"/>
      <c r="BAV72" s="97"/>
      <c r="BAW72" s="97"/>
      <c r="BAX72" s="97"/>
      <c r="BAY72" s="97"/>
      <c r="BAZ72" s="97"/>
      <c r="BBA72" s="97"/>
      <c r="BBB72" s="97"/>
      <c r="BBC72" s="97"/>
      <c r="BBD72" s="97"/>
      <c r="BBE72" s="97"/>
      <c r="BBF72" s="97"/>
      <c r="BBG72" s="97"/>
      <c r="BBH72" s="97"/>
      <c r="BBI72" s="97"/>
      <c r="BBJ72" s="97"/>
      <c r="BBK72" s="97"/>
      <c r="BBL72" s="97"/>
      <c r="BBM72" s="97"/>
      <c r="BBN72" s="97"/>
      <c r="BBO72" s="97"/>
      <c r="BBP72" s="97"/>
      <c r="BBQ72" s="97"/>
      <c r="BBR72" s="97"/>
      <c r="BBS72" s="97"/>
      <c r="BBT72" s="97"/>
      <c r="BBU72" s="97"/>
      <c r="BBV72" s="97"/>
      <c r="BBW72" s="97"/>
      <c r="BBX72" s="97"/>
      <c r="BBY72" s="97"/>
      <c r="BBZ72" s="97"/>
      <c r="BCA72" s="97"/>
      <c r="BCB72" s="97"/>
      <c r="BCC72" s="97"/>
      <c r="BCD72" s="97"/>
      <c r="BCE72" s="97"/>
      <c r="BCF72" s="97"/>
      <c r="BCG72" s="97"/>
      <c r="BCH72" s="97"/>
      <c r="BCI72" s="97"/>
      <c r="BCJ72" s="97"/>
      <c r="BCK72" s="97"/>
      <c r="BCL72" s="97"/>
      <c r="BCM72" s="97"/>
      <c r="BCN72" s="97"/>
      <c r="BCO72" s="97"/>
      <c r="BCP72" s="97"/>
      <c r="BCQ72" s="97"/>
      <c r="BCR72" s="97"/>
      <c r="BCS72" s="97"/>
      <c r="BCT72" s="97"/>
      <c r="BCU72" s="97"/>
      <c r="BCV72" s="97"/>
      <c r="BCW72" s="97"/>
      <c r="BCX72" s="97"/>
      <c r="BCY72" s="97"/>
      <c r="BCZ72" s="97"/>
      <c r="BDA72" s="97"/>
      <c r="BDB72" s="97"/>
      <c r="BDC72" s="97"/>
      <c r="BDD72" s="97"/>
      <c r="BDE72" s="97"/>
      <c r="BDF72" s="97"/>
      <c r="BDG72" s="97"/>
      <c r="BDH72" s="97"/>
      <c r="BDI72" s="97"/>
      <c r="BDJ72" s="97"/>
      <c r="BDK72" s="97"/>
      <c r="BDL72" s="97"/>
      <c r="BDM72" s="97"/>
      <c r="BDN72" s="97"/>
      <c r="BDO72" s="97"/>
      <c r="BDP72" s="97"/>
      <c r="BDQ72" s="97"/>
      <c r="BDR72" s="97"/>
      <c r="BDS72" s="97"/>
      <c r="BDT72" s="97"/>
      <c r="BDU72" s="97"/>
      <c r="BDV72" s="97"/>
      <c r="BDW72" s="97"/>
      <c r="BDX72" s="97"/>
      <c r="BDY72" s="97"/>
      <c r="BDZ72" s="97"/>
      <c r="BEA72" s="97"/>
      <c r="BEB72" s="97"/>
      <c r="BEC72" s="97"/>
      <c r="BED72" s="97"/>
      <c r="BEE72" s="97"/>
      <c r="BEF72" s="97"/>
      <c r="BEG72" s="97"/>
      <c r="BEH72" s="97"/>
      <c r="BEI72" s="97"/>
      <c r="BEJ72" s="97"/>
      <c r="BEK72" s="97"/>
      <c r="BEL72" s="97"/>
      <c r="BEM72" s="97"/>
      <c r="BEN72" s="97"/>
      <c r="BEO72" s="97"/>
      <c r="BEP72" s="97"/>
      <c r="BEQ72" s="97"/>
      <c r="BER72" s="97"/>
      <c r="BES72" s="97"/>
      <c r="BET72" s="97"/>
      <c r="BEU72" s="97"/>
      <c r="BEV72" s="97"/>
      <c r="BEW72" s="97"/>
      <c r="BEX72" s="97"/>
      <c r="BEY72" s="97"/>
      <c r="BEZ72" s="97"/>
      <c r="BFA72" s="97"/>
      <c r="BFB72" s="97"/>
      <c r="BFC72" s="97"/>
      <c r="BFD72" s="97"/>
      <c r="BFE72" s="97"/>
      <c r="BFF72" s="97"/>
      <c r="BFG72" s="97"/>
      <c r="BFH72" s="97"/>
      <c r="BFI72" s="97"/>
      <c r="BFJ72" s="97"/>
      <c r="BFK72" s="97"/>
      <c r="BFL72" s="97"/>
      <c r="BFM72" s="97"/>
      <c r="BFN72" s="97"/>
      <c r="BFO72" s="97"/>
      <c r="BFP72" s="97"/>
      <c r="BFQ72" s="97"/>
      <c r="BFR72" s="97"/>
      <c r="BFS72" s="97"/>
      <c r="BFT72" s="97"/>
      <c r="BFU72" s="97"/>
      <c r="BFV72" s="97"/>
      <c r="BFW72" s="97"/>
      <c r="BFX72" s="97"/>
      <c r="BFY72" s="97"/>
      <c r="BFZ72" s="97"/>
      <c r="BGA72" s="97"/>
      <c r="BGB72" s="97"/>
      <c r="BGC72" s="97"/>
      <c r="BGD72" s="97"/>
      <c r="BGE72" s="97"/>
      <c r="BGF72" s="97"/>
      <c r="BGG72" s="97"/>
      <c r="BGH72" s="97"/>
      <c r="BGI72" s="97"/>
      <c r="BGJ72" s="97"/>
      <c r="BGK72" s="97"/>
      <c r="BGL72" s="97"/>
      <c r="BGM72" s="97"/>
      <c r="BGN72" s="97"/>
      <c r="BGO72" s="97"/>
      <c r="BGP72" s="97"/>
      <c r="BGQ72" s="97"/>
      <c r="BGR72" s="97"/>
      <c r="BGS72" s="97"/>
      <c r="BGT72" s="97"/>
      <c r="BGU72" s="97"/>
      <c r="BGV72" s="97"/>
      <c r="BGW72" s="97"/>
      <c r="BGX72" s="97"/>
      <c r="BGY72" s="97"/>
      <c r="BGZ72" s="97"/>
      <c r="BHA72" s="97"/>
      <c r="BHB72" s="97"/>
      <c r="BHC72" s="97"/>
      <c r="BHD72" s="97"/>
      <c r="BHE72" s="97"/>
      <c r="BHF72" s="97"/>
      <c r="BHG72" s="97"/>
      <c r="BHH72" s="97"/>
      <c r="BHI72" s="97"/>
      <c r="BHJ72" s="97"/>
      <c r="BHK72" s="97"/>
      <c r="BHL72" s="97"/>
      <c r="BHM72" s="97"/>
      <c r="BHN72" s="97"/>
      <c r="BHO72" s="97"/>
      <c r="BHP72" s="97"/>
      <c r="BHQ72" s="97"/>
      <c r="BHR72" s="97"/>
      <c r="BHS72" s="97"/>
      <c r="BHT72" s="97"/>
      <c r="BHU72" s="97"/>
      <c r="BHV72" s="97"/>
      <c r="BHW72" s="97"/>
      <c r="BHX72" s="97"/>
      <c r="BHY72" s="97"/>
      <c r="BHZ72" s="97"/>
      <c r="BIA72" s="97"/>
      <c r="BIB72" s="97"/>
      <c r="BIC72" s="97"/>
      <c r="BID72" s="97"/>
      <c r="BIE72" s="97"/>
      <c r="BIF72" s="97"/>
      <c r="BIG72" s="97"/>
      <c r="BIH72" s="97"/>
      <c r="BII72" s="97"/>
      <c r="BIJ72" s="97"/>
      <c r="BIK72" s="97"/>
      <c r="BIL72" s="97"/>
      <c r="BIM72" s="97"/>
      <c r="BIN72" s="97"/>
      <c r="BIO72" s="97"/>
      <c r="BIP72" s="97"/>
      <c r="BIQ72" s="97"/>
      <c r="BIR72" s="97"/>
      <c r="BIS72" s="97"/>
      <c r="BIT72" s="97"/>
      <c r="BIU72" s="97"/>
      <c r="BIV72" s="97"/>
      <c r="BIW72" s="97"/>
      <c r="BIX72" s="97"/>
      <c r="BIY72" s="97"/>
      <c r="BIZ72" s="97"/>
      <c r="BJA72" s="97"/>
      <c r="BJB72" s="97"/>
      <c r="BJC72" s="97"/>
      <c r="BJD72" s="97"/>
      <c r="BJE72" s="97"/>
      <c r="BJF72" s="97"/>
      <c r="BJG72" s="97"/>
      <c r="BJH72" s="97"/>
      <c r="BJI72" s="97"/>
      <c r="BJJ72" s="97"/>
      <c r="BJK72" s="97"/>
      <c r="BJL72" s="97"/>
      <c r="BJM72" s="97"/>
      <c r="BJN72" s="97"/>
      <c r="BJO72" s="97"/>
      <c r="BJP72" s="97"/>
      <c r="BJQ72" s="97"/>
      <c r="BJR72" s="97"/>
      <c r="BJS72" s="97"/>
      <c r="BJT72" s="97"/>
      <c r="BJU72" s="97"/>
      <c r="BJV72" s="97"/>
      <c r="BJW72" s="97"/>
      <c r="BJX72" s="97"/>
      <c r="BJY72" s="97"/>
      <c r="BJZ72" s="97"/>
      <c r="BKA72" s="97"/>
      <c r="BKB72" s="97"/>
      <c r="BKC72" s="97"/>
      <c r="BKD72" s="97"/>
      <c r="BKE72" s="97"/>
      <c r="BKF72" s="97"/>
      <c r="BKG72" s="97"/>
      <c r="BKH72" s="97"/>
      <c r="BKI72" s="97"/>
      <c r="BKJ72" s="97"/>
      <c r="BKK72" s="97"/>
      <c r="BKL72" s="97"/>
      <c r="BKM72" s="97"/>
      <c r="BKN72" s="97"/>
      <c r="BKO72" s="97"/>
      <c r="BKP72" s="97"/>
      <c r="BKQ72" s="97"/>
      <c r="BKR72" s="97"/>
      <c r="BKS72" s="97"/>
      <c r="BKT72" s="97"/>
      <c r="BKU72" s="97"/>
      <c r="BKV72" s="97"/>
      <c r="BKW72" s="97"/>
      <c r="BKX72" s="97"/>
      <c r="BKY72" s="97"/>
      <c r="BKZ72" s="97"/>
      <c r="BLA72" s="97"/>
      <c r="BLB72" s="97"/>
      <c r="BLC72" s="97"/>
      <c r="BLD72" s="97"/>
      <c r="BLE72" s="97"/>
      <c r="BLF72" s="97"/>
      <c r="BLG72" s="97"/>
      <c r="BLH72" s="97"/>
      <c r="BLI72" s="97"/>
      <c r="BLJ72" s="97"/>
      <c r="BLK72" s="97"/>
      <c r="BLL72" s="97"/>
      <c r="BLM72" s="97"/>
      <c r="BLN72" s="97"/>
      <c r="BLO72" s="97"/>
      <c r="BLP72" s="97"/>
      <c r="BLQ72" s="97"/>
      <c r="BLR72" s="97"/>
      <c r="BLS72" s="97"/>
      <c r="BLT72" s="97"/>
      <c r="BLU72" s="97"/>
      <c r="BLV72" s="97"/>
      <c r="BLW72" s="97"/>
      <c r="BLX72" s="97"/>
      <c r="BLY72" s="97"/>
      <c r="BLZ72" s="97"/>
      <c r="BMA72" s="97"/>
      <c r="BMB72" s="97"/>
      <c r="BMC72" s="97"/>
      <c r="BMD72" s="97"/>
      <c r="BME72" s="97"/>
      <c r="BMF72" s="97"/>
      <c r="BMG72" s="97"/>
      <c r="BMH72" s="97"/>
      <c r="BMI72" s="97"/>
      <c r="BMJ72" s="97"/>
      <c r="BMK72" s="97"/>
      <c r="BML72" s="97"/>
      <c r="BMM72" s="97"/>
      <c r="BMN72" s="97"/>
      <c r="BMO72" s="97"/>
      <c r="BMP72" s="97"/>
      <c r="BMQ72" s="97"/>
      <c r="BMR72" s="97"/>
      <c r="BMS72" s="97"/>
      <c r="BMT72" s="97"/>
      <c r="BMU72" s="97"/>
      <c r="BMV72" s="97"/>
      <c r="BMW72" s="97"/>
      <c r="BMX72" s="97"/>
      <c r="BMY72" s="97"/>
      <c r="BMZ72" s="97"/>
      <c r="BNA72" s="97"/>
      <c r="BNB72" s="97"/>
      <c r="BNC72" s="97"/>
      <c r="BND72" s="97"/>
      <c r="BNE72" s="97"/>
      <c r="BNF72" s="97"/>
      <c r="BNG72" s="97"/>
      <c r="BNH72" s="97"/>
      <c r="BNI72" s="97"/>
      <c r="BNJ72" s="97"/>
      <c r="BNK72" s="97"/>
      <c r="BNL72" s="97"/>
      <c r="BNM72" s="97"/>
      <c r="BNN72" s="97"/>
      <c r="BNO72" s="97"/>
      <c r="BNP72" s="97"/>
      <c r="BNQ72" s="97"/>
      <c r="BNR72" s="97"/>
      <c r="BNS72" s="97"/>
      <c r="BNT72" s="97"/>
      <c r="BNU72" s="97"/>
      <c r="BNV72" s="97"/>
      <c r="BNW72" s="97"/>
      <c r="BNX72" s="97"/>
      <c r="BNY72" s="97"/>
      <c r="BNZ72" s="97"/>
      <c r="BOA72" s="97"/>
      <c r="BOB72" s="97"/>
      <c r="BOC72" s="97"/>
      <c r="BOD72" s="97"/>
      <c r="BOE72" s="97"/>
      <c r="BOF72" s="97"/>
      <c r="BOG72" s="97"/>
      <c r="BOH72" s="97"/>
      <c r="BOI72" s="97"/>
      <c r="BOJ72" s="97"/>
      <c r="BOK72" s="97"/>
      <c r="BOL72" s="97"/>
      <c r="BOM72" s="97"/>
      <c r="BON72" s="97"/>
      <c r="BOO72" s="97"/>
      <c r="BOP72" s="97"/>
      <c r="BOQ72" s="97"/>
      <c r="BOR72" s="97"/>
      <c r="BOS72" s="97"/>
      <c r="BOT72" s="97"/>
      <c r="BOU72" s="97"/>
      <c r="BOV72" s="97"/>
      <c r="BOW72" s="97"/>
      <c r="BOX72" s="97"/>
      <c r="BOY72" s="97"/>
      <c r="BOZ72" s="97"/>
      <c r="BPA72" s="97"/>
      <c r="BPB72" s="97"/>
      <c r="BPC72" s="97"/>
      <c r="BPD72" s="97"/>
      <c r="BPE72" s="97"/>
      <c r="BPF72" s="97"/>
      <c r="BPG72" s="97"/>
      <c r="BPH72" s="97"/>
      <c r="BPI72" s="97"/>
      <c r="BPJ72" s="97"/>
      <c r="BPK72" s="97"/>
      <c r="BPL72" s="97"/>
      <c r="BPM72" s="97"/>
      <c r="BPN72" s="97"/>
      <c r="BPO72" s="97"/>
      <c r="BPP72" s="97"/>
      <c r="BPQ72" s="97"/>
      <c r="BPR72" s="97"/>
      <c r="BPS72" s="97"/>
      <c r="BPT72" s="97"/>
      <c r="BPU72" s="97"/>
      <c r="BPV72" s="97"/>
      <c r="BPW72" s="97"/>
      <c r="BPX72" s="97"/>
      <c r="BPY72" s="97"/>
      <c r="BPZ72" s="97"/>
      <c r="BQA72" s="97"/>
      <c r="BQB72" s="97"/>
      <c r="BQC72" s="97"/>
      <c r="BQD72" s="97"/>
      <c r="BQE72" s="97"/>
      <c r="BQF72" s="97"/>
      <c r="BQG72" s="97"/>
      <c r="BQH72" s="97"/>
      <c r="BQI72" s="97"/>
      <c r="BQJ72" s="97"/>
      <c r="BQK72" s="97"/>
      <c r="BQL72" s="97"/>
      <c r="BQM72" s="97"/>
      <c r="BQN72" s="97"/>
      <c r="BQO72" s="97"/>
      <c r="BQP72" s="97"/>
      <c r="BQQ72" s="97"/>
      <c r="BQR72" s="97"/>
      <c r="BQS72" s="97"/>
      <c r="BQT72" s="97"/>
      <c r="BQU72" s="97"/>
      <c r="BQV72" s="97"/>
      <c r="BQW72" s="97"/>
      <c r="BQX72" s="97"/>
      <c r="BQY72" s="97"/>
      <c r="BQZ72" s="97"/>
      <c r="BRA72" s="97"/>
      <c r="BRB72" s="97"/>
      <c r="BRC72" s="97"/>
      <c r="BRD72" s="97"/>
      <c r="BRE72" s="97"/>
      <c r="BRF72" s="97"/>
      <c r="BRG72" s="97"/>
      <c r="BRH72" s="97"/>
      <c r="BRI72" s="97"/>
      <c r="BRJ72" s="97"/>
      <c r="BRK72" s="97"/>
      <c r="BRL72" s="97"/>
      <c r="BRM72" s="97"/>
      <c r="BRN72" s="97"/>
      <c r="BRO72" s="97"/>
      <c r="BRP72" s="97"/>
      <c r="BRQ72" s="97"/>
      <c r="BRR72" s="97"/>
      <c r="BRS72" s="97"/>
      <c r="BRT72" s="97"/>
      <c r="BRU72" s="97"/>
      <c r="BRV72" s="97"/>
      <c r="BRW72" s="97"/>
      <c r="BRX72" s="97"/>
      <c r="BRY72" s="97"/>
      <c r="BRZ72" s="97"/>
      <c r="BSA72" s="97"/>
      <c r="BSB72" s="97"/>
      <c r="BSC72" s="97"/>
      <c r="BSD72" s="97"/>
      <c r="BSE72" s="97"/>
      <c r="BSF72" s="97"/>
      <c r="BSG72" s="97"/>
      <c r="BSH72" s="97"/>
      <c r="BSI72" s="97"/>
      <c r="BSJ72" s="97"/>
      <c r="BSK72" s="97"/>
      <c r="BSL72" s="97"/>
      <c r="BSM72" s="97"/>
      <c r="BSN72" s="97"/>
      <c r="BSO72" s="97"/>
      <c r="BSP72" s="97"/>
      <c r="BSQ72" s="97"/>
      <c r="BSR72" s="97"/>
      <c r="BSS72" s="97"/>
      <c r="BST72" s="97"/>
      <c r="BSU72" s="97"/>
      <c r="BSV72" s="97"/>
      <c r="BSW72" s="97"/>
      <c r="BSX72" s="97"/>
      <c r="BSY72" s="97"/>
      <c r="BSZ72" s="97"/>
      <c r="BTA72" s="97"/>
      <c r="BTB72" s="97"/>
      <c r="BTC72" s="97"/>
      <c r="BTD72" s="97"/>
      <c r="BTE72" s="97"/>
      <c r="BTF72" s="97"/>
      <c r="BTG72" s="97"/>
      <c r="BTH72" s="97"/>
      <c r="BTI72" s="97"/>
      <c r="BTJ72" s="97"/>
      <c r="BTK72" s="97"/>
      <c r="BTL72" s="97"/>
      <c r="BTM72" s="97"/>
      <c r="BTN72" s="97"/>
      <c r="BTO72" s="97"/>
      <c r="BTP72" s="97"/>
      <c r="BTQ72" s="97"/>
      <c r="BTR72" s="97"/>
      <c r="BTS72" s="97"/>
      <c r="BTT72" s="97"/>
      <c r="BTU72" s="97"/>
      <c r="BTV72" s="97"/>
      <c r="BTW72" s="97"/>
      <c r="BTX72" s="97"/>
      <c r="BTY72" s="97"/>
      <c r="BTZ72" s="97"/>
      <c r="BUA72" s="97"/>
      <c r="BUB72" s="97"/>
      <c r="BUC72" s="97"/>
      <c r="BUD72" s="97"/>
      <c r="BUE72" s="97"/>
      <c r="BUF72" s="97"/>
      <c r="BUG72" s="97"/>
      <c r="BUH72" s="97"/>
      <c r="BUI72" s="97"/>
      <c r="BUJ72" s="97"/>
      <c r="BUK72" s="97"/>
      <c r="BUL72" s="97"/>
      <c r="BUM72" s="97"/>
      <c r="BUN72" s="97"/>
      <c r="BUO72" s="97"/>
      <c r="BUP72" s="97"/>
      <c r="BUQ72" s="97"/>
      <c r="BUR72" s="97"/>
      <c r="BUS72" s="97"/>
      <c r="BUT72" s="97"/>
      <c r="BUU72" s="97"/>
      <c r="BUV72" s="97"/>
      <c r="BUW72" s="97"/>
      <c r="BUX72" s="97"/>
      <c r="BUY72" s="97"/>
      <c r="BUZ72" s="97"/>
      <c r="BVA72" s="97"/>
      <c r="BVB72" s="97"/>
      <c r="BVC72" s="97"/>
      <c r="BVD72" s="97"/>
      <c r="BVE72" s="97"/>
      <c r="BVF72" s="97"/>
      <c r="BVG72" s="97"/>
      <c r="BVH72" s="97"/>
      <c r="BVI72" s="97"/>
      <c r="BVJ72" s="97"/>
      <c r="BVK72" s="97"/>
      <c r="BVL72" s="97"/>
      <c r="BVM72" s="97"/>
      <c r="BVN72" s="97"/>
      <c r="BVO72" s="97"/>
      <c r="BVP72" s="97"/>
      <c r="BVQ72" s="97"/>
      <c r="BVR72" s="97"/>
      <c r="BVS72" s="97"/>
      <c r="BVT72" s="97"/>
      <c r="BVU72" s="97"/>
      <c r="BVV72" s="97"/>
      <c r="BVW72" s="97"/>
      <c r="BVX72" s="97"/>
      <c r="BVY72" s="97"/>
      <c r="BVZ72" s="97"/>
      <c r="BWA72" s="97"/>
      <c r="BWB72" s="97"/>
      <c r="BWC72" s="97"/>
      <c r="BWD72" s="97"/>
      <c r="BWE72" s="97"/>
      <c r="BWF72" s="97"/>
      <c r="BWG72" s="97"/>
      <c r="BWH72" s="97"/>
      <c r="BWI72" s="97"/>
      <c r="BWJ72" s="97"/>
      <c r="BWK72" s="97"/>
      <c r="BWL72" s="97"/>
      <c r="BWM72" s="97"/>
      <c r="BWN72" s="97"/>
      <c r="BWO72" s="97"/>
      <c r="BWP72" s="97"/>
      <c r="BWQ72" s="97"/>
      <c r="BWR72" s="97"/>
      <c r="BWS72" s="97"/>
      <c r="BWT72" s="97"/>
      <c r="BWU72" s="97"/>
      <c r="BWV72" s="97"/>
      <c r="BWW72" s="97"/>
      <c r="BWX72" s="97"/>
      <c r="BWY72" s="97"/>
      <c r="BWZ72" s="97"/>
      <c r="BXA72" s="97"/>
      <c r="BXB72" s="97"/>
      <c r="BXC72" s="97"/>
      <c r="BXD72" s="97"/>
      <c r="BXE72" s="97"/>
      <c r="BXF72" s="97"/>
      <c r="BXG72" s="97"/>
      <c r="BXH72" s="97"/>
      <c r="BXI72" s="97"/>
      <c r="BXJ72" s="97"/>
      <c r="BXK72" s="97"/>
      <c r="BXL72" s="97"/>
      <c r="BXM72" s="97"/>
      <c r="BXN72" s="97"/>
      <c r="BXO72" s="97"/>
      <c r="BXP72" s="97"/>
      <c r="BXQ72" s="97"/>
      <c r="BXR72" s="97"/>
      <c r="BXS72" s="97"/>
      <c r="BXT72" s="97"/>
      <c r="BXU72" s="97"/>
      <c r="BXV72" s="97"/>
      <c r="BXW72" s="97"/>
      <c r="BXX72" s="97"/>
      <c r="BXY72" s="97"/>
      <c r="BXZ72" s="97"/>
      <c r="BYA72" s="97"/>
      <c r="BYB72" s="97"/>
      <c r="BYC72" s="97"/>
      <c r="BYD72" s="97"/>
      <c r="BYE72" s="97"/>
      <c r="BYF72" s="97"/>
      <c r="BYG72" s="97"/>
      <c r="BYH72" s="97"/>
      <c r="BYI72" s="97"/>
      <c r="BYJ72" s="97"/>
      <c r="BYK72" s="97"/>
      <c r="BYL72" s="97"/>
      <c r="BYM72" s="97"/>
      <c r="BYN72" s="97"/>
      <c r="BYO72" s="97"/>
      <c r="BYP72" s="97"/>
      <c r="BYQ72" s="97"/>
      <c r="BYR72" s="97"/>
      <c r="BYS72" s="97"/>
      <c r="BYT72" s="97"/>
      <c r="BYU72" s="97"/>
      <c r="BYV72" s="97"/>
      <c r="BYW72" s="97"/>
      <c r="BYX72" s="97"/>
      <c r="BYY72" s="97"/>
      <c r="BYZ72" s="97"/>
      <c r="BZA72" s="97"/>
      <c r="BZB72" s="97"/>
      <c r="BZC72" s="97"/>
      <c r="BZD72" s="97"/>
      <c r="BZE72" s="97"/>
      <c r="BZF72" s="97"/>
      <c r="BZG72" s="97"/>
      <c r="BZH72" s="97"/>
      <c r="BZI72" s="97"/>
      <c r="BZJ72" s="97"/>
      <c r="BZK72" s="97"/>
      <c r="BZL72" s="97"/>
      <c r="BZM72" s="97"/>
      <c r="BZN72" s="97"/>
      <c r="BZO72" s="97"/>
      <c r="BZP72" s="97"/>
      <c r="BZQ72" s="97"/>
      <c r="BZR72" s="97"/>
      <c r="BZS72" s="97"/>
      <c r="BZT72" s="97"/>
      <c r="BZU72" s="97"/>
      <c r="BZV72" s="97"/>
      <c r="BZW72" s="97"/>
      <c r="BZX72" s="97"/>
      <c r="BZY72" s="97"/>
      <c r="BZZ72" s="97"/>
      <c r="CAA72" s="97"/>
      <c r="CAB72" s="97"/>
      <c r="CAC72" s="97"/>
      <c r="CAD72" s="97"/>
      <c r="CAE72" s="97"/>
      <c r="CAF72" s="97"/>
      <c r="CAG72" s="97"/>
      <c r="CAH72" s="97"/>
      <c r="CAI72" s="97"/>
      <c r="CAJ72" s="97"/>
      <c r="CAK72" s="97"/>
      <c r="CAL72" s="97"/>
      <c r="CAM72" s="97"/>
      <c r="CAN72" s="97"/>
      <c r="CAO72" s="97"/>
      <c r="CAP72" s="97"/>
      <c r="CAQ72" s="97"/>
      <c r="CAR72" s="97"/>
      <c r="CAS72" s="97"/>
      <c r="CAT72" s="97"/>
      <c r="CAU72" s="97"/>
      <c r="CAV72" s="97"/>
      <c r="CAW72" s="97"/>
      <c r="CAX72" s="97"/>
      <c r="CAY72" s="97"/>
      <c r="CAZ72" s="97"/>
      <c r="CBA72" s="97"/>
      <c r="CBB72" s="97"/>
      <c r="CBC72" s="97"/>
      <c r="CBD72" s="97"/>
      <c r="CBE72" s="97"/>
      <c r="CBF72" s="97"/>
      <c r="CBG72" s="97"/>
      <c r="CBH72" s="97"/>
      <c r="CBI72" s="97"/>
      <c r="CBJ72" s="97"/>
      <c r="CBK72" s="97"/>
      <c r="CBL72" s="97"/>
      <c r="CBM72" s="97"/>
      <c r="CBN72" s="97"/>
      <c r="CBO72" s="97"/>
      <c r="CBP72" s="97"/>
      <c r="CBQ72" s="97"/>
      <c r="CBR72" s="97"/>
      <c r="CBS72" s="97"/>
      <c r="CBT72" s="97"/>
      <c r="CBU72" s="97"/>
      <c r="CBV72" s="97"/>
      <c r="CBW72" s="97"/>
      <c r="CBX72" s="97"/>
      <c r="CBY72" s="97"/>
      <c r="CBZ72" s="97"/>
      <c r="CCA72" s="97"/>
      <c r="CCB72" s="97"/>
      <c r="CCC72" s="97"/>
      <c r="CCD72" s="97"/>
      <c r="CCE72" s="97"/>
      <c r="CCF72" s="97"/>
      <c r="CCG72" s="97"/>
      <c r="CCH72" s="97"/>
      <c r="CCI72" s="97"/>
      <c r="CCJ72" s="97"/>
      <c r="CCK72" s="97"/>
      <c r="CCL72" s="97"/>
      <c r="CCM72" s="97"/>
      <c r="CCN72" s="97"/>
      <c r="CCO72" s="97"/>
      <c r="CCP72" s="97"/>
      <c r="CCQ72" s="97"/>
      <c r="CCR72" s="97"/>
      <c r="CCS72" s="97"/>
      <c r="CCT72" s="97"/>
      <c r="CCU72" s="97"/>
      <c r="CCV72" s="97"/>
      <c r="CCW72" s="97"/>
      <c r="CCX72" s="97"/>
      <c r="CCY72" s="97"/>
      <c r="CCZ72" s="97"/>
      <c r="CDA72" s="97"/>
      <c r="CDB72" s="97"/>
      <c r="CDC72" s="97"/>
      <c r="CDD72" s="97"/>
      <c r="CDE72" s="97"/>
      <c r="CDF72" s="97"/>
      <c r="CDG72" s="97"/>
      <c r="CDH72" s="97"/>
      <c r="CDI72" s="97"/>
      <c r="CDJ72" s="97"/>
      <c r="CDK72" s="97"/>
      <c r="CDL72" s="97"/>
      <c r="CDM72" s="97"/>
      <c r="CDN72" s="97"/>
      <c r="CDO72" s="97"/>
      <c r="CDP72" s="97"/>
      <c r="CDQ72" s="97"/>
      <c r="CDR72" s="97"/>
      <c r="CDS72" s="97"/>
      <c r="CDT72" s="97"/>
      <c r="CDU72" s="97"/>
      <c r="CDV72" s="97"/>
      <c r="CDW72" s="97"/>
      <c r="CDX72" s="97"/>
      <c r="CDY72" s="97"/>
      <c r="CDZ72" s="97"/>
      <c r="CEA72" s="97"/>
      <c r="CEB72" s="97"/>
      <c r="CEC72" s="97"/>
      <c r="CED72" s="97"/>
      <c r="CEE72" s="97"/>
      <c r="CEF72" s="97"/>
      <c r="CEG72" s="97"/>
      <c r="CEH72" s="97"/>
      <c r="CEI72" s="97"/>
      <c r="CEJ72" s="97"/>
      <c r="CEK72" s="97"/>
      <c r="CEL72" s="97"/>
      <c r="CEM72" s="97"/>
      <c r="CEN72" s="97"/>
      <c r="CEO72" s="97"/>
      <c r="CEP72" s="97"/>
      <c r="CEQ72" s="97"/>
      <c r="CER72" s="97"/>
      <c r="CES72" s="97"/>
      <c r="CET72" s="97"/>
      <c r="CEU72" s="97"/>
      <c r="CEV72" s="97"/>
      <c r="CEW72" s="97"/>
      <c r="CEX72" s="97"/>
      <c r="CEY72" s="97"/>
      <c r="CEZ72" s="97"/>
      <c r="CFA72" s="97"/>
      <c r="CFB72" s="97"/>
      <c r="CFC72" s="97"/>
      <c r="CFD72" s="97"/>
      <c r="CFE72" s="97"/>
      <c r="CFF72" s="97"/>
      <c r="CFG72" s="97"/>
      <c r="CFH72" s="97"/>
      <c r="CFI72" s="97"/>
      <c r="CFJ72" s="97"/>
      <c r="CFK72" s="97"/>
      <c r="CFL72" s="97"/>
      <c r="CFM72" s="97"/>
      <c r="CFN72" s="97"/>
      <c r="CFO72" s="97"/>
      <c r="CFP72" s="97"/>
      <c r="CFQ72" s="97"/>
      <c r="CFR72" s="97"/>
      <c r="CFS72" s="97"/>
      <c r="CFT72" s="97"/>
      <c r="CFU72" s="97"/>
      <c r="CFV72" s="97"/>
      <c r="CFW72" s="97"/>
      <c r="CFX72" s="97"/>
      <c r="CFY72" s="97"/>
      <c r="CFZ72" s="97"/>
      <c r="CGA72" s="97"/>
      <c r="CGB72" s="97"/>
      <c r="CGC72" s="97"/>
      <c r="CGD72" s="97"/>
      <c r="CGE72" s="97"/>
      <c r="CGF72" s="97"/>
      <c r="CGG72" s="97"/>
      <c r="CGH72" s="97"/>
      <c r="CGI72" s="97"/>
      <c r="CGJ72" s="97"/>
      <c r="CGK72" s="97"/>
      <c r="CGL72" s="97"/>
      <c r="CGM72" s="97"/>
      <c r="CGN72" s="97"/>
      <c r="CGO72" s="97"/>
      <c r="CGP72" s="97"/>
      <c r="CGQ72" s="97"/>
      <c r="CGR72" s="97"/>
      <c r="CGS72" s="97"/>
      <c r="CGT72" s="97"/>
      <c r="CGU72" s="97"/>
      <c r="CGV72" s="97"/>
      <c r="CGW72" s="97"/>
      <c r="CGX72" s="97"/>
      <c r="CGY72" s="97"/>
      <c r="CGZ72" s="97"/>
      <c r="CHA72" s="97"/>
      <c r="CHB72" s="97"/>
      <c r="CHC72" s="97"/>
      <c r="CHD72" s="97"/>
      <c r="CHE72" s="97"/>
      <c r="CHF72" s="97"/>
      <c r="CHG72" s="97"/>
      <c r="CHH72" s="97"/>
      <c r="CHI72" s="97"/>
      <c r="CHJ72" s="97"/>
      <c r="CHK72" s="97"/>
      <c r="CHL72" s="97"/>
      <c r="CHM72" s="97"/>
      <c r="CHN72" s="97"/>
      <c r="CHO72" s="97"/>
      <c r="CHP72" s="97"/>
      <c r="CHQ72" s="97"/>
      <c r="CHR72" s="97"/>
      <c r="CHS72" s="97"/>
      <c r="CHT72" s="97"/>
      <c r="CHU72" s="97"/>
      <c r="CHV72" s="97"/>
      <c r="CHW72" s="97"/>
      <c r="CHX72" s="97"/>
      <c r="CHY72" s="97"/>
      <c r="CHZ72" s="97"/>
      <c r="CIA72" s="97"/>
      <c r="CIB72" s="97"/>
      <c r="CIC72" s="97"/>
      <c r="CID72" s="97"/>
      <c r="CIE72" s="97"/>
      <c r="CIF72" s="97"/>
      <c r="CIG72" s="97"/>
      <c r="CIH72" s="97"/>
      <c r="CII72" s="97"/>
      <c r="CIJ72" s="97"/>
      <c r="CIK72" s="97"/>
      <c r="CIL72" s="97"/>
      <c r="CIM72" s="97"/>
      <c r="CIN72" s="97"/>
      <c r="CIO72" s="97"/>
      <c r="CIP72" s="97"/>
      <c r="CIQ72" s="97"/>
      <c r="CIR72" s="97"/>
      <c r="CIS72" s="97"/>
      <c r="CIT72" s="97"/>
      <c r="CIU72" s="97"/>
      <c r="CIV72" s="97"/>
      <c r="CIW72" s="97"/>
      <c r="CIX72" s="97"/>
      <c r="CIY72" s="97"/>
      <c r="CIZ72" s="97"/>
      <c r="CJA72" s="97"/>
      <c r="CJB72" s="97"/>
      <c r="CJC72" s="97"/>
      <c r="CJD72" s="97"/>
      <c r="CJE72" s="97"/>
      <c r="CJF72" s="97"/>
      <c r="CJG72" s="97"/>
      <c r="CJH72" s="97"/>
      <c r="CJI72" s="97"/>
      <c r="CJJ72" s="97"/>
      <c r="CJK72" s="97"/>
      <c r="CJL72" s="97"/>
      <c r="CJM72" s="97"/>
      <c r="CJN72" s="97"/>
      <c r="CJO72" s="97"/>
      <c r="CJP72" s="97"/>
      <c r="CJQ72" s="97"/>
      <c r="CJR72" s="97"/>
      <c r="CJS72" s="97"/>
      <c r="CJT72" s="97"/>
      <c r="CJU72" s="97"/>
      <c r="CJV72" s="97"/>
      <c r="CJW72" s="97"/>
      <c r="CJX72" s="97"/>
      <c r="CJY72" s="97"/>
      <c r="CJZ72" s="97"/>
      <c r="CKA72" s="97"/>
      <c r="CKB72" s="97"/>
      <c r="CKC72" s="97"/>
      <c r="CKD72" s="97"/>
      <c r="CKE72" s="97"/>
      <c r="CKF72" s="97"/>
      <c r="CKG72" s="97"/>
      <c r="CKH72" s="97"/>
      <c r="CKI72" s="97"/>
      <c r="CKJ72" s="97"/>
      <c r="CKK72" s="97"/>
      <c r="CKL72" s="97"/>
      <c r="CKM72" s="97"/>
      <c r="CKN72" s="97"/>
      <c r="CKO72" s="97"/>
      <c r="CKP72" s="97"/>
      <c r="CKQ72" s="97"/>
      <c r="CKR72" s="97"/>
      <c r="CKS72" s="97"/>
      <c r="CKT72" s="97"/>
      <c r="CKU72" s="97"/>
      <c r="CKV72" s="97"/>
      <c r="CKW72" s="97"/>
      <c r="CKX72" s="97"/>
      <c r="CKY72" s="97"/>
      <c r="CKZ72" s="97"/>
      <c r="CLA72" s="97"/>
      <c r="CLB72" s="97"/>
      <c r="CLC72" s="97"/>
      <c r="CLD72" s="97"/>
      <c r="CLE72" s="97"/>
      <c r="CLF72" s="97"/>
      <c r="CLG72" s="97"/>
      <c r="CLH72" s="97"/>
      <c r="CLI72" s="97"/>
      <c r="CLJ72" s="97"/>
      <c r="CLK72" s="97"/>
      <c r="CLL72" s="97"/>
      <c r="CLM72" s="97"/>
      <c r="CLN72" s="97"/>
      <c r="CLO72" s="97"/>
      <c r="CLP72" s="97"/>
      <c r="CLQ72" s="97"/>
      <c r="CLR72" s="97"/>
      <c r="CLS72" s="97"/>
      <c r="CLT72" s="97"/>
      <c r="CLU72" s="97"/>
      <c r="CLV72" s="97"/>
      <c r="CLW72" s="97"/>
      <c r="CLX72" s="97"/>
      <c r="CLY72" s="97"/>
      <c r="CLZ72" s="97"/>
      <c r="CMA72" s="97"/>
      <c r="CMB72" s="97"/>
      <c r="CMC72" s="97"/>
      <c r="CMD72" s="97"/>
      <c r="CME72" s="97"/>
      <c r="CMF72" s="97"/>
      <c r="CMG72" s="97"/>
      <c r="CMH72" s="97"/>
      <c r="CMI72" s="97"/>
      <c r="CMJ72" s="97"/>
      <c r="CMK72" s="97"/>
      <c r="CML72" s="97"/>
      <c r="CMM72" s="97"/>
      <c r="CMN72" s="97"/>
      <c r="CMO72" s="97"/>
      <c r="CMP72" s="97"/>
      <c r="CMQ72" s="97"/>
      <c r="CMR72" s="97"/>
      <c r="CMS72" s="97"/>
      <c r="CMT72" s="97"/>
      <c r="CMU72" s="97"/>
      <c r="CMV72" s="97"/>
      <c r="CMW72" s="97"/>
      <c r="CMX72" s="97"/>
      <c r="CMY72" s="97"/>
      <c r="CMZ72" s="97"/>
      <c r="CNA72" s="97"/>
      <c r="CNB72" s="97"/>
      <c r="CNC72" s="97"/>
      <c r="CND72" s="97"/>
      <c r="CNE72" s="97"/>
      <c r="CNF72" s="97"/>
      <c r="CNG72" s="97"/>
      <c r="CNH72" s="97"/>
      <c r="CNI72" s="97"/>
      <c r="CNJ72" s="97"/>
      <c r="CNK72" s="97"/>
      <c r="CNL72" s="97"/>
      <c r="CNM72" s="97"/>
      <c r="CNN72" s="97"/>
      <c r="CNO72" s="97"/>
      <c r="CNP72" s="97"/>
      <c r="CNQ72" s="97"/>
      <c r="CNR72" s="97"/>
      <c r="CNS72" s="97"/>
      <c r="CNT72" s="97"/>
      <c r="CNU72" s="97"/>
      <c r="CNV72" s="97"/>
      <c r="CNW72" s="97"/>
      <c r="CNX72" s="97"/>
      <c r="CNY72" s="97"/>
      <c r="CNZ72" s="97"/>
      <c r="COA72" s="97"/>
      <c r="COB72" s="97"/>
      <c r="COC72" s="97"/>
      <c r="COD72" s="97"/>
      <c r="COE72" s="97"/>
      <c r="COF72" s="97"/>
      <c r="COG72" s="97"/>
      <c r="COH72" s="97"/>
      <c r="COI72" s="97"/>
      <c r="COJ72" s="97"/>
      <c r="COK72" s="97"/>
      <c r="COL72" s="97"/>
      <c r="COM72" s="97"/>
      <c r="CON72" s="97"/>
      <c r="COO72" s="97"/>
      <c r="COP72" s="97"/>
      <c r="COQ72" s="97"/>
      <c r="COR72" s="97"/>
      <c r="COS72" s="97"/>
      <c r="COT72" s="97"/>
      <c r="COU72" s="97"/>
      <c r="COV72" s="97"/>
      <c r="COW72" s="97"/>
      <c r="COX72" s="97"/>
      <c r="COY72" s="97"/>
      <c r="COZ72" s="97"/>
      <c r="CPA72" s="97"/>
      <c r="CPB72" s="97"/>
      <c r="CPC72" s="97"/>
      <c r="CPD72" s="97"/>
      <c r="CPE72" s="97"/>
      <c r="CPF72" s="97"/>
      <c r="CPG72" s="97"/>
      <c r="CPH72" s="97"/>
      <c r="CPI72" s="97"/>
      <c r="CPJ72" s="97"/>
      <c r="CPK72" s="97"/>
      <c r="CPL72" s="97"/>
      <c r="CPM72" s="97"/>
      <c r="CPN72" s="97"/>
      <c r="CPO72" s="97"/>
      <c r="CPP72" s="97"/>
      <c r="CPQ72" s="97"/>
      <c r="CPR72" s="97"/>
      <c r="CPS72" s="97"/>
      <c r="CPT72" s="97"/>
      <c r="CPU72" s="97"/>
      <c r="CPV72" s="97"/>
      <c r="CPW72" s="97"/>
      <c r="CPX72" s="97"/>
      <c r="CPY72" s="97"/>
      <c r="CPZ72" s="97"/>
      <c r="CQA72" s="97"/>
      <c r="CQB72" s="97"/>
      <c r="CQC72" s="97"/>
      <c r="CQD72" s="97"/>
      <c r="CQE72" s="97"/>
      <c r="CQF72" s="97"/>
      <c r="CQG72" s="97"/>
      <c r="CQH72" s="97"/>
      <c r="CQI72" s="97"/>
      <c r="CQJ72" s="97"/>
      <c r="CQK72" s="97"/>
      <c r="CQL72" s="97"/>
      <c r="CQM72" s="97"/>
      <c r="CQN72" s="97"/>
      <c r="CQO72" s="97"/>
      <c r="CQP72" s="97"/>
      <c r="CQQ72" s="97"/>
      <c r="CQR72" s="97"/>
      <c r="CQS72" s="97"/>
      <c r="CQT72" s="97"/>
      <c r="CQU72" s="97"/>
      <c r="CQV72" s="97"/>
      <c r="CQW72" s="97"/>
      <c r="CQX72" s="97"/>
      <c r="CQY72" s="97"/>
      <c r="CQZ72" s="97"/>
      <c r="CRA72" s="97"/>
      <c r="CRB72" s="97"/>
      <c r="CRC72" s="97"/>
      <c r="CRD72" s="97"/>
      <c r="CRE72" s="97"/>
      <c r="CRF72" s="97"/>
      <c r="CRG72" s="97"/>
      <c r="CRH72" s="97"/>
      <c r="CRI72" s="97"/>
      <c r="CRJ72" s="97"/>
      <c r="CRK72" s="97"/>
      <c r="CRL72" s="97"/>
      <c r="CRM72" s="97"/>
      <c r="CRN72" s="97"/>
      <c r="CRO72" s="97"/>
      <c r="CRP72" s="97"/>
      <c r="CRQ72" s="97"/>
      <c r="CRR72" s="97"/>
      <c r="CRS72" s="97"/>
      <c r="CRT72" s="97"/>
      <c r="CRU72" s="97"/>
      <c r="CRV72" s="97"/>
      <c r="CRW72" s="97"/>
      <c r="CRX72" s="97"/>
      <c r="CRY72" s="97"/>
      <c r="CRZ72" s="97"/>
      <c r="CSA72" s="97"/>
      <c r="CSB72" s="97"/>
      <c r="CSC72" s="97"/>
      <c r="CSD72" s="97"/>
      <c r="CSE72" s="97"/>
      <c r="CSF72" s="97"/>
      <c r="CSG72" s="97"/>
      <c r="CSH72" s="97"/>
      <c r="CSI72" s="97"/>
      <c r="CSJ72" s="97"/>
      <c r="CSK72" s="97"/>
      <c r="CSL72" s="97"/>
      <c r="CSM72" s="97"/>
      <c r="CSN72" s="97"/>
      <c r="CSO72" s="97"/>
      <c r="CSP72" s="97"/>
      <c r="CSQ72" s="97"/>
      <c r="CSR72" s="97"/>
      <c r="CSS72" s="97"/>
      <c r="CST72" s="97"/>
      <c r="CSU72" s="97"/>
      <c r="CSV72" s="97"/>
      <c r="CSW72" s="97"/>
      <c r="CSX72" s="97"/>
      <c r="CSY72" s="97"/>
      <c r="CSZ72" s="97"/>
      <c r="CTA72" s="97"/>
      <c r="CTB72" s="97"/>
      <c r="CTC72" s="97"/>
      <c r="CTD72" s="97"/>
      <c r="CTE72" s="97"/>
      <c r="CTF72" s="97"/>
      <c r="CTG72" s="97"/>
      <c r="CTH72" s="97"/>
      <c r="CTI72" s="97"/>
      <c r="CTJ72" s="97"/>
      <c r="CTK72" s="97"/>
      <c r="CTL72" s="97"/>
      <c r="CTM72" s="97"/>
      <c r="CTN72" s="97"/>
      <c r="CTO72" s="97"/>
      <c r="CTP72" s="97"/>
      <c r="CTQ72" s="97"/>
      <c r="CTR72" s="97"/>
      <c r="CTS72" s="97"/>
      <c r="CTT72" s="97"/>
      <c r="CTU72" s="97"/>
      <c r="CTV72" s="97"/>
      <c r="CTW72" s="97"/>
      <c r="CTX72" s="97"/>
      <c r="CTY72" s="97"/>
      <c r="CTZ72" s="97"/>
      <c r="CUA72" s="97"/>
      <c r="CUB72" s="97"/>
      <c r="CUC72" s="97"/>
      <c r="CUD72" s="97"/>
      <c r="CUE72" s="97"/>
      <c r="CUF72" s="97"/>
      <c r="CUG72" s="97"/>
      <c r="CUH72" s="97"/>
      <c r="CUI72" s="97"/>
      <c r="CUJ72" s="97"/>
      <c r="CUK72" s="97"/>
      <c r="CUL72" s="97"/>
      <c r="CUM72" s="97"/>
      <c r="CUN72" s="97"/>
      <c r="CUO72" s="97"/>
      <c r="CUP72" s="97"/>
      <c r="CUQ72" s="97"/>
      <c r="CUR72" s="97"/>
      <c r="CUS72" s="97"/>
      <c r="CUT72" s="97"/>
      <c r="CUU72" s="97"/>
      <c r="CUV72" s="97"/>
      <c r="CUW72" s="97"/>
      <c r="CUX72" s="97"/>
      <c r="CUY72" s="97"/>
      <c r="CUZ72" s="97"/>
      <c r="CVA72" s="97"/>
      <c r="CVB72" s="97"/>
      <c r="CVC72" s="97"/>
      <c r="CVD72" s="97"/>
      <c r="CVE72" s="97"/>
      <c r="CVF72" s="97"/>
      <c r="CVG72" s="97"/>
      <c r="CVH72" s="97"/>
      <c r="CVI72" s="97"/>
      <c r="CVJ72" s="97"/>
      <c r="CVK72" s="97"/>
      <c r="CVL72" s="97"/>
      <c r="CVM72" s="97"/>
      <c r="CVN72" s="97"/>
      <c r="CVO72" s="97"/>
      <c r="CVP72" s="97"/>
      <c r="CVQ72" s="97"/>
      <c r="CVR72" s="97"/>
      <c r="CVS72" s="97"/>
      <c r="CVT72" s="97"/>
      <c r="CVU72" s="97"/>
      <c r="CVV72" s="97"/>
      <c r="CVW72" s="97"/>
      <c r="CVX72" s="97"/>
      <c r="CVY72" s="97"/>
      <c r="CVZ72" s="97"/>
      <c r="CWA72" s="97"/>
      <c r="CWB72" s="97"/>
      <c r="CWC72" s="97"/>
      <c r="CWD72" s="97"/>
      <c r="CWE72" s="97"/>
      <c r="CWF72" s="97"/>
      <c r="CWG72" s="97"/>
      <c r="CWH72" s="97"/>
      <c r="CWI72" s="97"/>
      <c r="CWJ72" s="97"/>
      <c r="CWK72" s="97"/>
      <c r="CWL72" s="97"/>
      <c r="CWM72" s="97"/>
      <c r="CWN72" s="97"/>
      <c r="CWO72" s="97"/>
      <c r="CWP72" s="97"/>
      <c r="CWQ72" s="97"/>
      <c r="CWR72" s="97"/>
      <c r="CWS72" s="97"/>
      <c r="CWT72" s="97"/>
      <c r="CWU72" s="97"/>
      <c r="CWV72" s="97"/>
      <c r="CWW72" s="97"/>
      <c r="CWX72" s="97"/>
      <c r="CWY72" s="97"/>
      <c r="CWZ72" s="97"/>
      <c r="CXA72" s="97"/>
      <c r="CXB72" s="97"/>
      <c r="CXC72" s="97"/>
      <c r="CXD72" s="97"/>
      <c r="CXE72" s="97"/>
      <c r="CXF72" s="97"/>
      <c r="CXG72" s="97"/>
      <c r="CXH72" s="97"/>
      <c r="CXI72" s="97"/>
      <c r="CXJ72" s="97"/>
      <c r="CXK72" s="97"/>
      <c r="CXL72" s="97"/>
      <c r="CXM72" s="97"/>
      <c r="CXN72" s="97"/>
      <c r="CXO72" s="97"/>
      <c r="CXP72" s="97"/>
      <c r="CXQ72" s="97"/>
      <c r="CXR72" s="97"/>
      <c r="CXS72" s="97"/>
      <c r="CXT72" s="97"/>
      <c r="CXU72" s="97"/>
      <c r="CXV72" s="97"/>
      <c r="CXW72" s="97"/>
      <c r="CXX72" s="97"/>
      <c r="CXY72" s="97"/>
      <c r="CXZ72" s="97"/>
      <c r="CYA72" s="97"/>
      <c r="CYB72" s="97"/>
      <c r="CYC72" s="97"/>
      <c r="CYD72" s="97"/>
      <c r="CYE72" s="97"/>
      <c r="CYF72" s="97"/>
      <c r="CYG72" s="97"/>
      <c r="CYH72" s="97"/>
      <c r="CYI72" s="97"/>
      <c r="CYJ72" s="97"/>
      <c r="CYK72" s="97"/>
      <c r="CYL72" s="97"/>
      <c r="CYM72" s="97"/>
      <c r="CYN72" s="97"/>
      <c r="CYO72" s="97"/>
      <c r="CYP72" s="97"/>
      <c r="CYQ72" s="97"/>
      <c r="CYR72" s="97"/>
      <c r="CYS72" s="97"/>
      <c r="CYT72" s="97"/>
      <c r="CYU72" s="97"/>
      <c r="CYV72" s="97"/>
      <c r="CYW72" s="97"/>
      <c r="CYX72" s="97"/>
      <c r="CYY72" s="97"/>
      <c r="CYZ72" s="97"/>
      <c r="CZA72" s="97"/>
      <c r="CZB72" s="97"/>
      <c r="CZC72" s="97"/>
      <c r="CZD72" s="97"/>
      <c r="CZE72" s="97"/>
      <c r="CZF72" s="97"/>
      <c r="CZG72" s="97"/>
      <c r="CZH72" s="97"/>
      <c r="CZI72" s="97"/>
      <c r="CZJ72" s="97"/>
      <c r="CZK72" s="97"/>
      <c r="CZL72" s="97"/>
      <c r="CZM72" s="97"/>
      <c r="CZN72" s="97"/>
      <c r="CZO72" s="97"/>
      <c r="CZP72" s="97"/>
      <c r="CZQ72" s="97"/>
      <c r="CZR72" s="97"/>
      <c r="CZS72" s="97"/>
      <c r="CZT72" s="97"/>
      <c r="CZU72" s="97"/>
      <c r="CZV72" s="97"/>
      <c r="CZW72" s="97"/>
      <c r="CZX72" s="97"/>
      <c r="CZY72" s="97"/>
      <c r="CZZ72" s="97"/>
      <c r="DAA72" s="97"/>
      <c r="DAB72" s="97"/>
      <c r="DAC72" s="97"/>
      <c r="DAD72" s="97"/>
      <c r="DAE72" s="97"/>
      <c r="DAF72" s="97"/>
      <c r="DAG72" s="97"/>
      <c r="DAH72" s="97"/>
      <c r="DAI72" s="97"/>
      <c r="DAJ72" s="97"/>
      <c r="DAK72" s="97"/>
      <c r="DAL72" s="97"/>
      <c r="DAM72" s="97"/>
      <c r="DAN72" s="97"/>
      <c r="DAO72" s="97"/>
      <c r="DAP72" s="97"/>
      <c r="DAQ72" s="97"/>
      <c r="DAR72" s="97"/>
      <c r="DAS72" s="97"/>
      <c r="DAT72" s="97"/>
      <c r="DAU72" s="97"/>
      <c r="DAV72" s="97"/>
      <c r="DAW72" s="97"/>
      <c r="DAX72" s="97"/>
      <c r="DAY72" s="97"/>
      <c r="DAZ72" s="97"/>
      <c r="DBA72" s="97"/>
      <c r="DBB72" s="97"/>
      <c r="DBC72" s="97"/>
      <c r="DBD72" s="97"/>
      <c r="DBE72" s="97"/>
      <c r="DBF72" s="97"/>
      <c r="DBG72" s="97"/>
      <c r="DBH72" s="97"/>
      <c r="DBI72" s="97"/>
      <c r="DBJ72" s="97"/>
      <c r="DBK72" s="97"/>
      <c r="DBL72" s="97"/>
      <c r="DBM72" s="97"/>
      <c r="DBN72" s="97"/>
      <c r="DBO72" s="97"/>
      <c r="DBP72" s="97"/>
      <c r="DBQ72" s="97"/>
      <c r="DBR72" s="97"/>
      <c r="DBS72" s="97"/>
      <c r="DBT72" s="97"/>
      <c r="DBU72" s="97"/>
      <c r="DBV72" s="97"/>
      <c r="DBW72" s="97"/>
      <c r="DBX72" s="97"/>
      <c r="DBY72" s="97"/>
      <c r="DBZ72" s="97"/>
      <c r="DCA72" s="97"/>
      <c r="DCB72" s="97"/>
      <c r="DCC72" s="97"/>
      <c r="DCD72" s="97"/>
      <c r="DCE72" s="97"/>
      <c r="DCF72" s="97"/>
      <c r="DCG72" s="97"/>
      <c r="DCH72" s="97"/>
      <c r="DCI72" s="97"/>
      <c r="DCJ72" s="97"/>
      <c r="DCK72" s="97"/>
      <c r="DCL72" s="97"/>
      <c r="DCM72" s="97"/>
      <c r="DCN72" s="97"/>
      <c r="DCO72" s="97"/>
      <c r="DCP72" s="97"/>
      <c r="DCQ72" s="97"/>
      <c r="DCR72" s="97"/>
      <c r="DCS72" s="97"/>
      <c r="DCT72" s="97"/>
      <c r="DCU72" s="97"/>
      <c r="DCV72" s="97"/>
      <c r="DCW72" s="97"/>
      <c r="DCX72" s="97"/>
      <c r="DCY72" s="97"/>
      <c r="DCZ72" s="97"/>
      <c r="DDA72" s="97"/>
      <c r="DDB72" s="97"/>
      <c r="DDC72" s="97"/>
      <c r="DDD72" s="97"/>
      <c r="DDE72" s="97"/>
      <c r="DDF72" s="97"/>
      <c r="DDG72" s="97"/>
      <c r="DDH72" s="97"/>
      <c r="DDI72" s="97"/>
      <c r="DDJ72" s="97"/>
      <c r="DDK72" s="97"/>
      <c r="DDL72" s="97"/>
      <c r="DDM72" s="97"/>
      <c r="DDN72" s="97"/>
      <c r="DDO72" s="97"/>
      <c r="DDP72" s="97"/>
      <c r="DDQ72" s="97"/>
      <c r="DDR72" s="97"/>
      <c r="DDS72" s="97"/>
      <c r="DDT72" s="97"/>
      <c r="DDU72" s="97"/>
      <c r="DDV72" s="97"/>
      <c r="DDW72" s="97"/>
      <c r="DDX72" s="97"/>
      <c r="DDY72" s="97"/>
      <c r="DDZ72" s="97"/>
      <c r="DEA72" s="97"/>
      <c r="DEB72" s="97"/>
      <c r="DEC72" s="97"/>
      <c r="DED72" s="97"/>
      <c r="DEE72" s="97"/>
      <c r="DEF72" s="97"/>
      <c r="DEG72" s="97"/>
      <c r="DEH72" s="97"/>
      <c r="DEI72" s="97"/>
      <c r="DEJ72" s="97"/>
      <c r="DEK72" s="97"/>
      <c r="DEL72" s="97"/>
      <c r="DEM72" s="97"/>
      <c r="DEN72" s="97"/>
      <c r="DEO72" s="97"/>
      <c r="DEP72" s="97"/>
      <c r="DEQ72" s="97"/>
      <c r="DER72" s="97"/>
      <c r="DES72" s="97"/>
      <c r="DET72" s="97"/>
      <c r="DEU72" s="97"/>
      <c r="DEV72" s="97"/>
      <c r="DEW72" s="97"/>
      <c r="DEX72" s="97"/>
      <c r="DEY72" s="97"/>
      <c r="DEZ72" s="97"/>
      <c r="DFA72" s="97"/>
      <c r="DFB72" s="97"/>
      <c r="DFC72" s="97"/>
      <c r="DFD72" s="97"/>
      <c r="DFE72" s="97"/>
      <c r="DFF72" s="97"/>
      <c r="DFG72" s="97"/>
      <c r="DFH72" s="97"/>
      <c r="DFI72" s="97"/>
      <c r="DFJ72" s="97"/>
      <c r="DFK72" s="97"/>
      <c r="DFL72" s="97"/>
      <c r="DFM72" s="97"/>
      <c r="DFN72" s="97"/>
      <c r="DFO72" s="97"/>
      <c r="DFP72" s="97"/>
      <c r="DFQ72" s="97"/>
      <c r="DFR72" s="97"/>
      <c r="DFS72" s="97"/>
      <c r="DFT72" s="97"/>
      <c r="DFU72" s="97"/>
      <c r="DFV72" s="97"/>
      <c r="DFW72" s="97"/>
      <c r="DFX72" s="97"/>
      <c r="DFY72" s="97"/>
      <c r="DFZ72" s="97"/>
      <c r="DGA72" s="97"/>
      <c r="DGB72" s="97"/>
      <c r="DGC72" s="97"/>
      <c r="DGD72" s="97"/>
      <c r="DGE72" s="97"/>
      <c r="DGF72" s="97"/>
      <c r="DGG72" s="97"/>
      <c r="DGH72" s="97"/>
      <c r="DGI72" s="97"/>
      <c r="DGJ72" s="97"/>
      <c r="DGK72" s="97"/>
      <c r="DGL72" s="97"/>
      <c r="DGM72" s="97"/>
      <c r="DGN72" s="97"/>
      <c r="DGO72" s="97"/>
      <c r="DGP72" s="97"/>
      <c r="DGQ72" s="97"/>
      <c r="DGR72" s="97"/>
      <c r="DGS72" s="97"/>
      <c r="DGT72" s="97"/>
      <c r="DGU72" s="97"/>
      <c r="DGV72" s="97"/>
      <c r="DGW72" s="97"/>
      <c r="DGX72" s="97"/>
      <c r="DGY72" s="97"/>
      <c r="DGZ72" s="97"/>
      <c r="DHA72" s="97"/>
      <c r="DHB72" s="97"/>
      <c r="DHC72" s="97"/>
      <c r="DHD72" s="97"/>
      <c r="DHE72" s="97"/>
      <c r="DHF72" s="97"/>
      <c r="DHG72" s="97"/>
      <c r="DHH72" s="97"/>
      <c r="DHI72" s="97"/>
      <c r="DHJ72" s="97"/>
      <c r="DHK72" s="97"/>
      <c r="DHL72" s="97"/>
      <c r="DHM72" s="97"/>
      <c r="DHN72" s="97"/>
      <c r="DHO72" s="97"/>
      <c r="DHP72" s="97"/>
      <c r="DHQ72" s="97"/>
      <c r="DHR72" s="97"/>
      <c r="DHS72" s="97"/>
      <c r="DHT72" s="97"/>
      <c r="DHU72" s="97"/>
      <c r="DHV72" s="97"/>
      <c r="DHW72" s="97"/>
      <c r="DHX72" s="97"/>
      <c r="DHY72" s="97"/>
      <c r="DHZ72" s="97"/>
      <c r="DIA72" s="97"/>
      <c r="DIB72" s="97"/>
      <c r="DIC72" s="97"/>
      <c r="DID72" s="97"/>
      <c r="DIE72" s="97"/>
      <c r="DIF72" s="97"/>
      <c r="DIG72" s="97"/>
      <c r="DIH72" s="97"/>
      <c r="DII72" s="97"/>
      <c r="DIJ72" s="97"/>
      <c r="DIK72" s="97"/>
      <c r="DIL72" s="97"/>
      <c r="DIM72" s="97"/>
      <c r="DIN72" s="97"/>
      <c r="DIO72" s="97"/>
      <c r="DIP72" s="97"/>
      <c r="DIQ72" s="97"/>
      <c r="DIR72" s="97"/>
      <c r="DIS72" s="97"/>
      <c r="DIT72" s="97"/>
      <c r="DIU72" s="97"/>
      <c r="DIV72" s="97"/>
      <c r="DIW72" s="97"/>
      <c r="DIX72" s="97"/>
      <c r="DIY72" s="97"/>
      <c r="DIZ72" s="97"/>
      <c r="DJA72" s="97"/>
      <c r="DJB72" s="97"/>
      <c r="DJC72" s="97"/>
      <c r="DJD72" s="97"/>
      <c r="DJE72" s="97"/>
      <c r="DJF72" s="97"/>
      <c r="DJG72" s="97"/>
      <c r="DJH72" s="97"/>
      <c r="DJI72" s="97"/>
      <c r="DJJ72" s="97"/>
      <c r="DJK72" s="97"/>
      <c r="DJL72" s="97"/>
      <c r="DJM72" s="97"/>
      <c r="DJN72" s="97"/>
      <c r="DJO72" s="97"/>
      <c r="DJP72" s="97"/>
      <c r="DJQ72" s="97"/>
      <c r="DJR72" s="97"/>
      <c r="DJS72" s="97"/>
      <c r="DJT72" s="97"/>
      <c r="DJU72" s="97"/>
      <c r="DJV72" s="97"/>
      <c r="DJW72" s="97"/>
      <c r="DJX72" s="97"/>
      <c r="DJY72" s="97"/>
      <c r="DJZ72" s="97"/>
      <c r="DKA72" s="97"/>
      <c r="DKB72" s="97"/>
      <c r="DKC72" s="97"/>
      <c r="DKD72" s="97"/>
      <c r="DKE72" s="97"/>
      <c r="DKF72" s="97"/>
      <c r="DKG72" s="97"/>
      <c r="DKH72" s="97"/>
      <c r="DKI72" s="97"/>
      <c r="DKJ72" s="97"/>
      <c r="DKK72" s="97"/>
      <c r="DKL72" s="97"/>
      <c r="DKM72" s="97"/>
      <c r="DKN72" s="97"/>
      <c r="DKO72" s="97"/>
      <c r="DKP72" s="97"/>
      <c r="DKQ72" s="97"/>
      <c r="DKR72" s="97"/>
      <c r="DKS72" s="97"/>
      <c r="DKT72" s="97"/>
      <c r="DKU72" s="97"/>
      <c r="DKV72" s="97"/>
      <c r="DKW72" s="97"/>
      <c r="DKX72" s="97"/>
      <c r="DKY72" s="97"/>
      <c r="DKZ72" s="97"/>
      <c r="DLA72" s="97"/>
      <c r="DLB72" s="97"/>
      <c r="DLC72" s="97"/>
      <c r="DLD72" s="97"/>
      <c r="DLE72" s="97"/>
      <c r="DLF72" s="97"/>
      <c r="DLG72" s="97"/>
      <c r="DLH72" s="97"/>
      <c r="DLI72" s="97"/>
      <c r="DLJ72" s="97"/>
      <c r="DLK72" s="97"/>
      <c r="DLL72" s="97"/>
      <c r="DLM72" s="97"/>
      <c r="DLN72" s="97"/>
      <c r="DLO72" s="97"/>
      <c r="DLP72" s="97"/>
      <c r="DLQ72" s="97"/>
      <c r="DLR72" s="97"/>
      <c r="DLS72" s="97"/>
      <c r="DLT72" s="97"/>
      <c r="DLU72" s="97"/>
      <c r="DLV72" s="97"/>
      <c r="DLW72" s="97"/>
      <c r="DLX72" s="97"/>
      <c r="DLY72" s="97"/>
      <c r="DLZ72" s="97"/>
      <c r="DMA72" s="97"/>
      <c r="DMB72" s="97"/>
      <c r="DMC72" s="97"/>
      <c r="DMD72" s="97"/>
      <c r="DME72" s="97"/>
      <c r="DMF72" s="97"/>
      <c r="DMG72" s="97"/>
      <c r="DMH72" s="97"/>
      <c r="DMI72" s="97"/>
      <c r="DMJ72" s="97"/>
      <c r="DMK72" s="97"/>
      <c r="DML72" s="97"/>
      <c r="DMM72" s="97"/>
      <c r="DMN72" s="97"/>
      <c r="DMO72" s="97"/>
      <c r="DMP72" s="97"/>
      <c r="DMQ72" s="97"/>
      <c r="DMR72" s="97"/>
      <c r="DMS72" s="97"/>
      <c r="DMT72" s="97"/>
      <c r="DMU72" s="97"/>
      <c r="DMV72" s="97"/>
      <c r="DMW72" s="97"/>
      <c r="DMX72" s="97"/>
      <c r="DMY72" s="97"/>
      <c r="DMZ72" s="97"/>
      <c r="DNA72" s="97"/>
      <c r="DNB72" s="97"/>
      <c r="DNC72" s="97"/>
      <c r="DND72" s="97"/>
      <c r="DNE72" s="97"/>
      <c r="DNF72" s="97"/>
      <c r="DNG72" s="97"/>
      <c r="DNH72" s="97"/>
      <c r="DNI72" s="97"/>
      <c r="DNJ72" s="97"/>
      <c r="DNK72" s="97"/>
      <c r="DNL72" s="97"/>
      <c r="DNM72" s="97"/>
      <c r="DNN72" s="97"/>
      <c r="DNO72" s="97"/>
      <c r="DNP72" s="97"/>
      <c r="DNQ72" s="97"/>
      <c r="DNR72" s="97"/>
      <c r="DNS72" s="97"/>
      <c r="DNT72" s="97"/>
      <c r="DNU72" s="97"/>
      <c r="DNV72" s="97"/>
      <c r="DNW72" s="97"/>
      <c r="DNX72" s="97"/>
      <c r="DNY72" s="97"/>
      <c r="DNZ72" s="97"/>
      <c r="DOA72" s="97"/>
      <c r="DOB72" s="97"/>
      <c r="DOC72" s="97"/>
      <c r="DOD72" s="97"/>
      <c r="DOE72" s="97"/>
      <c r="DOF72" s="97"/>
      <c r="DOG72" s="97"/>
      <c r="DOH72" s="97"/>
      <c r="DOI72" s="97"/>
      <c r="DOJ72" s="97"/>
      <c r="DOK72" s="97"/>
      <c r="DOL72" s="97"/>
      <c r="DOM72" s="97"/>
      <c r="DON72" s="97"/>
      <c r="DOO72" s="97"/>
      <c r="DOP72" s="97"/>
      <c r="DOQ72" s="97"/>
      <c r="DOR72" s="97"/>
      <c r="DOS72" s="97"/>
      <c r="DOT72" s="97"/>
      <c r="DOU72" s="97"/>
      <c r="DOV72" s="97"/>
      <c r="DOW72" s="97"/>
      <c r="DOX72" s="97"/>
      <c r="DOY72" s="97"/>
      <c r="DOZ72" s="97"/>
      <c r="DPA72" s="97"/>
      <c r="DPB72" s="97"/>
      <c r="DPC72" s="97"/>
      <c r="DPD72" s="97"/>
      <c r="DPE72" s="97"/>
      <c r="DPF72" s="97"/>
      <c r="DPG72" s="97"/>
      <c r="DPH72" s="97"/>
      <c r="DPI72" s="97"/>
      <c r="DPJ72" s="97"/>
      <c r="DPK72" s="97"/>
      <c r="DPL72" s="97"/>
      <c r="DPM72" s="97"/>
      <c r="DPN72" s="97"/>
      <c r="DPO72" s="97"/>
      <c r="DPP72" s="97"/>
      <c r="DPQ72" s="97"/>
      <c r="DPR72" s="97"/>
      <c r="DPS72" s="97"/>
      <c r="DPT72" s="97"/>
      <c r="DPU72" s="97"/>
      <c r="DPV72" s="97"/>
      <c r="DPW72" s="97"/>
      <c r="DPX72" s="97"/>
      <c r="DPY72" s="97"/>
      <c r="DPZ72" s="97"/>
      <c r="DQA72" s="97"/>
      <c r="DQB72" s="97"/>
      <c r="DQC72" s="97"/>
      <c r="DQD72" s="97"/>
      <c r="DQE72" s="97"/>
      <c r="DQF72" s="97"/>
      <c r="DQG72" s="97"/>
      <c r="DQH72" s="97"/>
      <c r="DQI72" s="97"/>
      <c r="DQJ72" s="97"/>
      <c r="DQK72" s="97"/>
      <c r="DQL72" s="97"/>
      <c r="DQM72" s="97"/>
      <c r="DQN72" s="97"/>
      <c r="DQO72" s="97"/>
      <c r="DQP72" s="97"/>
      <c r="DQQ72" s="97"/>
      <c r="DQR72" s="97"/>
      <c r="DQS72" s="97"/>
      <c r="DQT72" s="97"/>
      <c r="DQU72" s="97"/>
      <c r="DQV72" s="97"/>
      <c r="DQW72" s="97"/>
      <c r="DQX72" s="97"/>
      <c r="DQY72" s="97"/>
      <c r="DQZ72" s="97"/>
      <c r="DRA72" s="97"/>
      <c r="DRB72" s="97"/>
      <c r="DRC72" s="97"/>
      <c r="DRD72" s="97"/>
      <c r="DRE72" s="97"/>
      <c r="DRF72" s="97"/>
      <c r="DRG72" s="97"/>
      <c r="DRH72" s="97"/>
      <c r="DRI72" s="97"/>
      <c r="DRJ72" s="97"/>
      <c r="DRK72" s="97"/>
      <c r="DRL72" s="97"/>
      <c r="DRM72" s="97"/>
      <c r="DRN72" s="97"/>
      <c r="DRO72" s="97"/>
      <c r="DRP72" s="97"/>
      <c r="DRQ72" s="97"/>
      <c r="DRR72" s="97"/>
      <c r="DRS72" s="97"/>
      <c r="DRT72" s="97"/>
      <c r="DRU72" s="97"/>
      <c r="DRV72" s="97"/>
      <c r="DRW72" s="97"/>
      <c r="DRX72" s="97"/>
      <c r="DRY72" s="97"/>
      <c r="DRZ72" s="97"/>
      <c r="DSA72" s="97"/>
      <c r="DSB72" s="97"/>
      <c r="DSC72" s="97"/>
      <c r="DSD72" s="97"/>
      <c r="DSE72" s="97"/>
      <c r="DSF72" s="97"/>
      <c r="DSG72" s="97"/>
      <c r="DSH72" s="97"/>
      <c r="DSI72" s="97"/>
      <c r="DSJ72" s="97"/>
      <c r="DSK72" s="97"/>
      <c r="DSL72" s="97"/>
      <c r="DSM72" s="97"/>
      <c r="DSN72" s="97"/>
      <c r="DSO72" s="97"/>
      <c r="DSP72" s="97"/>
      <c r="DSQ72" s="97"/>
      <c r="DSR72" s="97"/>
      <c r="DSS72" s="97"/>
      <c r="DST72" s="97"/>
      <c r="DSU72" s="97"/>
      <c r="DSV72" s="97"/>
      <c r="DSW72" s="97"/>
      <c r="DSX72" s="97"/>
      <c r="DSY72" s="97"/>
      <c r="DSZ72" s="97"/>
      <c r="DTA72" s="97"/>
      <c r="DTB72" s="97"/>
      <c r="DTC72" s="97"/>
      <c r="DTD72" s="97"/>
      <c r="DTE72" s="97"/>
      <c r="DTF72" s="97"/>
      <c r="DTG72" s="97"/>
      <c r="DTH72" s="97"/>
      <c r="DTI72" s="97"/>
      <c r="DTJ72" s="97"/>
      <c r="DTK72" s="97"/>
      <c r="DTL72" s="97"/>
      <c r="DTM72" s="97"/>
      <c r="DTN72" s="97"/>
      <c r="DTO72" s="97"/>
      <c r="DTP72" s="97"/>
      <c r="DTQ72" s="97"/>
      <c r="DTR72" s="97"/>
      <c r="DTS72" s="97"/>
      <c r="DTT72" s="97"/>
      <c r="DTU72" s="97"/>
      <c r="DTV72" s="97"/>
      <c r="DTW72" s="97"/>
      <c r="DTX72" s="97"/>
      <c r="DTY72" s="97"/>
      <c r="DTZ72" s="97"/>
      <c r="DUA72" s="97"/>
      <c r="DUB72" s="97"/>
      <c r="DUC72" s="97"/>
      <c r="DUD72" s="97"/>
      <c r="DUE72" s="97"/>
      <c r="DUF72" s="97"/>
      <c r="DUG72" s="97"/>
      <c r="DUH72" s="97"/>
      <c r="DUI72" s="97"/>
      <c r="DUJ72" s="97"/>
      <c r="DUK72" s="97"/>
      <c r="DUL72" s="97"/>
      <c r="DUM72" s="97"/>
      <c r="DUN72" s="97"/>
      <c r="DUO72" s="97"/>
      <c r="DUP72" s="97"/>
      <c r="DUQ72" s="97"/>
      <c r="DUR72" s="97"/>
      <c r="DUS72" s="97"/>
      <c r="DUT72" s="97"/>
      <c r="DUU72" s="97"/>
      <c r="DUV72" s="97"/>
      <c r="DUW72" s="97"/>
      <c r="DUX72" s="97"/>
      <c r="DUY72" s="97"/>
      <c r="DUZ72" s="97"/>
      <c r="DVA72" s="97"/>
      <c r="DVB72" s="97"/>
      <c r="DVC72" s="97"/>
      <c r="DVD72" s="97"/>
      <c r="DVE72" s="97"/>
      <c r="DVF72" s="97"/>
      <c r="DVG72" s="97"/>
      <c r="DVH72" s="97"/>
      <c r="DVI72" s="97"/>
      <c r="DVJ72" s="97"/>
      <c r="DVK72" s="97"/>
      <c r="DVL72" s="97"/>
      <c r="DVM72" s="97"/>
      <c r="DVN72" s="97"/>
      <c r="DVO72" s="97"/>
      <c r="DVP72" s="97"/>
      <c r="DVQ72" s="97"/>
      <c r="DVR72" s="97"/>
      <c r="DVS72" s="97"/>
      <c r="DVT72" s="97"/>
      <c r="DVU72" s="97"/>
      <c r="DVV72" s="97"/>
      <c r="DVW72" s="97"/>
      <c r="DVX72" s="97"/>
      <c r="DVY72" s="97"/>
      <c r="DVZ72" s="97"/>
      <c r="DWA72" s="97"/>
      <c r="DWB72" s="97"/>
      <c r="DWC72" s="97"/>
      <c r="DWD72" s="97"/>
      <c r="DWE72" s="97"/>
      <c r="DWF72" s="97"/>
      <c r="DWG72" s="97"/>
      <c r="DWH72" s="97"/>
      <c r="DWI72" s="97"/>
      <c r="DWJ72" s="97"/>
      <c r="DWK72" s="97"/>
      <c r="DWL72" s="97"/>
      <c r="DWM72" s="97"/>
      <c r="DWN72" s="97"/>
      <c r="DWO72" s="97"/>
      <c r="DWP72" s="97"/>
      <c r="DWQ72" s="97"/>
      <c r="DWR72" s="97"/>
      <c r="DWS72" s="97"/>
      <c r="DWT72" s="97"/>
      <c r="DWU72" s="97"/>
      <c r="DWV72" s="97"/>
      <c r="DWW72" s="97"/>
      <c r="DWX72" s="97"/>
      <c r="DWY72" s="97"/>
      <c r="DWZ72" s="97"/>
      <c r="DXA72" s="97"/>
      <c r="DXB72" s="97"/>
      <c r="DXC72" s="97"/>
      <c r="DXD72" s="97"/>
      <c r="DXE72" s="97"/>
      <c r="DXF72" s="97"/>
      <c r="DXG72" s="97"/>
      <c r="DXH72" s="97"/>
      <c r="DXI72" s="97"/>
      <c r="DXJ72" s="97"/>
      <c r="DXK72" s="97"/>
      <c r="DXL72" s="97"/>
      <c r="DXM72" s="97"/>
      <c r="DXN72" s="97"/>
      <c r="DXO72" s="97"/>
      <c r="DXP72" s="97"/>
      <c r="DXQ72" s="97"/>
      <c r="DXR72" s="97"/>
      <c r="DXS72" s="97"/>
      <c r="DXT72" s="97"/>
      <c r="DXU72" s="97"/>
      <c r="DXV72" s="97"/>
      <c r="DXW72" s="97"/>
      <c r="DXX72" s="97"/>
      <c r="DXY72" s="97"/>
      <c r="DXZ72" s="97"/>
      <c r="DYA72" s="97"/>
      <c r="DYB72" s="97"/>
      <c r="DYC72" s="97"/>
      <c r="DYD72" s="97"/>
      <c r="DYE72" s="97"/>
      <c r="DYF72" s="97"/>
      <c r="DYG72" s="97"/>
      <c r="DYH72" s="97"/>
      <c r="DYI72" s="97"/>
      <c r="DYJ72" s="97"/>
      <c r="DYK72" s="97"/>
      <c r="DYL72" s="97"/>
      <c r="DYM72" s="97"/>
      <c r="DYN72" s="97"/>
      <c r="DYO72" s="97"/>
      <c r="DYP72" s="97"/>
      <c r="DYQ72" s="97"/>
      <c r="DYR72" s="97"/>
      <c r="DYS72" s="97"/>
      <c r="DYT72" s="97"/>
      <c r="DYU72" s="97"/>
      <c r="DYV72" s="97"/>
      <c r="DYW72" s="97"/>
      <c r="DYX72" s="97"/>
      <c r="DYY72" s="97"/>
      <c r="DYZ72" s="97"/>
      <c r="DZA72" s="97"/>
      <c r="DZB72" s="97"/>
      <c r="DZC72" s="97"/>
      <c r="DZD72" s="97"/>
      <c r="DZE72" s="97"/>
      <c r="DZF72" s="97"/>
      <c r="DZG72" s="97"/>
      <c r="DZH72" s="97"/>
      <c r="DZI72" s="97"/>
      <c r="DZJ72" s="97"/>
      <c r="DZK72" s="97"/>
      <c r="DZL72" s="97"/>
      <c r="DZM72" s="97"/>
      <c r="DZN72" s="97"/>
      <c r="DZO72" s="97"/>
      <c r="DZP72" s="97"/>
      <c r="DZQ72" s="97"/>
      <c r="DZR72" s="97"/>
      <c r="DZS72" s="97"/>
      <c r="DZT72" s="97"/>
      <c r="DZU72" s="97"/>
      <c r="DZV72" s="97"/>
      <c r="DZW72" s="97"/>
      <c r="DZX72" s="97"/>
      <c r="DZY72" s="97"/>
      <c r="DZZ72" s="97"/>
      <c r="EAA72" s="97"/>
      <c r="EAB72" s="97"/>
      <c r="EAC72" s="97"/>
      <c r="EAD72" s="97"/>
      <c r="EAE72" s="97"/>
      <c r="EAF72" s="97"/>
      <c r="EAG72" s="97"/>
      <c r="EAH72" s="97"/>
      <c r="EAI72" s="97"/>
      <c r="EAJ72" s="97"/>
      <c r="EAK72" s="97"/>
      <c r="EAL72" s="97"/>
      <c r="EAM72" s="97"/>
      <c r="EAN72" s="97"/>
      <c r="EAO72" s="97"/>
      <c r="EAP72" s="97"/>
      <c r="EAQ72" s="97"/>
      <c r="EAR72" s="97"/>
      <c r="EAS72" s="97"/>
      <c r="EAT72" s="97"/>
      <c r="EAU72" s="97"/>
      <c r="EAV72" s="97"/>
      <c r="EAW72" s="97"/>
      <c r="EAX72" s="97"/>
      <c r="EAY72" s="97"/>
      <c r="EAZ72" s="97"/>
      <c r="EBA72" s="97"/>
      <c r="EBB72" s="97"/>
      <c r="EBC72" s="97"/>
      <c r="EBD72" s="97"/>
      <c r="EBE72" s="97"/>
      <c r="EBF72" s="97"/>
      <c r="EBG72" s="97"/>
      <c r="EBH72" s="97"/>
      <c r="EBI72" s="97"/>
      <c r="EBJ72" s="97"/>
      <c r="EBK72" s="97"/>
      <c r="EBL72" s="97"/>
      <c r="EBM72" s="97"/>
      <c r="EBN72" s="97"/>
      <c r="EBO72" s="97"/>
      <c r="EBP72" s="97"/>
      <c r="EBQ72" s="97"/>
      <c r="EBR72" s="97"/>
      <c r="EBS72" s="97"/>
      <c r="EBT72" s="97"/>
      <c r="EBU72" s="97"/>
      <c r="EBV72" s="97"/>
      <c r="EBW72" s="97"/>
      <c r="EBX72" s="97"/>
      <c r="EBY72" s="97"/>
      <c r="EBZ72" s="97"/>
      <c r="ECA72" s="97"/>
      <c r="ECB72" s="97"/>
      <c r="ECC72" s="97"/>
      <c r="ECD72" s="97"/>
      <c r="ECE72" s="97"/>
      <c r="ECF72" s="97"/>
      <c r="ECG72" s="97"/>
      <c r="ECH72" s="97"/>
      <c r="ECI72" s="97"/>
      <c r="ECJ72" s="97"/>
      <c r="ECK72" s="97"/>
      <c r="ECL72" s="97"/>
      <c r="ECM72" s="97"/>
      <c r="ECN72" s="97"/>
      <c r="ECO72" s="97"/>
      <c r="ECP72" s="97"/>
      <c r="ECQ72" s="97"/>
      <c r="ECR72" s="97"/>
      <c r="ECS72" s="97"/>
      <c r="ECT72" s="97"/>
      <c r="ECU72" s="97"/>
      <c r="ECV72" s="97"/>
      <c r="ECW72" s="97"/>
      <c r="ECX72" s="97"/>
      <c r="ECY72" s="97"/>
      <c r="ECZ72" s="97"/>
      <c r="EDA72" s="97"/>
      <c r="EDB72" s="97"/>
      <c r="EDC72" s="97"/>
      <c r="EDD72" s="97"/>
      <c r="EDE72" s="97"/>
      <c r="EDF72" s="97"/>
      <c r="EDG72" s="97"/>
      <c r="EDH72" s="97"/>
      <c r="EDI72" s="97"/>
      <c r="EDJ72" s="97"/>
      <c r="EDK72" s="97"/>
      <c r="EDL72" s="97"/>
      <c r="EDM72" s="97"/>
      <c r="EDN72" s="97"/>
      <c r="EDO72" s="97"/>
      <c r="EDP72" s="97"/>
      <c r="EDQ72" s="97"/>
      <c r="EDR72" s="97"/>
      <c r="EDS72" s="97"/>
      <c r="EDT72" s="97"/>
      <c r="EDU72" s="97"/>
      <c r="EDV72" s="97"/>
      <c r="EDW72" s="97"/>
      <c r="EDX72" s="97"/>
      <c r="EDY72" s="97"/>
      <c r="EDZ72" s="97"/>
      <c r="EEA72" s="97"/>
      <c r="EEB72" s="97"/>
      <c r="EEC72" s="97"/>
      <c r="EED72" s="97"/>
      <c r="EEE72" s="97"/>
      <c r="EEF72" s="97"/>
      <c r="EEG72" s="97"/>
      <c r="EEH72" s="97"/>
      <c r="EEI72" s="97"/>
      <c r="EEJ72" s="97"/>
      <c r="EEK72" s="97"/>
      <c r="EEL72" s="97"/>
      <c r="EEM72" s="97"/>
      <c r="EEN72" s="97"/>
      <c r="EEO72" s="97"/>
      <c r="EEP72" s="97"/>
      <c r="EEQ72" s="97"/>
      <c r="EER72" s="97"/>
      <c r="EES72" s="97"/>
      <c r="EET72" s="97"/>
      <c r="EEU72" s="97"/>
      <c r="EEV72" s="97"/>
      <c r="EEW72" s="97"/>
      <c r="EEX72" s="97"/>
      <c r="EEY72" s="97"/>
      <c r="EEZ72" s="97"/>
      <c r="EFA72" s="97"/>
      <c r="EFB72" s="97"/>
      <c r="EFC72" s="97"/>
      <c r="EFD72" s="97"/>
      <c r="EFE72" s="97"/>
      <c r="EFF72" s="97"/>
      <c r="EFG72" s="97"/>
      <c r="EFH72" s="97"/>
      <c r="EFI72" s="97"/>
      <c r="EFJ72" s="97"/>
      <c r="EFK72" s="97"/>
      <c r="EFL72" s="97"/>
      <c r="EFM72" s="97"/>
      <c r="EFN72" s="97"/>
      <c r="EFO72" s="97"/>
      <c r="EFP72" s="97"/>
      <c r="EFQ72" s="97"/>
      <c r="EFR72" s="97"/>
      <c r="EFS72" s="97"/>
      <c r="EFT72" s="97"/>
      <c r="EFU72" s="97"/>
      <c r="EFV72" s="97"/>
      <c r="EFW72" s="97"/>
      <c r="EFX72" s="97"/>
      <c r="EFY72" s="97"/>
      <c r="EFZ72" s="97"/>
      <c r="EGA72" s="97"/>
      <c r="EGB72" s="97"/>
      <c r="EGC72" s="97"/>
      <c r="EGD72" s="97"/>
      <c r="EGE72" s="97"/>
      <c r="EGF72" s="97"/>
      <c r="EGG72" s="97"/>
      <c r="EGH72" s="97"/>
      <c r="EGI72" s="97"/>
      <c r="EGJ72" s="97"/>
      <c r="EGK72" s="97"/>
      <c r="EGL72" s="97"/>
      <c r="EGM72" s="97"/>
      <c r="EGN72" s="97"/>
      <c r="EGO72" s="97"/>
      <c r="EGP72" s="97"/>
      <c r="EGQ72" s="97"/>
      <c r="EGR72" s="97"/>
      <c r="EGS72" s="97"/>
      <c r="EGT72" s="97"/>
      <c r="EGU72" s="97"/>
      <c r="EGV72" s="97"/>
      <c r="EGW72" s="97"/>
      <c r="EGX72" s="97"/>
      <c r="EGY72" s="97"/>
      <c r="EGZ72" s="97"/>
      <c r="EHA72" s="97"/>
      <c r="EHB72" s="97"/>
      <c r="EHC72" s="97"/>
      <c r="EHD72" s="97"/>
      <c r="EHE72" s="97"/>
      <c r="EHF72" s="97"/>
      <c r="EHG72" s="97"/>
      <c r="EHH72" s="97"/>
      <c r="EHI72" s="97"/>
      <c r="EHJ72" s="97"/>
      <c r="EHK72" s="97"/>
      <c r="EHL72" s="97"/>
      <c r="EHM72" s="97"/>
      <c r="EHN72" s="97"/>
      <c r="EHO72" s="97"/>
      <c r="EHP72" s="97"/>
      <c r="EHQ72" s="97"/>
      <c r="EHR72" s="97"/>
      <c r="EHS72" s="97"/>
      <c r="EHT72" s="97"/>
      <c r="EHU72" s="97"/>
      <c r="EHV72" s="97"/>
      <c r="EHW72" s="97"/>
      <c r="EHX72" s="97"/>
      <c r="EHY72" s="97"/>
      <c r="EHZ72" s="97"/>
      <c r="EIA72" s="97"/>
      <c r="EIB72" s="97"/>
      <c r="EIC72" s="97"/>
      <c r="EID72" s="97"/>
      <c r="EIE72" s="97"/>
      <c r="EIF72" s="97"/>
      <c r="EIG72" s="97"/>
      <c r="EIH72" s="97"/>
      <c r="EII72" s="97"/>
      <c r="EIJ72" s="97"/>
      <c r="EIK72" s="97"/>
      <c r="EIL72" s="97"/>
      <c r="EIM72" s="97"/>
      <c r="EIN72" s="97"/>
      <c r="EIO72" s="97"/>
      <c r="EIP72" s="97"/>
      <c r="EIQ72" s="97"/>
      <c r="EIR72" s="97"/>
      <c r="EIS72" s="97"/>
      <c r="EIT72" s="97"/>
      <c r="EIU72" s="97"/>
      <c r="EIV72" s="97"/>
      <c r="EIW72" s="97"/>
      <c r="EIX72" s="97"/>
      <c r="EIY72" s="97"/>
      <c r="EIZ72" s="97"/>
      <c r="EJA72" s="97"/>
      <c r="EJB72" s="97"/>
      <c r="EJC72" s="97"/>
      <c r="EJD72" s="97"/>
      <c r="EJE72" s="97"/>
      <c r="EJF72" s="97"/>
      <c r="EJG72" s="97"/>
      <c r="EJH72" s="97"/>
      <c r="EJI72" s="97"/>
      <c r="EJJ72" s="97"/>
      <c r="EJK72" s="97"/>
      <c r="EJL72" s="97"/>
      <c r="EJM72" s="97"/>
      <c r="EJN72" s="97"/>
      <c r="EJO72" s="97"/>
      <c r="EJP72" s="97"/>
      <c r="EJQ72" s="97"/>
      <c r="EJR72" s="97"/>
      <c r="EJS72" s="97"/>
      <c r="EJT72" s="97"/>
      <c r="EJU72" s="97"/>
      <c r="EJV72" s="97"/>
      <c r="EJW72" s="97"/>
      <c r="EJX72" s="97"/>
      <c r="EJY72" s="97"/>
      <c r="EJZ72" s="97"/>
      <c r="EKA72" s="97"/>
      <c r="EKB72" s="97"/>
      <c r="EKC72" s="97"/>
      <c r="EKD72" s="97"/>
      <c r="EKE72" s="97"/>
      <c r="EKF72" s="97"/>
      <c r="EKG72" s="97"/>
      <c r="EKH72" s="97"/>
      <c r="EKI72" s="97"/>
      <c r="EKJ72" s="97"/>
      <c r="EKK72" s="97"/>
      <c r="EKL72" s="97"/>
      <c r="EKM72" s="97"/>
      <c r="EKN72" s="97"/>
      <c r="EKO72" s="97"/>
      <c r="EKP72" s="97"/>
      <c r="EKQ72" s="97"/>
      <c r="EKR72" s="97"/>
      <c r="EKS72" s="97"/>
      <c r="EKT72" s="97"/>
      <c r="EKU72" s="97"/>
      <c r="EKV72" s="97"/>
      <c r="EKW72" s="97"/>
      <c r="EKX72" s="97"/>
      <c r="EKY72" s="97"/>
      <c r="EKZ72" s="97"/>
      <c r="ELA72" s="97"/>
      <c r="ELB72" s="97"/>
      <c r="ELC72" s="97"/>
      <c r="ELD72" s="97"/>
      <c r="ELE72" s="97"/>
      <c r="ELF72" s="97"/>
      <c r="ELG72" s="97"/>
      <c r="ELH72" s="97"/>
      <c r="ELI72" s="97"/>
      <c r="ELJ72" s="97"/>
      <c r="ELK72" s="97"/>
      <c r="ELL72" s="97"/>
      <c r="ELM72" s="97"/>
      <c r="ELN72" s="97"/>
      <c r="ELO72" s="97"/>
      <c r="ELP72" s="97"/>
      <c r="ELQ72" s="97"/>
      <c r="ELR72" s="97"/>
      <c r="ELS72" s="97"/>
      <c r="ELT72" s="97"/>
      <c r="ELU72" s="97"/>
      <c r="ELV72" s="97"/>
      <c r="ELW72" s="97"/>
      <c r="ELX72" s="97"/>
      <c r="ELY72" s="97"/>
      <c r="ELZ72" s="97"/>
      <c r="EMA72" s="97"/>
      <c r="EMB72" s="97"/>
      <c r="EMC72" s="97"/>
      <c r="EMD72" s="97"/>
      <c r="EME72" s="97"/>
      <c r="EMF72" s="97"/>
      <c r="EMG72" s="97"/>
      <c r="EMH72" s="97"/>
      <c r="EMI72" s="97"/>
      <c r="EMJ72" s="97"/>
      <c r="EMK72" s="97"/>
      <c r="EML72" s="97"/>
      <c r="EMM72" s="97"/>
      <c r="EMN72" s="97"/>
      <c r="EMO72" s="97"/>
      <c r="EMP72" s="97"/>
      <c r="EMQ72" s="97"/>
      <c r="EMR72" s="97"/>
      <c r="EMS72" s="97"/>
      <c r="EMT72" s="97"/>
      <c r="EMU72" s="97"/>
      <c r="EMV72" s="97"/>
      <c r="EMW72" s="97"/>
      <c r="EMX72" s="97"/>
      <c r="EMY72" s="97"/>
      <c r="EMZ72" s="97"/>
      <c r="ENA72" s="97"/>
      <c r="ENB72" s="97"/>
      <c r="ENC72" s="97"/>
      <c r="END72" s="97"/>
      <c r="ENE72" s="97"/>
      <c r="ENF72" s="97"/>
      <c r="ENG72" s="97"/>
      <c r="ENH72" s="97"/>
      <c r="ENI72" s="97"/>
      <c r="ENJ72" s="97"/>
      <c r="ENK72" s="97"/>
      <c r="ENL72" s="97"/>
      <c r="ENM72" s="97"/>
      <c r="ENN72" s="97"/>
      <c r="ENO72" s="97"/>
      <c r="ENP72" s="97"/>
      <c r="ENQ72" s="97"/>
      <c r="ENR72" s="97"/>
      <c r="ENS72" s="97"/>
      <c r="ENT72" s="97"/>
      <c r="ENU72" s="97"/>
      <c r="ENV72" s="97"/>
      <c r="ENW72" s="97"/>
      <c r="ENX72" s="97"/>
      <c r="ENY72" s="97"/>
      <c r="ENZ72" s="97"/>
      <c r="EOA72" s="97"/>
      <c r="EOB72" s="97"/>
      <c r="EOC72" s="97"/>
      <c r="EOD72" s="97"/>
      <c r="EOE72" s="97"/>
      <c r="EOF72" s="97"/>
      <c r="EOG72" s="97"/>
      <c r="EOH72" s="97"/>
      <c r="EOI72" s="97"/>
      <c r="EOJ72" s="97"/>
      <c r="EOK72" s="97"/>
      <c r="EOL72" s="97"/>
      <c r="EOM72" s="97"/>
      <c r="EON72" s="97"/>
      <c r="EOO72" s="97"/>
      <c r="EOP72" s="97"/>
      <c r="EOQ72" s="97"/>
      <c r="EOR72" s="97"/>
      <c r="EOS72" s="97"/>
      <c r="EOT72" s="97"/>
      <c r="EOU72" s="97"/>
      <c r="EOV72" s="97"/>
      <c r="EOW72" s="97"/>
      <c r="EOX72" s="97"/>
      <c r="EOY72" s="97"/>
      <c r="EOZ72" s="97"/>
      <c r="EPA72" s="97"/>
      <c r="EPB72" s="97"/>
      <c r="EPC72" s="97"/>
      <c r="EPD72" s="97"/>
      <c r="EPE72" s="97"/>
      <c r="EPF72" s="97"/>
      <c r="EPG72" s="97"/>
      <c r="EPH72" s="97"/>
      <c r="EPI72" s="97"/>
      <c r="EPJ72" s="97"/>
      <c r="EPK72" s="97"/>
      <c r="EPL72" s="97"/>
      <c r="EPM72" s="97"/>
      <c r="EPN72" s="97"/>
      <c r="EPO72" s="97"/>
      <c r="EPP72" s="97"/>
      <c r="EPQ72" s="97"/>
      <c r="EPR72" s="97"/>
      <c r="EPS72" s="97"/>
      <c r="EPT72" s="97"/>
      <c r="EPU72" s="97"/>
      <c r="EPV72" s="97"/>
      <c r="EPW72" s="97"/>
      <c r="EPX72" s="97"/>
      <c r="EPY72" s="97"/>
      <c r="EPZ72" s="97"/>
      <c r="EQA72" s="97"/>
      <c r="EQB72" s="97"/>
      <c r="EQC72" s="97"/>
      <c r="EQD72" s="97"/>
      <c r="EQE72" s="97"/>
      <c r="EQF72" s="97"/>
      <c r="EQG72" s="97"/>
      <c r="EQH72" s="97"/>
      <c r="EQI72" s="97"/>
      <c r="EQJ72" s="97"/>
      <c r="EQK72" s="97"/>
      <c r="EQL72" s="97"/>
      <c r="EQM72" s="97"/>
      <c r="EQN72" s="97"/>
      <c r="EQO72" s="97"/>
      <c r="EQP72" s="97"/>
      <c r="EQQ72" s="97"/>
      <c r="EQR72" s="97"/>
      <c r="EQS72" s="97"/>
      <c r="EQT72" s="97"/>
      <c r="EQU72" s="97"/>
      <c r="EQV72" s="97"/>
      <c r="EQW72" s="97"/>
      <c r="EQX72" s="97"/>
      <c r="EQY72" s="97"/>
      <c r="EQZ72" s="97"/>
      <c r="ERA72" s="97"/>
      <c r="ERB72" s="97"/>
      <c r="ERC72" s="97"/>
      <c r="ERD72" s="97"/>
      <c r="ERE72" s="97"/>
      <c r="ERF72" s="97"/>
      <c r="ERG72" s="97"/>
      <c r="ERH72" s="97"/>
      <c r="ERI72" s="97"/>
      <c r="ERJ72" s="97"/>
      <c r="ERK72" s="97"/>
      <c r="ERL72" s="97"/>
      <c r="ERM72" s="97"/>
      <c r="ERN72" s="97"/>
      <c r="ERO72" s="97"/>
      <c r="ERP72" s="97"/>
      <c r="ERQ72" s="97"/>
      <c r="ERR72" s="97"/>
      <c r="ERS72" s="97"/>
      <c r="ERT72" s="97"/>
      <c r="ERU72" s="97"/>
      <c r="ERV72" s="97"/>
      <c r="ERW72" s="97"/>
      <c r="ERX72" s="97"/>
      <c r="ERY72" s="97"/>
      <c r="ERZ72" s="97"/>
      <c r="ESA72" s="97"/>
      <c r="ESB72" s="97"/>
      <c r="ESC72" s="97"/>
      <c r="ESD72" s="97"/>
      <c r="ESE72" s="97"/>
      <c r="ESF72" s="97"/>
      <c r="ESG72" s="97"/>
      <c r="ESH72" s="97"/>
      <c r="ESI72" s="97"/>
      <c r="ESJ72" s="97"/>
      <c r="ESK72" s="97"/>
      <c r="ESL72" s="97"/>
      <c r="ESM72" s="97"/>
      <c r="ESN72" s="97"/>
      <c r="ESO72" s="97"/>
      <c r="ESP72" s="97"/>
      <c r="ESQ72" s="97"/>
      <c r="ESR72" s="97"/>
      <c r="ESS72" s="97"/>
      <c r="EST72" s="97"/>
      <c r="ESU72" s="97"/>
      <c r="ESV72" s="97"/>
      <c r="ESW72" s="97"/>
      <c r="ESX72" s="97"/>
      <c r="ESY72" s="97"/>
      <c r="ESZ72" s="97"/>
      <c r="ETA72" s="97"/>
      <c r="ETB72" s="97"/>
      <c r="ETC72" s="97"/>
      <c r="ETD72" s="97"/>
      <c r="ETE72" s="97"/>
      <c r="ETF72" s="97"/>
      <c r="ETG72" s="97"/>
      <c r="ETH72" s="97"/>
      <c r="ETI72" s="97"/>
      <c r="ETJ72" s="97"/>
      <c r="ETK72" s="97"/>
      <c r="ETL72" s="97"/>
      <c r="ETM72" s="97"/>
      <c r="ETN72" s="97"/>
      <c r="ETO72" s="97"/>
      <c r="ETP72" s="97"/>
      <c r="ETQ72" s="97"/>
      <c r="ETR72" s="97"/>
      <c r="ETS72" s="97"/>
      <c r="ETT72" s="97"/>
      <c r="ETU72" s="97"/>
      <c r="ETV72" s="97"/>
      <c r="ETW72" s="97"/>
      <c r="ETX72" s="97"/>
      <c r="ETY72" s="97"/>
      <c r="ETZ72" s="97"/>
      <c r="EUA72" s="97"/>
      <c r="EUB72" s="97"/>
      <c r="EUC72" s="97"/>
      <c r="EUD72" s="97"/>
      <c r="EUE72" s="97"/>
      <c r="EUF72" s="97"/>
      <c r="EUG72" s="97"/>
      <c r="EUH72" s="97"/>
      <c r="EUI72" s="97"/>
      <c r="EUJ72" s="97"/>
      <c r="EUK72" s="97"/>
      <c r="EUL72" s="97"/>
      <c r="EUM72" s="97"/>
      <c r="EUN72" s="97"/>
      <c r="EUO72" s="97"/>
      <c r="EUP72" s="97"/>
      <c r="EUQ72" s="97"/>
      <c r="EUR72" s="97"/>
      <c r="EUS72" s="97"/>
      <c r="EUT72" s="97"/>
      <c r="EUU72" s="97"/>
      <c r="EUV72" s="97"/>
      <c r="EUW72" s="97"/>
      <c r="EUX72" s="97"/>
      <c r="EUY72" s="97"/>
      <c r="EUZ72" s="97"/>
      <c r="EVA72" s="97"/>
      <c r="EVB72" s="97"/>
      <c r="EVC72" s="97"/>
      <c r="EVD72" s="97"/>
      <c r="EVE72" s="97"/>
      <c r="EVF72" s="97"/>
      <c r="EVG72" s="97"/>
      <c r="EVH72" s="97"/>
      <c r="EVI72" s="97"/>
      <c r="EVJ72" s="97"/>
      <c r="EVK72" s="97"/>
      <c r="EVL72" s="97"/>
      <c r="EVM72" s="97"/>
      <c r="EVN72" s="97"/>
      <c r="EVO72" s="97"/>
      <c r="EVP72" s="97"/>
      <c r="EVQ72" s="97"/>
      <c r="EVR72" s="97"/>
      <c r="EVS72" s="97"/>
      <c r="EVT72" s="97"/>
      <c r="EVU72" s="97"/>
      <c r="EVV72" s="97"/>
      <c r="EVW72" s="97"/>
      <c r="EVX72" s="97"/>
      <c r="EVY72" s="97"/>
      <c r="EVZ72" s="97"/>
      <c r="EWA72" s="97"/>
      <c r="EWB72" s="97"/>
      <c r="EWC72" s="97"/>
      <c r="EWD72" s="97"/>
      <c r="EWE72" s="97"/>
      <c r="EWF72" s="97"/>
      <c r="EWG72" s="97"/>
      <c r="EWH72" s="97"/>
      <c r="EWI72" s="97"/>
      <c r="EWJ72" s="97"/>
      <c r="EWK72" s="97"/>
      <c r="EWL72" s="97"/>
      <c r="EWM72" s="97"/>
      <c r="EWN72" s="97"/>
      <c r="EWO72" s="97"/>
      <c r="EWP72" s="97"/>
      <c r="EWQ72" s="97"/>
      <c r="EWR72" s="97"/>
      <c r="EWS72" s="97"/>
      <c r="EWT72" s="97"/>
      <c r="EWU72" s="97"/>
      <c r="EWV72" s="97"/>
      <c r="EWW72" s="97"/>
      <c r="EWX72" s="97"/>
      <c r="EWY72" s="97"/>
      <c r="EWZ72" s="97"/>
      <c r="EXA72" s="97"/>
      <c r="EXB72" s="97"/>
      <c r="EXC72" s="97"/>
      <c r="EXD72" s="97"/>
      <c r="EXE72" s="97"/>
      <c r="EXF72" s="97"/>
      <c r="EXG72" s="97"/>
      <c r="EXH72" s="97"/>
      <c r="EXI72" s="97"/>
      <c r="EXJ72" s="97"/>
      <c r="EXK72" s="97"/>
      <c r="EXL72" s="97"/>
      <c r="EXM72" s="97"/>
      <c r="EXN72" s="97"/>
      <c r="EXO72" s="97"/>
      <c r="EXP72" s="97"/>
      <c r="EXQ72" s="97"/>
      <c r="EXR72" s="97"/>
      <c r="EXS72" s="97"/>
      <c r="EXT72" s="97"/>
      <c r="EXU72" s="97"/>
      <c r="EXV72" s="97"/>
      <c r="EXW72" s="97"/>
      <c r="EXX72" s="97"/>
      <c r="EXY72" s="97"/>
      <c r="EXZ72" s="97"/>
      <c r="EYA72" s="97"/>
      <c r="EYB72" s="97"/>
      <c r="EYC72" s="97"/>
      <c r="EYD72" s="97"/>
      <c r="EYE72" s="97"/>
      <c r="EYF72" s="97"/>
      <c r="EYG72" s="97"/>
      <c r="EYH72" s="97"/>
      <c r="EYI72" s="97"/>
      <c r="EYJ72" s="97"/>
      <c r="EYK72" s="97"/>
      <c r="EYL72" s="97"/>
      <c r="EYM72" s="97"/>
      <c r="EYN72" s="97"/>
      <c r="EYO72" s="97"/>
      <c r="EYP72" s="97"/>
      <c r="EYQ72" s="97"/>
      <c r="EYR72" s="97"/>
      <c r="EYS72" s="97"/>
      <c r="EYT72" s="97"/>
      <c r="EYU72" s="97"/>
      <c r="EYV72" s="97"/>
      <c r="EYW72" s="97"/>
      <c r="EYX72" s="97"/>
      <c r="EYY72" s="97"/>
      <c r="EYZ72" s="97"/>
      <c r="EZA72" s="97"/>
      <c r="EZB72" s="97"/>
      <c r="EZC72" s="97"/>
      <c r="EZD72" s="97"/>
      <c r="EZE72" s="97"/>
      <c r="EZF72" s="97"/>
      <c r="EZG72" s="97"/>
      <c r="EZH72" s="97"/>
      <c r="EZI72" s="97"/>
      <c r="EZJ72" s="97"/>
      <c r="EZK72" s="97"/>
      <c r="EZL72" s="97"/>
      <c r="EZM72" s="97"/>
      <c r="EZN72" s="97"/>
      <c r="EZO72" s="97"/>
      <c r="EZP72" s="97"/>
      <c r="EZQ72" s="97"/>
      <c r="EZR72" s="97"/>
      <c r="EZS72" s="97"/>
      <c r="EZT72" s="97"/>
      <c r="EZU72" s="97"/>
      <c r="EZV72" s="97"/>
      <c r="EZW72" s="97"/>
      <c r="EZX72" s="97"/>
      <c r="EZY72" s="97"/>
      <c r="EZZ72" s="97"/>
      <c r="FAA72" s="97"/>
      <c r="FAB72" s="97"/>
      <c r="FAC72" s="97"/>
      <c r="FAD72" s="97"/>
      <c r="FAE72" s="97"/>
      <c r="FAF72" s="97"/>
      <c r="FAG72" s="97"/>
      <c r="FAH72" s="97"/>
      <c r="FAI72" s="97"/>
      <c r="FAJ72" s="97"/>
      <c r="FAK72" s="97"/>
      <c r="FAL72" s="97"/>
      <c r="FAM72" s="97"/>
      <c r="FAN72" s="97"/>
      <c r="FAO72" s="97"/>
      <c r="FAP72" s="97"/>
      <c r="FAQ72" s="97"/>
      <c r="FAR72" s="97"/>
      <c r="FAS72" s="97"/>
      <c r="FAT72" s="97"/>
      <c r="FAU72" s="97"/>
      <c r="FAV72" s="97"/>
      <c r="FAW72" s="97"/>
      <c r="FAX72" s="97"/>
      <c r="FAY72" s="97"/>
      <c r="FAZ72" s="97"/>
      <c r="FBA72" s="97"/>
      <c r="FBB72" s="97"/>
      <c r="FBC72" s="97"/>
      <c r="FBD72" s="97"/>
      <c r="FBE72" s="97"/>
      <c r="FBF72" s="97"/>
      <c r="FBG72" s="97"/>
      <c r="FBH72" s="97"/>
      <c r="FBI72" s="97"/>
      <c r="FBJ72" s="97"/>
      <c r="FBK72" s="97"/>
      <c r="FBL72" s="97"/>
      <c r="FBM72" s="97"/>
      <c r="FBN72" s="97"/>
      <c r="FBO72" s="97"/>
      <c r="FBP72" s="97"/>
      <c r="FBQ72" s="97"/>
      <c r="FBR72" s="97"/>
      <c r="FBS72" s="97"/>
      <c r="FBT72" s="97"/>
      <c r="FBU72" s="97"/>
      <c r="FBV72" s="97"/>
      <c r="FBW72" s="97"/>
      <c r="FBX72" s="97"/>
      <c r="FBY72" s="97"/>
      <c r="FBZ72" s="97"/>
      <c r="FCA72" s="97"/>
      <c r="FCB72" s="97"/>
      <c r="FCC72" s="97"/>
      <c r="FCD72" s="97"/>
      <c r="FCE72" s="97"/>
      <c r="FCF72" s="97"/>
      <c r="FCG72" s="97"/>
      <c r="FCH72" s="97"/>
      <c r="FCI72" s="97"/>
      <c r="FCJ72" s="97"/>
      <c r="FCK72" s="97"/>
      <c r="FCL72" s="97"/>
      <c r="FCM72" s="97"/>
      <c r="FCN72" s="97"/>
      <c r="FCO72" s="97"/>
      <c r="FCP72" s="97"/>
      <c r="FCQ72" s="97"/>
      <c r="FCR72" s="97"/>
      <c r="FCS72" s="97"/>
      <c r="FCT72" s="97"/>
      <c r="FCU72" s="97"/>
      <c r="FCV72" s="97"/>
      <c r="FCW72" s="97"/>
      <c r="FCX72" s="97"/>
      <c r="FCY72" s="97"/>
      <c r="FCZ72" s="97"/>
      <c r="FDA72" s="97"/>
      <c r="FDB72" s="97"/>
      <c r="FDC72" s="97"/>
      <c r="FDD72" s="97"/>
      <c r="FDE72" s="97"/>
      <c r="FDF72" s="97"/>
      <c r="FDG72" s="97"/>
      <c r="FDH72" s="97"/>
      <c r="FDI72" s="97"/>
      <c r="FDJ72" s="97"/>
      <c r="FDK72" s="97"/>
      <c r="FDL72" s="97"/>
      <c r="FDM72" s="97"/>
      <c r="FDN72" s="97"/>
      <c r="FDO72" s="97"/>
      <c r="FDP72" s="97"/>
      <c r="FDQ72" s="97"/>
      <c r="FDR72" s="97"/>
      <c r="FDS72" s="97"/>
      <c r="FDT72" s="97"/>
      <c r="FDU72" s="97"/>
      <c r="FDV72" s="97"/>
      <c r="FDW72" s="97"/>
      <c r="FDX72" s="97"/>
      <c r="FDY72" s="97"/>
      <c r="FDZ72" s="97"/>
      <c r="FEA72" s="97"/>
      <c r="FEB72" s="97"/>
      <c r="FEC72" s="97"/>
      <c r="FED72" s="97"/>
      <c r="FEE72" s="97"/>
      <c r="FEF72" s="97"/>
      <c r="FEG72" s="97"/>
      <c r="FEH72" s="97"/>
      <c r="FEI72" s="97"/>
      <c r="FEJ72" s="97"/>
      <c r="FEK72" s="97"/>
      <c r="FEL72" s="97"/>
      <c r="FEM72" s="97"/>
      <c r="FEN72" s="97"/>
      <c r="FEO72" s="97"/>
      <c r="FEP72" s="97"/>
      <c r="FEQ72" s="97"/>
      <c r="FER72" s="97"/>
      <c r="FES72" s="97"/>
      <c r="FET72" s="97"/>
      <c r="FEU72" s="97"/>
      <c r="FEV72" s="97"/>
      <c r="FEW72" s="97"/>
      <c r="FEX72" s="97"/>
      <c r="FEY72" s="97"/>
      <c r="FEZ72" s="97"/>
      <c r="FFA72" s="97"/>
      <c r="FFB72" s="97"/>
      <c r="FFC72" s="97"/>
      <c r="FFD72" s="97"/>
      <c r="FFE72" s="97"/>
      <c r="FFF72" s="97"/>
      <c r="FFG72" s="97"/>
      <c r="FFH72" s="97"/>
      <c r="FFI72" s="97"/>
      <c r="FFJ72" s="97"/>
      <c r="FFK72" s="97"/>
      <c r="FFL72" s="97"/>
      <c r="FFM72" s="97"/>
      <c r="FFN72" s="97"/>
      <c r="FFO72" s="97"/>
      <c r="FFP72" s="97"/>
      <c r="FFQ72" s="97"/>
      <c r="FFR72" s="97"/>
      <c r="FFS72" s="97"/>
      <c r="FFT72" s="97"/>
      <c r="FFU72" s="97"/>
      <c r="FFV72" s="97"/>
      <c r="FFW72" s="97"/>
      <c r="FFX72" s="97"/>
      <c r="FFY72" s="97"/>
      <c r="FFZ72" s="97"/>
      <c r="FGA72" s="97"/>
      <c r="FGB72" s="97"/>
      <c r="FGC72" s="97"/>
      <c r="FGD72" s="97"/>
      <c r="FGE72" s="97"/>
      <c r="FGF72" s="97"/>
      <c r="FGG72" s="97"/>
      <c r="FGH72" s="97"/>
      <c r="FGI72" s="97"/>
      <c r="FGJ72" s="97"/>
      <c r="FGK72" s="97"/>
      <c r="FGL72" s="97"/>
      <c r="FGM72" s="97"/>
      <c r="FGN72" s="97"/>
      <c r="FGO72" s="97"/>
      <c r="FGP72" s="97"/>
      <c r="FGQ72" s="97"/>
      <c r="FGR72" s="97"/>
      <c r="FGS72" s="97"/>
      <c r="FGT72" s="97"/>
      <c r="FGU72" s="97"/>
      <c r="FGV72" s="97"/>
      <c r="FGW72" s="97"/>
      <c r="FGX72" s="97"/>
      <c r="FGY72" s="97"/>
      <c r="FGZ72" s="97"/>
      <c r="FHA72" s="97"/>
      <c r="FHB72" s="97"/>
      <c r="FHC72" s="97"/>
      <c r="FHD72" s="97"/>
      <c r="FHE72" s="97"/>
      <c r="FHF72" s="97"/>
      <c r="FHG72" s="97"/>
      <c r="FHH72" s="97"/>
      <c r="FHI72" s="97"/>
      <c r="FHJ72" s="97"/>
      <c r="FHK72" s="97"/>
      <c r="FHL72" s="97"/>
      <c r="FHM72" s="97"/>
      <c r="FHN72" s="97"/>
      <c r="FHO72" s="97"/>
      <c r="FHP72" s="97"/>
      <c r="FHQ72" s="97"/>
      <c r="FHR72" s="97"/>
      <c r="FHS72" s="97"/>
      <c r="FHT72" s="97"/>
      <c r="FHU72" s="97"/>
      <c r="FHV72" s="97"/>
      <c r="FHW72" s="97"/>
      <c r="FHX72" s="97"/>
      <c r="FHY72" s="97"/>
      <c r="FHZ72" s="97"/>
      <c r="FIA72" s="97"/>
      <c r="FIB72" s="97"/>
      <c r="FIC72" s="97"/>
      <c r="FID72" s="97"/>
      <c r="FIE72" s="97"/>
      <c r="FIF72" s="97"/>
      <c r="FIG72" s="97"/>
      <c r="FIH72" s="97"/>
      <c r="FII72" s="97"/>
      <c r="FIJ72" s="97"/>
      <c r="FIK72" s="97"/>
      <c r="FIL72" s="97"/>
      <c r="FIM72" s="97"/>
      <c r="FIN72" s="97"/>
      <c r="FIO72" s="97"/>
      <c r="FIP72" s="97"/>
      <c r="FIQ72" s="97"/>
      <c r="FIR72" s="97"/>
      <c r="FIS72" s="97"/>
      <c r="FIT72" s="97"/>
      <c r="FIU72" s="97"/>
      <c r="FIV72" s="97"/>
      <c r="FIW72" s="97"/>
      <c r="FIX72" s="97"/>
      <c r="FIY72" s="97"/>
      <c r="FIZ72" s="97"/>
      <c r="FJA72" s="97"/>
      <c r="FJB72" s="97"/>
      <c r="FJC72" s="97"/>
      <c r="FJD72" s="97"/>
      <c r="FJE72" s="97"/>
      <c r="FJF72" s="97"/>
      <c r="FJG72" s="97"/>
      <c r="FJH72" s="97"/>
      <c r="FJI72" s="97"/>
      <c r="FJJ72" s="97"/>
      <c r="FJK72" s="97"/>
      <c r="FJL72" s="97"/>
      <c r="FJM72" s="97"/>
      <c r="FJN72" s="97"/>
      <c r="FJO72" s="97"/>
      <c r="FJP72" s="97"/>
      <c r="FJQ72" s="97"/>
      <c r="FJR72" s="97"/>
      <c r="FJS72" s="97"/>
      <c r="FJT72" s="97"/>
      <c r="FJU72" s="97"/>
      <c r="FJV72" s="97"/>
      <c r="FJW72" s="97"/>
      <c r="FJX72" s="97"/>
      <c r="FJY72" s="97"/>
      <c r="FJZ72" s="97"/>
      <c r="FKA72" s="97"/>
      <c r="FKB72" s="97"/>
      <c r="FKC72" s="97"/>
      <c r="FKD72" s="97"/>
      <c r="FKE72" s="97"/>
      <c r="FKF72" s="97"/>
      <c r="FKG72" s="97"/>
      <c r="FKH72" s="97"/>
      <c r="FKI72" s="97"/>
      <c r="FKJ72" s="97"/>
      <c r="FKK72" s="97"/>
      <c r="FKL72" s="97"/>
      <c r="FKM72" s="97"/>
      <c r="FKN72" s="97"/>
      <c r="FKO72" s="97"/>
      <c r="FKP72" s="97"/>
      <c r="FKQ72" s="97"/>
      <c r="FKR72" s="97"/>
      <c r="FKS72" s="97"/>
      <c r="FKT72" s="97"/>
      <c r="FKU72" s="97"/>
      <c r="FKV72" s="97"/>
      <c r="FKW72" s="97"/>
      <c r="FKX72" s="97"/>
      <c r="FKY72" s="97"/>
      <c r="FKZ72" s="97"/>
      <c r="FLA72" s="97"/>
      <c r="FLB72" s="97"/>
      <c r="FLC72" s="97"/>
      <c r="FLD72" s="97"/>
      <c r="FLE72" s="97"/>
      <c r="FLF72" s="97"/>
      <c r="FLG72" s="97"/>
      <c r="FLH72" s="97"/>
      <c r="FLI72" s="97"/>
      <c r="FLJ72" s="97"/>
      <c r="FLK72" s="97"/>
      <c r="FLL72" s="97"/>
      <c r="FLM72" s="97"/>
      <c r="FLN72" s="97"/>
      <c r="FLO72" s="97"/>
      <c r="FLP72" s="97"/>
      <c r="FLQ72" s="97"/>
      <c r="FLR72" s="97"/>
      <c r="FLS72" s="97"/>
      <c r="FLT72" s="97"/>
      <c r="FLU72" s="97"/>
      <c r="FLV72" s="97"/>
      <c r="FLW72" s="97"/>
      <c r="FLX72" s="97"/>
      <c r="FLY72" s="97"/>
      <c r="FLZ72" s="97"/>
      <c r="FMA72" s="97"/>
      <c r="FMB72" s="97"/>
      <c r="FMC72" s="97"/>
      <c r="FMD72" s="97"/>
      <c r="FME72" s="97"/>
      <c r="FMF72" s="97"/>
      <c r="FMG72" s="97"/>
      <c r="FMH72" s="97"/>
      <c r="FMI72" s="97"/>
      <c r="FMJ72" s="97"/>
      <c r="FMK72" s="97"/>
      <c r="FML72" s="97"/>
      <c r="FMM72" s="97"/>
      <c r="FMN72" s="97"/>
      <c r="FMO72" s="97"/>
      <c r="FMP72" s="97"/>
      <c r="FMQ72" s="97"/>
      <c r="FMR72" s="97"/>
      <c r="FMS72" s="97"/>
      <c r="FMT72" s="97"/>
      <c r="FMU72" s="97"/>
      <c r="FMV72" s="97"/>
      <c r="FMW72" s="97"/>
      <c r="FMX72" s="97"/>
      <c r="FMY72" s="97"/>
      <c r="FMZ72" s="97"/>
      <c r="FNA72" s="97"/>
      <c r="FNB72" s="97"/>
      <c r="FNC72" s="97"/>
      <c r="FND72" s="97"/>
      <c r="FNE72" s="97"/>
      <c r="FNF72" s="97"/>
      <c r="FNG72" s="97"/>
      <c r="FNH72" s="97"/>
      <c r="FNI72" s="97"/>
      <c r="FNJ72" s="97"/>
      <c r="FNK72" s="97"/>
      <c r="FNL72" s="97"/>
      <c r="FNM72" s="97"/>
      <c r="FNN72" s="97"/>
      <c r="FNO72" s="97"/>
      <c r="FNP72" s="97"/>
      <c r="FNQ72" s="97"/>
      <c r="FNR72" s="97"/>
      <c r="FNS72" s="97"/>
      <c r="FNT72" s="97"/>
      <c r="FNU72" s="97"/>
      <c r="FNV72" s="97"/>
      <c r="FNW72" s="97"/>
      <c r="FNX72" s="97"/>
      <c r="FNY72" s="97"/>
      <c r="FNZ72" s="97"/>
      <c r="FOA72" s="97"/>
      <c r="FOB72" s="97"/>
      <c r="FOC72" s="97"/>
      <c r="FOD72" s="97"/>
      <c r="FOE72" s="97"/>
      <c r="FOF72" s="97"/>
      <c r="FOG72" s="97"/>
      <c r="FOH72" s="97"/>
      <c r="FOI72" s="97"/>
      <c r="FOJ72" s="97"/>
      <c r="FOK72" s="97"/>
      <c r="FOL72" s="97"/>
      <c r="FOM72" s="97"/>
      <c r="FON72" s="97"/>
      <c r="FOO72" s="97"/>
      <c r="FOP72" s="97"/>
      <c r="FOQ72" s="97"/>
      <c r="FOR72" s="97"/>
      <c r="FOS72" s="97"/>
      <c r="FOT72" s="97"/>
      <c r="FOU72" s="97"/>
      <c r="FOV72" s="97"/>
      <c r="FOW72" s="97"/>
      <c r="FOX72" s="97"/>
      <c r="FOY72" s="97"/>
      <c r="FOZ72" s="97"/>
      <c r="FPA72" s="97"/>
      <c r="FPB72" s="97"/>
      <c r="FPC72" s="97"/>
      <c r="FPD72" s="97"/>
      <c r="FPE72" s="97"/>
      <c r="FPF72" s="97"/>
      <c r="FPG72" s="97"/>
      <c r="FPH72" s="97"/>
      <c r="FPI72" s="97"/>
      <c r="FPJ72" s="97"/>
      <c r="FPK72" s="97"/>
      <c r="FPL72" s="97"/>
      <c r="FPM72" s="97"/>
      <c r="FPN72" s="97"/>
      <c r="FPO72" s="97"/>
      <c r="FPP72" s="97"/>
      <c r="FPQ72" s="97"/>
      <c r="FPR72" s="97"/>
      <c r="FPS72" s="97"/>
      <c r="FPT72" s="97"/>
      <c r="FPU72" s="97"/>
      <c r="FPV72" s="97"/>
      <c r="FPW72" s="97"/>
      <c r="FPX72" s="97"/>
      <c r="FPY72" s="97"/>
      <c r="FPZ72" s="97"/>
      <c r="FQA72" s="97"/>
      <c r="FQB72" s="97"/>
      <c r="FQC72" s="97"/>
      <c r="FQD72" s="97"/>
      <c r="FQE72" s="97"/>
      <c r="FQF72" s="97"/>
      <c r="FQG72" s="97"/>
      <c r="FQH72" s="97"/>
      <c r="FQI72" s="97"/>
      <c r="FQJ72" s="97"/>
      <c r="FQK72" s="97"/>
      <c r="FQL72" s="97"/>
      <c r="FQM72" s="97"/>
      <c r="FQN72" s="97"/>
      <c r="FQO72" s="97"/>
      <c r="FQP72" s="97"/>
      <c r="FQQ72" s="97"/>
      <c r="FQR72" s="97"/>
      <c r="FQS72" s="97"/>
      <c r="FQT72" s="97"/>
      <c r="FQU72" s="97"/>
      <c r="FQV72" s="97"/>
      <c r="FQW72" s="97"/>
      <c r="FQX72" s="97"/>
      <c r="FQY72" s="97"/>
      <c r="FQZ72" s="97"/>
      <c r="FRA72" s="97"/>
      <c r="FRB72" s="97"/>
      <c r="FRC72" s="97"/>
      <c r="FRD72" s="97"/>
      <c r="FRE72" s="97"/>
      <c r="FRF72" s="97"/>
      <c r="FRG72" s="97"/>
      <c r="FRH72" s="97"/>
      <c r="FRI72" s="97"/>
      <c r="FRJ72" s="97"/>
      <c r="FRK72" s="97"/>
      <c r="FRL72" s="97"/>
      <c r="FRM72" s="97"/>
      <c r="FRN72" s="97"/>
      <c r="FRO72" s="97"/>
      <c r="FRP72" s="97"/>
      <c r="FRQ72" s="97"/>
      <c r="FRR72" s="97"/>
      <c r="FRS72" s="97"/>
      <c r="FRT72" s="97"/>
      <c r="FRU72" s="97"/>
      <c r="FRV72" s="97"/>
      <c r="FRW72" s="97"/>
      <c r="FRX72" s="97"/>
      <c r="FRY72" s="97"/>
      <c r="FRZ72" s="97"/>
      <c r="FSA72" s="97"/>
      <c r="FSB72" s="97"/>
      <c r="FSC72" s="97"/>
      <c r="FSD72" s="97"/>
      <c r="FSE72" s="97"/>
      <c r="FSF72" s="97"/>
      <c r="FSG72" s="97"/>
      <c r="FSH72" s="97"/>
      <c r="FSI72" s="97"/>
      <c r="FSJ72" s="97"/>
      <c r="FSK72" s="97"/>
      <c r="FSL72" s="97"/>
      <c r="FSM72" s="97"/>
      <c r="FSN72" s="97"/>
      <c r="FSO72" s="97"/>
      <c r="FSP72" s="97"/>
      <c r="FSQ72" s="97"/>
      <c r="FSR72" s="97"/>
      <c r="FSS72" s="97"/>
      <c r="FST72" s="97"/>
      <c r="FSU72" s="97"/>
      <c r="FSV72" s="97"/>
      <c r="FSW72" s="97"/>
      <c r="FSX72" s="97"/>
      <c r="FSY72" s="97"/>
      <c r="FSZ72" s="97"/>
      <c r="FTA72" s="97"/>
      <c r="FTB72" s="97"/>
      <c r="FTC72" s="97"/>
      <c r="FTD72" s="97"/>
      <c r="FTE72" s="97"/>
      <c r="FTF72" s="97"/>
      <c r="FTG72" s="97"/>
      <c r="FTH72" s="97"/>
      <c r="FTI72" s="97"/>
      <c r="FTJ72" s="97"/>
      <c r="FTK72" s="97"/>
      <c r="FTL72" s="97"/>
      <c r="FTM72" s="97"/>
      <c r="FTN72" s="97"/>
      <c r="FTO72" s="97"/>
      <c r="FTP72" s="97"/>
      <c r="FTQ72" s="97"/>
      <c r="FTR72" s="97"/>
      <c r="FTS72" s="97"/>
      <c r="FTT72" s="97"/>
      <c r="FTU72" s="97"/>
      <c r="FTV72" s="97"/>
      <c r="FTW72" s="97"/>
      <c r="FTX72" s="97"/>
      <c r="FTY72" s="97"/>
      <c r="FTZ72" s="97"/>
      <c r="FUA72" s="97"/>
      <c r="FUB72" s="97"/>
      <c r="FUC72" s="97"/>
      <c r="FUD72" s="97"/>
      <c r="FUE72" s="97"/>
      <c r="FUF72" s="97"/>
      <c r="FUG72" s="97"/>
      <c r="FUH72" s="97"/>
      <c r="FUI72" s="97"/>
      <c r="FUJ72" s="97"/>
      <c r="FUK72" s="97"/>
      <c r="FUL72" s="97"/>
      <c r="FUM72" s="97"/>
      <c r="FUN72" s="97"/>
      <c r="FUO72" s="97"/>
      <c r="FUP72" s="97"/>
      <c r="FUQ72" s="97"/>
      <c r="FUR72" s="97"/>
      <c r="FUS72" s="97"/>
      <c r="FUT72" s="97"/>
      <c r="FUU72" s="97"/>
      <c r="FUV72" s="97"/>
      <c r="FUW72" s="97"/>
      <c r="FUX72" s="97"/>
      <c r="FUY72" s="97"/>
      <c r="FUZ72" s="97"/>
      <c r="FVA72" s="97"/>
      <c r="FVB72" s="97"/>
      <c r="FVC72" s="97"/>
      <c r="FVD72" s="97"/>
      <c r="FVE72" s="97"/>
      <c r="FVF72" s="97"/>
      <c r="FVG72" s="97"/>
      <c r="FVH72" s="97"/>
      <c r="FVI72" s="97"/>
      <c r="FVJ72" s="97"/>
      <c r="FVK72" s="97"/>
      <c r="FVL72" s="97"/>
      <c r="FVM72" s="97"/>
      <c r="FVN72" s="97"/>
      <c r="FVO72" s="97"/>
      <c r="FVP72" s="97"/>
      <c r="FVQ72" s="97"/>
      <c r="FVR72" s="97"/>
      <c r="FVS72" s="97"/>
      <c r="FVT72" s="97"/>
      <c r="FVU72" s="97"/>
      <c r="FVV72" s="97"/>
      <c r="FVW72" s="97"/>
      <c r="FVX72" s="97"/>
      <c r="FVY72" s="97"/>
      <c r="FVZ72" s="97"/>
      <c r="FWA72" s="97"/>
      <c r="FWB72" s="97"/>
      <c r="FWC72" s="97"/>
      <c r="FWD72" s="97"/>
      <c r="FWE72" s="97"/>
      <c r="FWF72" s="97"/>
      <c r="FWG72" s="97"/>
      <c r="FWH72" s="97"/>
      <c r="FWI72" s="97"/>
      <c r="FWJ72" s="97"/>
      <c r="FWK72" s="97"/>
      <c r="FWL72" s="97"/>
      <c r="FWM72" s="97"/>
      <c r="FWN72" s="97"/>
      <c r="FWO72" s="97"/>
      <c r="FWP72" s="97"/>
      <c r="FWQ72" s="97"/>
      <c r="FWR72" s="97"/>
      <c r="FWS72" s="97"/>
      <c r="FWT72" s="97"/>
      <c r="FWU72" s="97"/>
      <c r="FWV72" s="97"/>
      <c r="FWW72" s="97"/>
      <c r="FWX72" s="97"/>
      <c r="FWY72" s="97"/>
      <c r="FWZ72" s="97"/>
      <c r="FXA72" s="97"/>
      <c r="FXB72" s="97"/>
      <c r="FXC72" s="97"/>
      <c r="FXD72" s="97"/>
      <c r="FXE72" s="97"/>
      <c r="FXF72" s="97"/>
      <c r="FXG72" s="97"/>
      <c r="FXH72" s="97"/>
      <c r="FXI72" s="97"/>
      <c r="FXJ72" s="97"/>
      <c r="FXK72" s="97"/>
      <c r="FXL72" s="97"/>
      <c r="FXM72" s="97"/>
      <c r="FXN72" s="97"/>
      <c r="FXO72" s="97"/>
      <c r="FXP72" s="97"/>
      <c r="FXQ72" s="97"/>
      <c r="FXR72" s="97"/>
      <c r="FXS72" s="97"/>
      <c r="FXT72" s="97"/>
      <c r="FXU72" s="97"/>
      <c r="FXV72" s="97"/>
      <c r="FXW72" s="97"/>
      <c r="FXX72" s="97"/>
      <c r="FXY72" s="97"/>
      <c r="FXZ72" s="97"/>
      <c r="FYA72" s="97"/>
      <c r="FYB72" s="97"/>
      <c r="FYC72" s="97"/>
      <c r="FYD72" s="97"/>
      <c r="FYE72" s="97"/>
      <c r="FYF72" s="97"/>
      <c r="FYG72" s="97"/>
      <c r="FYH72" s="97"/>
      <c r="FYI72" s="97"/>
      <c r="FYJ72" s="97"/>
      <c r="FYK72" s="97"/>
      <c r="FYL72" s="97"/>
      <c r="FYM72" s="97"/>
      <c r="FYN72" s="97"/>
      <c r="FYO72" s="97"/>
      <c r="FYP72" s="97"/>
      <c r="FYQ72" s="97"/>
      <c r="FYR72" s="97"/>
      <c r="FYS72" s="97"/>
      <c r="FYT72" s="97"/>
      <c r="FYU72" s="97"/>
      <c r="FYV72" s="97"/>
      <c r="FYW72" s="97"/>
      <c r="FYX72" s="97"/>
      <c r="FYY72" s="97"/>
      <c r="FYZ72" s="97"/>
      <c r="FZA72" s="97"/>
      <c r="FZB72" s="97"/>
      <c r="FZC72" s="97"/>
      <c r="FZD72" s="97"/>
      <c r="FZE72" s="97"/>
      <c r="FZF72" s="97"/>
      <c r="FZG72" s="97"/>
      <c r="FZH72" s="97"/>
      <c r="FZI72" s="97"/>
      <c r="FZJ72" s="97"/>
      <c r="FZK72" s="97"/>
      <c r="FZL72" s="97"/>
      <c r="FZM72" s="97"/>
      <c r="FZN72" s="97"/>
      <c r="FZO72" s="97"/>
      <c r="FZP72" s="97"/>
      <c r="FZQ72" s="97"/>
      <c r="FZR72" s="97"/>
      <c r="FZS72" s="97"/>
      <c r="FZT72" s="97"/>
      <c r="FZU72" s="97"/>
      <c r="FZV72" s="97"/>
      <c r="FZW72" s="97"/>
      <c r="FZX72" s="97"/>
      <c r="FZY72" s="97"/>
      <c r="FZZ72" s="97"/>
      <c r="GAA72" s="97"/>
      <c r="GAB72" s="97"/>
      <c r="GAC72" s="97"/>
      <c r="GAD72" s="97"/>
      <c r="GAE72" s="97"/>
      <c r="GAF72" s="97"/>
      <c r="GAG72" s="97"/>
      <c r="GAH72" s="97"/>
      <c r="GAI72" s="97"/>
      <c r="GAJ72" s="97"/>
      <c r="GAK72" s="97"/>
      <c r="GAL72" s="97"/>
      <c r="GAM72" s="97"/>
      <c r="GAN72" s="97"/>
      <c r="GAO72" s="97"/>
      <c r="GAP72" s="97"/>
      <c r="GAQ72" s="97"/>
      <c r="GAR72" s="97"/>
      <c r="GAS72" s="97"/>
      <c r="GAT72" s="97"/>
      <c r="GAU72" s="97"/>
      <c r="GAV72" s="97"/>
      <c r="GAW72" s="97"/>
      <c r="GAX72" s="97"/>
      <c r="GAY72" s="97"/>
      <c r="GAZ72" s="97"/>
      <c r="GBA72" s="97"/>
      <c r="GBB72" s="97"/>
      <c r="GBC72" s="97"/>
      <c r="GBD72" s="97"/>
      <c r="GBE72" s="97"/>
      <c r="GBF72" s="97"/>
      <c r="GBG72" s="97"/>
      <c r="GBH72" s="97"/>
      <c r="GBI72" s="97"/>
      <c r="GBJ72" s="97"/>
      <c r="GBK72" s="97"/>
      <c r="GBL72" s="97"/>
      <c r="GBM72" s="97"/>
      <c r="GBN72" s="97"/>
      <c r="GBO72" s="97"/>
      <c r="GBP72" s="97"/>
      <c r="GBQ72" s="97"/>
      <c r="GBR72" s="97"/>
      <c r="GBS72" s="97"/>
      <c r="GBT72" s="97"/>
      <c r="GBU72" s="97"/>
      <c r="GBV72" s="97"/>
      <c r="GBW72" s="97"/>
      <c r="GBX72" s="97"/>
      <c r="GBY72" s="97"/>
      <c r="GBZ72" s="97"/>
      <c r="GCA72" s="97"/>
      <c r="GCB72" s="97"/>
      <c r="GCC72" s="97"/>
      <c r="GCD72" s="97"/>
      <c r="GCE72" s="97"/>
      <c r="GCF72" s="97"/>
      <c r="GCG72" s="97"/>
      <c r="GCH72" s="97"/>
      <c r="GCI72" s="97"/>
      <c r="GCJ72" s="97"/>
      <c r="GCK72" s="97"/>
      <c r="GCL72" s="97"/>
      <c r="GCM72" s="97"/>
      <c r="GCN72" s="97"/>
      <c r="GCO72" s="97"/>
      <c r="GCP72" s="97"/>
      <c r="GCQ72" s="97"/>
      <c r="GCR72" s="97"/>
      <c r="GCS72" s="97"/>
      <c r="GCT72" s="97"/>
      <c r="GCU72" s="97"/>
      <c r="GCV72" s="97"/>
      <c r="GCW72" s="97"/>
      <c r="GCX72" s="97"/>
      <c r="GCY72" s="97"/>
      <c r="GCZ72" s="97"/>
      <c r="GDA72" s="97"/>
      <c r="GDB72" s="97"/>
      <c r="GDC72" s="97"/>
      <c r="GDD72" s="97"/>
      <c r="GDE72" s="97"/>
      <c r="GDF72" s="97"/>
      <c r="GDG72" s="97"/>
      <c r="GDH72" s="97"/>
      <c r="GDI72" s="97"/>
      <c r="GDJ72" s="97"/>
      <c r="GDK72" s="97"/>
      <c r="GDL72" s="97"/>
      <c r="GDM72" s="97"/>
      <c r="GDN72" s="97"/>
      <c r="GDO72" s="97"/>
      <c r="GDP72" s="97"/>
      <c r="GDQ72" s="97"/>
      <c r="GDR72" s="97"/>
      <c r="GDS72" s="97"/>
      <c r="GDT72" s="97"/>
      <c r="GDU72" s="97"/>
      <c r="GDV72" s="97"/>
      <c r="GDW72" s="97"/>
      <c r="GDX72" s="97"/>
      <c r="GDY72" s="97"/>
      <c r="GDZ72" s="97"/>
      <c r="GEA72" s="97"/>
      <c r="GEB72" s="97"/>
      <c r="GEC72" s="97"/>
      <c r="GED72" s="97"/>
      <c r="GEE72" s="97"/>
      <c r="GEF72" s="97"/>
      <c r="GEG72" s="97"/>
      <c r="GEH72" s="97"/>
      <c r="GEI72" s="97"/>
      <c r="GEJ72" s="97"/>
      <c r="GEK72" s="97"/>
      <c r="GEL72" s="97"/>
      <c r="GEM72" s="97"/>
      <c r="GEN72" s="97"/>
      <c r="GEO72" s="97"/>
      <c r="GEP72" s="97"/>
      <c r="GEQ72" s="97"/>
      <c r="GER72" s="97"/>
      <c r="GES72" s="97"/>
      <c r="GET72" s="97"/>
      <c r="GEU72" s="97"/>
      <c r="GEV72" s="97"/>
      <c r="GEW72" s="97"/>
      <c r="GEX72" s="97"/>
      <c r="GEY72" s="97"/>
      <c r="GEZ72" s="97"/>
      <c r="GFA72" s="97"/>
      <c r="GFB72" s="97"/>
      <c r="GFC72" s="97"/>
      <c r="GFD72" s="97"/>
      <c r="GFE72" s="97"/>
      <c r="GFF72" s="97"/>
      <c r="GFG72" s="97"/>
      <c r="GFH72" s="97"/>
      <c r="GFI72" s="97"/>
      <c r="GFJ72" s="97"/>
      <c r="GFK72" s="97"/>
      <c r="GFL72" s="97"/>
      <c r="GFM72" s="97"/>
      <c r="GFN72" s="97"/>
      <c r="GFO72" s="97"/>
      <c r="GFP72" s="97"/>
      <c r="GFQ72" s="97"/>
      <c r="GFR72" s="97"/>
      <c r="GFS72" s="97"/>
      <c r="GFT72" s="97"/>
      <c r="GFU72" s="97"/>
      <c r="GFV72" s="97"/>
      <c r="GFW72" s="97"/>
      <c r="GFX72" s="97"/>
      <c r="GFY72" s="97"/>
      <c r="GFZ72" s="97"/>
      <c r="GGA72" s="97"/>
      <c r="GGB72" s="97"/>
      <c r="GGC72" s="97"/>
      <c r="GGD72" s="97"/>
      <c r="GGE72" s="97"/>
      <c r="GGF72" s="97"/>
      <c r="GGG72" s="97"/>
      <c r="GGH72" s="97"/>
      <c r="GGI72" s="97"/>
      <c r="GGJ72" s="97"/>
      <c r="GGK72" s="97"/>
      <c r="GGL72" s="97"/>
      <c r="GGM72" s="97"/>
      <c r="GGN72" s="97"/>
      <c r="GGO72" s="97"/>
      <c r="GGP72" s="97"/>
      <c r="GGQ72" s="97"/>
      <c r="GGR72" s="97"/>
      <c r="GGS72" s="97"/>
      <c r="GGT72" s="97"/>
      <c r="GGU72" s="97"/>
      <c r="GGV72" s="97"/>
      <c r="GGW72" s="97"/>
      <c r="GGX72" s="97"/>
      <c r="GGY72" s="97"/>
      <c r="GGZ72" s="97"/>
      <c r="GHA72" s="97"/>
      <c r="GHB72" s="97"/>
      <c r="GHC72" s="97"/>
      <c r="GHD72" s="97"/>
      <c r="GHE72" s="97"/>
      <c r="GHF72" s="97"/>
      <c r="GHG72" s="97"/>
      <c r="GHH72" s="97"/>
      <c r="GHI72" s="97"/>
      <c r="GHJ72" s="97"/>
      <c r="GHK72" s="97"/>
      <c r="GHL72" s="97"/>
      <c r="GHM72" s="97"/>
      <c r="GHN72" s="97"/>
      <c r="GHO72" s="97"/>
      <c r="GHP72" s="97"/>
      <c r="GHQ72" s="97"/>
      <c r="GHR72" s="97"/>
      <c r="GHS72" s="97"/>
      <c r="GHT72" s="97"/>
      <c r="GHU72" s="97"/>
      <c r="GHV72" s="97"/>
      <c r="GHW72" s="97"/>
      <c r="GHX72" s="97"/>
      <c r="GHY72" s="97"/>
      <c r="GHZ72" s="97"/>
      <c r="GIA72" s="97"/>
      <c r="GIB72" s="97"/>
      <c r="GIC72" s="97"/>
      <c r="GID72" s="97"/>
      <c r="GIE72" s="97"/>
      <c r="GIF72" s="97"/>
      <c r="GIG72" s="97"/>
      <c r="GIH72" s="97"/>
      <c r="GII72" s="97"/>
      <c r="GIJ72" s="97"/>
      <c r="GIK72" s="97"/>
      <c r="GIL72" s="97"/>
      <c r="GIM72" s="97"/>
      <c r="GIN72" s="97"/>
      <c r="GIO72" s="97"/>
      <c r="GIP72" s="97"/>
      <c r="GIQ72" s="97"/>
      <c r="GIR72" s="97"/>
      <c r="GIS72" s="97"/>
      <c r="GIT72" s="97"/>
      <c r="GIU72" s="97"/>
      <c r="GIV72" s="97"/>
      <c r="GIW72" s="97"/>
      <c r="GIX72" s="97"/>
      <c r="GIY72" s="97"/>
      <c r="GIZ72" s="97"/>
      <c r="GJA72" s="97"/>
      <c r="GJB72" s="97"/>
      <c r="GJC72" s="97"/>
      <c r="GJD72" s="97"/>
      <c r="GJE72" s="97"/>
      <c r="GJF72" s="97"/>
      <c r="GJG72" s="97"/>
      <c r="GJH72" s="97"/>
      <c r="GJI72" s="97"/>
      <c r="GJJ72" s="97"/>
      <c r="GJK72" s="97"/>
      <c r="GJL72" s="97"/>
      <c r="GJM72" s="97"/>
      <c r="GJN72" s="97"/>
      <c r="GJO72" s="97"/>
      <c r="GJP72" s="97"/>
      <c r="GJQ72" s="97"/>
      <c r="GJR72" s="97"/>
      <c r="GJS72" s="97"/>
      <c r="GJT72" s="97"/>
      <c r="GJU72" s="97"/>
      <c r="GJV72" s="97"/>
      <c r="GJW72" s="97"/>
      <c r="GJX72" s="97"/>
      <c r="GJY72" s="97"/>
      <c r="GJZ72" s="97"/>
      <c r="GKA72" s="97"/>
      <c r="GKB72" s="97"/>
      <c r="GKC72" s="97"/>
      <c r="GKD72" s="97"/>
      <c r="GKE72" s="97"/>
      <c r="GKF72" s="97"/>
      <c r="GKG72" s="97"/>
      <c r="GKH72" s="97"/>
      <c r="GKI72" s="97"/>
      <c r="GKJ72" s="97"/>
      <c r="GKK72" s="97"/>
      <c r="GKL72" s="97"/>
      <c r="GKM72" s="97"/>
      <c r="GKN72" s="97"/>
      <c r="GKO72" s="97"/>
      <c r="GKP72" s="97"/>
      <c r="GKQ72" s="97"/>
      <c r="GKR72" s="97"/>
      <c r="GKS72" s="97"/>
      <c r="GKT72" s="97"/>
      <c r="GKU72" s="97"/>
      <c r="GKV72" s="97"/>
      <c r="GKW72" s="97"/>
      <c r="GKX72" s="97"/>
      <c r="GKY72" s="97"/>
      <c r="GKZ72" s="97"/>
      <c r="GLA72" s="97"/>
      <c r="GLB72" s="97"/>
      <c r="GLC72" s="97"/>
      <c r="GLD72" s="97"/>
      <c r="GLE72" s="97"/>
      <c r="GLF72" s="97"/>
      <c r="GLG72" s="97"/>
      <c r="GLH72" s="97"/>
      <c r="GLI72" s="97"/>
      <c r="GLJ72" s="97"/>
      <c r="GLK72" s="97"/>
      <c r="GLL72" s="97"/>
      <c r="GLM72" s="97"/>
      <c r="GLN72" s="97"/>
      <c r="GLO72" s="97"/>
      <c r="GLP72" s="97"/>
      <c r="GLQ72" s="97"/>
      <c r="GLR72" s="97"/>
      <c r="GLS72" s="97"/>
      <c r="GLT72" s="97"/>
      <c r="GLU72" s="97"/>
      <c r="GLV72" s="97"/>
      <c r="GLW72" s="97"/>
      <c r="GLX72" s="97"/>
      <c r="GLY72" s="97"/>
      <c r="GLZ72" s="97"/>
      <c r="GMA72" s="97"/>
      <c r="GMB72" s="97"/>
      <c r="GMC72" s="97"/>
      <c r="GMD72" s="97"/>
      <c r="GME72" s="97"/>
      <c r="GMF72" s="97"/>
      <c r="GMG72" s="97"/>
      <c r="GMH72" s="97"/>
      <c r="GMI72" s="97"/>
      <c r="GMJ72" s="97"/>
      <c r="GMK72" s="97"/>
      <c r="GML72" s="97"/>
      <c r="GMM72" s="97"/>
      <c r="GMN72" s="97"/>
      <c r="GMO72" s="97"/>
      <c r="GMP72" s="97"/>
      <c r="GMQ72" s="97"/>
      <c r="GMR72" s="97"/>
      <c r="GMS72" s="97"/>
      <c r="GMT72" s="97"/>
      <c r="GMU72" s="97"/>
      <c r="GMV72" s="97"/>
      <c r="GMW72" s="97"/>
      <c r="GMX72" s="97"/>
      <c r="GMY72" s="97"/>
      <c r="GMZ72" s="97"/>
      <c r="GNA72" s="97"/>
      <c r="GNB72" s="97"/>
      <c r="GNC72" s="97"/>
      <c r="GND72" s="97"/>
      <c r="GNE72" s="97"/>
      <c r="GNF72" s="97"/>
      <c r="GNG72" s="97"/>
      <c r="GNH72" s="97"/>
      <c r="GNI72" s="97"/>
      <c r="GNJ72" s="97"/>
      <c r="GNK72" s="97"/>
      <c r="GNL72" s="97"/>
      <c r="GNM72" s="97"/>
      <c r="GNN72" s="97"/>
      <c r="GNO72" s="97"/>
      <c r="GNP72" s="97"/>
      <c r="GNQ72" s="97"/>
      <c r="GNR72" s="97"/>
      <c r="GNS72" s="97"/>
      <c r="GNT72" s="97"/>
      <c r="GNU72" s="97"/>
      <c r="GNV72" s="97"/>
      <c r="GNW72" s="97"/>
      <c r="GNX72" s="97"/>
      <c r="GNY72" s="97"/>
      <c r="GNZ72" s="97"/>
      <c r="GOA72" s="97"/>
      <c r="GOB72" s="97"/>
      <c r="GOC72" s="97"/>
      <c r="GOD72" s="97"/>
      <c r="GOE72" s="97"/>
      <c r="GOF72" s="97"/>
      <c r="GOG72" s="97"/>
      <c r="GOH72" s="97"/>
      <c r="GOI72" s="97"/>
      <c r="GOJ72" s="97"/>
      <c r="GOK72" s="97"/>
      <c r="GOL72" s="97"/>
      <c r="GOM72" s="97"/>
      <c r="GON72" s="97"/>
      <c r="GOO72" s="97"/>
      <c r="GOP72" s="97"/>
      <c r="GOQ72" s="97"/>
      <c r="GOR72" s="97"/>
      <c r="GOS72" s="97"/>
      <c r="GOT72" s="97"/>
      <c r="GOU72" s="97"/>
      <c r="GOV72" s="97"/>
      <c r="GOW72" s="97"/>
      <c r="GOX72" s="97"/>
      <c r="GOY72" s="97"/>
      <c r="GOZ72" s="97"/>
      <c r="GPA72" s="97"/>
      <c r="GPB72" s="97"/>
      <c r="GPC72" s="97"/>
      <c r="GPD72" s="97"/>
      <c r="GPE72" s="97"/>
      <c r="GPF72" s="97"/>
      <c r="GPG72" s="97"/>
      <c r="GPH72" s="97"/>
      <c r="GPI72" s="97"/>
      <c r="GPJ72" s="97"/>
      <c r="GPK72" s="97"/>
      <c r="GPL72" s="97"/>
      <c r="GPM72" s="97"/>
      <c r="GPN72" s="97"/>
      <c r="GPO72" s="97"/>
      <c r="GPP72" s="97"/>
      <c r="GPQ72" s="97"/>
      <c r="GPR72" s="97"/>
      <c r="GPS72" s="97"/>
      <c r="GPT72" s="97"/>
      <c r="GPU72" s="97"/>
      <c r="GPV72" s="97"/>
      <c r="GPW72" s="97"/>
      <c r="GPX72" s="97"/>
      <c r="GPY72" s="97"/>
      <c r="GPZ72" s="97"/>
      <c r="GQA72" s="97"/>
      <c r="GQB72" s="97"/>
      <c r="GQC72" s="97"/>
      <c r="GQD72" s="97"/>
      <c r="GQE72" s="97"/>
      <c r="GQF72" s="97"/>
      <c r="GQG72" s="97"/>
      <c r="GQH72" s="97"/>
      <c r="GQI72" s="97"/>
      <c r="GQJ72" s="97"/>
      <c r="GQK72" s="97"/>
      <c r="GQL72" s="97"/>
      <c r="GQM72" s="97"/>
      <c r="GQN72" s="97"/>
      <c r="GQO72" s="97"/>
      <c r="GQP72" s="97"/>
      <c r="GQQ72" s="97"/>
      <c r="GQR72" s="97"/>
      <c r="GQS72" s="97"/>
      <c r="GQT72" s="97"/>
      <c r="GQU72" s="97"/>
      <c r="GQV72" s="97"/>
      <c r="GQW72" s="97"/>
      <c r="GQX72" s="97"/>
      <c r="GQY72" s="97"/>
      <c r="GQZ72" s="97"/>
      <c r="GRA72" s="97"/>
      <c r="GRB72" s="97"/>
      <c r="GRC72" s="97"/>
      <c r="GRD72" s="97"/>
      <c r="GRE72" s="97"/>
      <c r="GRF72" s="97"/>
      <c r="GRG72" s="97"/>
      <c r="GRH72" s="97"/>
      <c r="GRI72" s="97"/>
      <c r="GRJ72" s="97"/>
      <c r="GRK72" s="97"/>
      <c r="GRL72" s="97"/>
      <c r="GRM72" s="97"/>
      <c r="GRN72" s="97"/>
      <c r="GRO72" s="97"/>
      <c r="GRP72" s="97"/>
      <c r="GRQ72" s="97"/>
      <c r="GRR72" s="97"/>
      <c r="GRS72" s="97"/>
      <c r="GRT72" s="97"/>
      <c r="GRU72" s="97"/>
      <c r="GRV72" s="97"/>
      <c r="GRW72" s="97"/>
      <c r="GRX72" s="97"/>
      <c r="GRY72" s="97"/>
      <c r="GRZ72" s="97"/>
      <c r="GSA72" s="97"/>
      <c r="GSB72" s="97"/>
      <c r="GSC72" s="97"/>
      <c r="GSD72" s="97"/>
      <c r="GSE72" s="97"/>
      <c r="GSF72" s="97"/>
      <c r="GSG72" s="97"/>
      <c r="GSH72" s="97"/>
      <c r="GSI72" s="97"/>
      <c r="GSJ72" s="97"/>
      <c r="GSK72" s="97"/>
      <c r="GSL72" s="97"/>
      <c r="GSM72" s="97"/>
      <c r="GSN72" s="97"/>
      <c r="GSO72" s="97"/>
      <c r="GSP72" s="97"/>
      <c r="GSQ72" s="97"/>
      <c r="GSR72" s="97"/>
      <c r="GSS72" s="97"/>
      <c r="GST72" s="97"/>
      <c r="GSU72" s="97"/>
      <c r="GSV72" s="97"/>
      <c r="GSW72" s="97"/>
      <c r="GSX72" s="97"/>
      <c r="GSY72" s="97"/>
      <c r="GSZ72" s="97"/>
      <c r="GTA72" s="97"/>
      <c r="GTB72" s="97"/>
      <c r="GTC72" s="97"/>
      <c r="GTD72" s="97"/>
      <c r="GTE72" s="97"/>
      <c r="GTF72" s="97"/>
      <c r="GTG72" s="97"/>
      <c r="GTH72" s="97"/>
      <c r="GTI72" s="97"/>
      <c r="GTJ72" s="97"/>
      <c r="GTK72" s="97"/>
      <c r="GTL72" s="97"/>
      <c r="GTM72" s="97"/>
      <c r="GTN72" s="97"/>
      <c r="GTO72" s="97"/>
      <c r="GTP72" s="97"/>
      <c r="GTQ72" s="97"/>
      <c r="GTR72" s="97"/>
      <c r="GTS72" s="97"/>
      <c r="GTT72" s="97"/>
      <c r="GTU72" s="97"/>
      <c r="GTV72" s="97"/>
      <c r="GTW72" s="97"/>
      <c r="GTX72" s="97"/>
      <c r="GTY72" s="97"/>
      <c r="GTZ72" s="97"/>
      <c r="GUA72" s="97"/>
      <c r="GUB72" s="97"/>
      <c r="GUC72" s="97"/>
      <c r="GUD72" s="97"/>
      <c r="GUE72" s="97"/>
      <c r="GUF72" s="97"/>
      <c r="GUG72" s="97"/>
      <c r="GUH72" s="97"/>
      <c r="GUI72" s="97"/>
      <c r="GUJ72" s="97"/>
      <c r="GUK72" s="97"/>
      <c r="GUL72" s="97"/>
      <c r="GUM72" s="97"/>
      <c r="GUN72" s="97"/>
      <c r="GUO72" s="97"/>
      <c r="GUP72" s="97"/>
      <c r="GUQ72" s="97"/>
      <c r="GUR72" s="97"/>
      <c r="GUS72" s="97"/>
      <c r="GUT72" s="97"/>
      <c r="GUU72" s="97"/>
      <c r="GUV72" s="97"/>
      <c r="GUW72" s="97"/>
      <c r="GUX72" s="97"/>
      <c r="GUY72" s="97"/>
      <c r="GUZ72" s="97"/>
      <c r="GVA72" s="97"/>
      <c r="GVB72" s="97"/>
      <c r="GVC72" s="97"/>
      <c r="GVD72" s="97"/>
      <c r="GVE72" s="97"/>
      <c r="GVF72" s="97"/>
      <c r="GVG72" s="97"/>
      <c r="GVH72" s="97"/>
      <c r="GVI72" s="97"/>
      <c r="GVJ72" s="97"/>
      <c r="GVK72" s="97"/>
      <c r="GVL72" s="97"/>
      <c r="GVM72" s="97"/>
      <c r="GVN72" s="97"/>
      <c r="GVO72" s="97"/>
      <c r="GVP72" s="97"/>
      <c r="GVQ72" s="97"/>
      <c r="GVR72" s="97"/>
      <c r="GVS72" s="97"/>
      <c r="GVT72" s="97"/>
      <c r="GVU72" s="97"/>
      <c r="GVV72" s="97"/>
      <c r="GVW72" s="97"/>
      <c r="GVX72" s="97"/>
      <c r="GVY72" s="97"/>
      <c r="GVZ72" s="97"/>
      <c r="GWA72" s="97"/>
      <c r="GWB72" s="97"/>
      <c r="GWC72" s="97"/>
      <c r="GWD72" s="97"/>
      <c r="GWE72" s="97"/>
      <c r="GWF72" s="97"/>
      <c r="GWG72" s="97"/>
      <c r="GWH72" s="97"/>
      <c r="GWI72" s="97"/>
      <c r="GWJ72" s="97"/>
      <c r="GWK72" s="97"/>
      <c r="GWL72" s="97"/>
      <c r="GWM72" s="97"/>
      <c r="GWN72" s="97"/>
      <c r="GWO72" s="97"/>
      <c r="GWP72" s="97"/>
      <c r="GWQ72" s="97"/>
      <c r="GWR72" s="97"/>
      <c r="GWS72" s="97"/>
      <c r="GWT72" s="97"/>
      <c r="GWU72" s="97"/>
      <c r="GWV72" s="97"/>
      <c r="GWW72" s="97"/>
      <c r="GWX72" s="97"/>
      <c r="GWY72" s="97"/>
      <c r="GWZ72" s="97"/>
      <c r="GXA72" s="97"/>
      <c r="GXB72" s="97"/>
      <c r="GXC72" s="97"/>
      <c r="GXD72" s="97"/>
      <c r="GXE72" s="97"/>
      <c r="GXF72" s="97"/>
      <c r="GXG72" s="97"/>
      <c r="GXH72" s="97"/>
      <c r="GXI72" s="97"/>
      <c r="GXJ72" s="97"/>
      <c r="GXK72" s="97"/>
      <c r="GXL72" s="97"/>
      <c r="GXM72" s="97"/>
      <c r="GXN72" s="97"/>
      <c r="GXO72" s="97"/>
      <c r="GXP72" s="97"/>
      <c r="GXQ72" s="97"/>
      <c r="GXR72" s="97"/>
      <c r="GXS72" s="97"/>
      <c r="GXT72" s="97"/>
      <c r="GXU72" s="97"/>
      <c r="GXV72" s="97"/>
      <c r="GXW72" s="97"/>
      <c r="GXX72" s="97"/>
      <c r="GXY72" s="97"/>
      <c r="GXZ72" s="97"/>
      <c r="GYA72" s="97"/>
      <c r="GYB72" s="97"/>
      <c r="GYC72" s="97"/>
      <c r="GYD72" s="97"/>
      <c r="GYE72" s="97"/>
      <c r="GYF72" s="97"/>
      <c r="GYG72" s="97"/>
      <c r="GYH72" s="97"/>
      <c r="GYI72" s="97"/>
      <c r="GYJ72" s="97"/>
      <c r="GYK72" s="97"/>
      <c r="GYL72" s="97"/>
      <c r="GYM72" s="97"/>
      <c r="GYN72" s="97"/>
      <c r="GYO72" s="97"/>
      <c r="GYP72" s="97"/>
      <c r="GYQ72" s="97"/>
      <c r="GYR72" s="97"/>
      <c r="GYS72" s="97"/>
      <c r="GYT72" s="97"/>
      <c r="GYU72" s="97"/>
      <c r="GYV72" s="97"/>
      <c r="GYW72" s="97"/>
      <c r="GYX72" s="97"/>
      <c r="GYY72" s="97"/>
      <c r="GYZ72" s="97"/>
      <c r="GZA72" s="97"/>
      <c r="GZB72" s="97"/>
      <c r="GZC72" s="97"/>
      <c r="GZD72" s="97"/>
      <c r="GZE72" s="97"/>
      <c r="GZF72" s="97"/>
      <c r="GZG72" s="97"/>
      <c r="GZH72" s="97"/>
      <c r="GZI72" s="97"/>
      <c r="GZJ72" s="97"/>
      <c r="GZK72" s="97"/>
      <c r="GZL72" s="97"/>
      <c r="GZM72" s="97"/>
      <c r="GZN72" s="97"/>
      <c r="GZO72" s="97"/>
      <c r="GZP72" s="97"/>
      <c r="GZQ72" s="97"/>
      <c r="GZR72" s="97"/>
      <c r="GZS72" s="97"/>
      <c r="GZT72" s="97"/>
      <c r="GZU72" s="97"/>
      <c r="GZV72" s="97"/>
      <c r="GZW72" s="97"/>
      <c r="GZX72" s="97"/>
      <c r="GZY72" s="97"/>
      <c r="GZZ72" s="97"/>
      <c r="HAA72" s="97"/>
      <c r="HAB72" s="97"/>
      <c r="HAC72" s="97"/>
      <c r="HAD72" s="97"/>
      <c r="HAE72" s="97"/>
      <c r="HAF72" s="97"/>
      <c r="HAG72" s="97"/>
      <c r="HAH72" s="97"/>
      <c r="HAI72" s="97"/>
      <c r="HAJ72" s="97"/>
      <c r="HAK72" s="97"/>
      <c r="HAL72" s="97"/>
      <c r="HAM72" s="97"/>
      <c r="HAN72" s="97"/>
      <c r="HAO72" s="97"/>
      <c r="HAP72" s="97"/>
      <c r="HAQ72" s="97"/>
      <c r="HAR72" s="97"/>
      <c r="HAS72" s="97"/>
      <c r="HAT72" s="97"/>
      <c r="HAU72" s="97"/>
      <c r="HAV72" s="97"/>
      <c r="HAW72" s="97"/>
      <c r="HAX72" s="97"/>
      <c r="HAY72" s="97"/>
      <c r="HAZ72" s="97"/>
      <c r="HBA72" s="97"/>
      <c r="HBB72" s="97"/>
      <c r="HBC72" s="97"/>
      <c r="HBD72" s="97"/>
      <c r="HBE72" s="97"/>
      <c r="HBF72" s="97"/>
      <c r="HBG72" s="97"/>
      <c r="HBH72" s="97"/>
      <c r="HBI72" s="97"/>
      <c r="HBJ72" s="97"/>
      <c r="HBK72" s="97"/>
      <c r="HBL72" s="97"/>
      <c r="HBM72" s="97"/>
      <c r="HBN72" s="97"/>
      <c r="HBO72" s="97"/>
      <c r="HBP72" s="97"/>
      <c r="HBQ72" s="97"/>
      <c r="HBR72" s="97"/>
      <c r="HBS72" s="97"/>
      <c r="HBT72" s="97"/>
      <c r="HBU72" s="97"/>
      <c r="HBV72" s="97"/>
      <c r="HBW72" s="97"/>
      <c r="HBX72" s="97"/>
      <c r="HBY72" s="97"/>
      <c r="HBZ72" s="97"/>
      <c r="HCA72" s="97"/>
      <c r="HCB72" s="97"/>
      <c r="HCC72" s="97"/>
      <c r="HCD72" s="97"/>
      <c r="HCE72" s="97"/>
      <c r="HCF72" s="97"/>
      <c r="HCG72" s="97"/>
      <c r="HCH72" s="97"/>
      <c r="HCI72" s="97"/>
      <c r="HCJ72" s="97"/>
      <c r="HCK72" s="97"/>
      <c r="HCL72" s="97"/>
      <c r="HCM72" s="97"/>
      <c r="HCN72" s="97"/>
      <c r="HCO72" s="97"/>
      <c r="HCP72" s="97"/>
      <c r="HCQ72" s="97"/>
      <c r="HCR72" s="97"/>
      <c r="HCS72" s="97"/>
      <c r="HCT72" s="97"/>
      <c r="HCU72" s="97"/>
      <c r="HCV72" s="97"/>
      <c r="HCW72" s="97"/>
      <c r="HCX72" s="97"/>
      <c r="HCY72" s="97"/>
      <c r="HCZ72" s="97"/>
      <c r="HDA72" s="97"/>
      <c r="HDB72" s="97"/>
      <c r="HDC72" s="97"/>
      <c r="HDD72" s="97"/>
      <c r="HDE72" s="97"/>
      <c r="HDF72" s="97"/>
      <c r="HDG72" s="97"/>
      <c r="HDH72" s="97"/>
      <c r="HDI72" s="97"/>
      <c r="HDJ72" s="97"/>
      <c r="HDK72" s="97"/>
      <c r="HDL72" s="97"/>
      <c r="HDM72" s="97"/>
      <c r="HDN72" s="97"/>
      <c r="HDO72" s="97"/>
      <c r="HDP72" s="97"/>
      <c r="HDQ72" s="97"/>
      <c r="HDR72" s="97"/>
      <c r="HDS72" s="97"/>
      <c r="HDT72" s="97"/>
      <c r="HDU72" s="97"/>
      <c r="HDV72" s="97"/>
      <c r="HDW72" s="97"/>
      <c r="HDX72" s="97"/>
      <c r="HDY72" s="97"/>
      <c r="HDZ72" s="97"/>
      <c r="HEA72" s="97"/>
      <c r="HEB72" s="97"/>
      <c r="HEC72" s="97"/>
      <c r="HED72" s="97"/>
      <c r="HEE72" s="97"/>
      <c r="HEF72" s="97"/>
      <c r="HEG72" s="97"/>
      <c r="HEH72" s="97"/>
      <c r="HEI72" s="97"/>
      <c r="HEJ72" s="97"/>
      <c r="HEK72" s="97"/>
      <c r="HEL72" s="97"/>
      <c r="HEM72" s="97"/>
      <c r="HEN72" s="97"/>
      <c r="HEO72" s="97"/>
      <c r="HEP72" s="97"/>
      <c r="HEQ72" s="97"/>
      <c r="HER72" s="97"/>
      <c r="HES72" s="97"/>
      <c r="HET72" s="97"/>
      <c r="HEU72" s="97"/>
      <c r="HEV72" s="97"/>
      <c r="HEW72" s="97"/>
      <c r="HEX72" s="97"/>
      <c r="HEY72" s="97"/>
      <c r="HEZ72" s="97"/>
      <c r="HFA72" s="97"/>
      <c r="HFB72" s="97"/>
      <c r="HFC72" s="97"/>
      <c r="HFD72" s="97"/>
      <c r="HFE72" s="97"/>
      <c r="HFF72" s="97"/>
      <c r="HFG72" s="97"/>
      <c r="HFH72" s="97"/>
      <c r="HFI72" s="97"/>
      <c r="HFJ72" s="97"/>
      <c r="HFK72" s="97"/>
      <c r="HFL72" s="97"/>
      <c r="HFM72" s="97"/>
      <c r="HFN72" s="97"/>
      <c r="HFO72" s="97"/>
      <c r="HFP72" s="97"/>
      <c r="HFQ72" s="97"/>
      <c r="HFR72" s="97"/>
      <c r="HFS72" s="97"/>
      <c r="HFT72" s="97"/>
      <c r="HFU72" s="97"/>
      <c r="HFV72" s="97"/>
      <c r="HFW72" s="97"/>
      <c r="HFX72" s="97"/>
      <c r="HFY72" s="97"/>
      <c r="HFZ72" s="97"/>
      <c r="HGA72" s="97"/>
      <c r="HGB72" s="97"/>
      <c r="HGC72" s="97"/>
      <c r="HGD72" s="97"/>
      <c r="HGE72" s="97"/>
      <c r="HGF72" s="97"/>
      <c r="HGG72" s="97"/>
      <c r="HGH72" s="97"/>
      <c r="HGI72" s="97"/>
      <c r="HGJ72" s="97"/>
      <c r="HGK72" s="97"/>
      <c r="HGL72" s="97"/>
      <c r="HGM72" s="97"/>
      <c r="HGN72" s="97"/>
      <c r="HGO72" s="97"/>
      <c r="HGP72" s="97"/>
      <c r="HGQ72" s="97"/>
      <c r="HGR72" s="97"/>
      <c r="HGS72" s="97"/>
      <c r="HGT72" s="97"/>
      <c r="HGU72" s="97"/>
      <c r="HGV72" s="97"/>
      <c r="HGW72" s="97"/>
      <c r="HGX72" s="97"/>
      <c r="HGY72" s="97"/>
      <c r="HGZ72" s="97"/>
      <c r="HHA72" s="97"/>
      <c r="HHB72" s="97"/>
      <c r="HHC72" s="97"/>
      <c r="HHD72" s="97"/>
      <c r="HHE72" s="97"/>
      <c r="HHF72" s="97"/>
      <c r="HHG72" s="97"/>
      <c r="HHH72" s="97"/>
      <c r="HHI72" s="97"/>
      <c r="HHJ72" s="97"/>
      <c r="HHK72" s="97"/>
      <c r="HHL72" s="97"/>
      <c r="HHM72" s="97"/>
      <c r="HHN72" s="97"/>
      <c r="HHO72" s="97"/>
      <c r="HHP72" s="97"/>
      <c r="HHQ72" s="97"/>
      <c r="HHR72" s="97"/>
      <c r="HHS72" s="97"/>
      <c r="HHT72" s="97"/>
      <c r="HHU72" s="97"/>
      <c r="HHV72" s="97"/>
      <c r="HHW72" s="97"/>
      <c r="HHX72" s="97"/>
      <c r="HHY72" s="97"/>
      <c r="HHZ72" s="97"/>
      <c r="HIA72" s="97"/>
      <c r="HIB72" s="97"/>
      <c r="HIC72" s="97"/>
      <c r="HID72" s="97"/>
      <c r="HIE72" s="97"/>
      <c r="HIF72" s="97"/>
      <c r="HIG72" s="97"/>
      <c r="HIH72" s="97"/>
      <c r="HII72" s="97"/>
      <c r="HIJ72" s="97"/>
      <c r="HIK72" s="97"/>
      <c r="HIL72" s="97"/>
      <c r="HIM72" s="97"/>
      <c r="HIN72" s="97"/>
      <c r="HIO72" s="97"/>
      <c r="HIP72" s="97"/>
      <c r="HIQ72" s="97"/>
      <c r="HIR72" s="97"/>
      <c r="HIS72" s="97"/>
      <c r="HIT72" s="97"/>
      <c r="HIU72" s="97"/>
      <c r="HIV72" s="97"/>
      <c r="HIW72" s="97"/>
      <c r="HIX72" s="97"/>
      <c r="HIY72" s="97"/>
      <c r="HIZ72" s="97"/>
      <c r="HJA72" s="97"/>
      <c r="HJB72" s="97"/>
      <c r="HJC72" s="97"/>
      <c r="HJD72" s="97"/>
      <c r="HJE72" s="97"/>
      <c r="HJF72" s="97"/>
      <c r="HJG72" s="97"/>
      <c r="HJH72" s="97"/>
      <c r="HJI72" s="97"/>
      <c r="HJJ72" s="97"/>
      <c r="HJK72" s="97"/>
      <c r="HJL72" s="97"/>
      <c r="HJM72" s="97"/>
      <c r="HJN72" s="97"/>
      <c r="HJO72" s="97"/>
      <c r="HJP72" s="97"/>
      <c r="HJQ72" s="97"/>
      <c r="HJR72" s="97"/>
      <c r="HJS72" s="97"/>
      <c r="HJT72" s="97"/>
      <c r="HJU72" s="97"/>
      <c r="HJV72" s="97"/>
      <c r="HJW72" s="97"/>
      <c r="HJX72" s="97"/>
      <c r="HJY72" s="97"/>
      <c r="HJZ72" s="97"/>
      <c r="HKA72" s="97"/>
      <c r="HKB72" s="97"/>
      <c r="HKC72" s="97"/>
      <c r="HKD72" s="97"/>
      <c r="HKE72" s="97"/>
      <c r="HKF72" s="97"/>
      <c r="HKG72" s="97"/>
      <c r="HKH72" s="97"/>
      <c r="HKI72" s="97"/>
      <c r="HKJ72" s="97"/>
      <c r="HKK72" s="97"/>
      <c r="HKL72" s="97"/>
      <c r="HKM72" s="97"/>
      <c r="HKN72" s="97"/>
      <c r="HKO72" s="97"/>
      <c r="HKP72" s="97"/>
      <c r="HKQ72" s="97"/>
      <c r="HKR72" s="97"/>
      <c r="HKS72" s="97"/>
      <c r="HKT72" s="97"/>
      <c r="HKU72" s="97"/>
      <c r="HKV72" s="97"/>
      <c r="HKW72" s="97"/>
      <c r="HKX72" s="97"/>
      <c r="HKY72" s="97"/>
      <c r="HKZ72" s="97"/>
      <c r="HLA72" s="97"/>
      <c r="HLB72" s="97"/>
      <c r="HLC72" s="97"/>
      <c r="HLD72" s="97"/>
      <c r="HLE72" s="97"/>
      <c r="HLF72" s="97"/>
      <c r="HLG72" s="97"/>
      <c r="HLH72" s="97"/>
      <c r="HLI72" s="97"/>
      <c r="HLJ72" s="97"/>
      <c r="HLK72" s="97"/>
      <c r="HLL72" s="97"/>
      <c r="HLM72" s="97"/>
      <c r="HLN72" s="97"/>
      <c r="HLO72" s="97"/>
      <c r="HLP72" s="97"/>
      <c r="HLQ72" s="97"/>
      <c r="HLR72" s="97"/>
      <c r="HLS72" s="97"/>
      <c r="HLT72" s="97"/>
      <c r="HLU72" s="97"/>
      <c r="HLV72" s="97"/>
      <c r="HLW72" s="97"/>
      <c r="HLX72" s="97"/>
      <c r="HLY72" s="97"/>
      <c r="HLZ72" s="97"/>
      <c r="HMA72" s="97"/>
      <c r="HMB72" s="97"/>
      <c r="HMC72" s="97"/>
      <c r="HMD72" s="97"/>
      <c r="HME72" s="97"/>
      <c r="HMF72" s="97"/>
      <c r="HMG72" s="97"/>
      <c r="HMH72" s="97"/>
      <c r="HMI72" s="97"/>
      <c r="HMJ72" s="97"/>
      <c r="HMK72" s="97"/>
      <c r="HML72" s="97"/>
      <c r="HMM72" s="97"/>
      <c r="HMN72" s="97"/>
      <c r="HMO72" s="97"/>
      <c r="HMP72" s="97"/>
      <c r="HMQ72" s="97"/>
      <c r="HMR72" s="97"/>
      <c r="HMS72" s="97"/>
      <c r="HMT72" s="97"/>
      <c r="HMU72" s="97"/>
      <c r="HMV72" s="97"/>
      <c r="HMW72" s="97"/>
      <c r="HMX72" s="97"/>
      <c r="HMY72" s="97"/>
      <c r="HMZ72" s="97"/>
      <c r="HNA72" s="97"/>
      <c r="HNB72" s="97"/>
      <c r="HNC72" s="97"/>
      <c r="HND72" s="97"/>
      <c r="HNE72" s="97"/>
      <c r="HNF72" s="97"/>
      <c r="HNG72" s="97"/>
      <c r="HNH72" s="97"/>
      <c r="HNI72" s="97"/>
      <c r="HNJ72" s="97"/>
      <c r="HNK72" s="97"/>
      <c r="HNL72" s="97"/>
      <c r="HNM72" s="97"/>
      <c r="HNN72" s="97"/>
      <c r="HNO72" s="97"/>
      <c r="HNP72" s="97"/>
      <c r="HNQ72" s="97"/>
      <c r="HNR72" s="97"/>
      <c r="HNS72" s="97"/>
      <c r="HNT72" s="97"/>
      <c r="HNU72" s="97"/>
      <c r="HNV72" s="97"/>
      <c r="HNW72" s="97"/>
      <c r="HNX72" s="97"/>
      <c r="HNY72" s="97"/>
      <c r="HNZ72" s="97"/>
      <c r="HOA72" s="97"/>
      <c r="HOB72" s="97"/>
      <c r="HOC72" s="97"/>
      <c r="HOD72" s="97"/>
      <c r="HOE72" s="97"/>
      <c r="HOF72" s="97"/>
      <c r="HOG72" s="97"/>
      <c r="HOH72" s="97"/>
      <c r="HOI72" s="97"/>
      <c r="HOJ72" s="97"/>
      <c r="HOK72" s="97"/>
      <c r="HOL72" s="97"/>
      <c r="HOM72" s="97"/>
      <c r="HON72" s="97"/>
      <c r="HOO72" s="97"/>
      <c r="HOP72" s="97"/>
      <c r="HOQ72" s="97"/>
      <c r="HOR72" s="97"/>
      <c r="HOS72" s="97"/>
      <c r="HOT72" s="97"/>
      <c r="HOU72" s="97"/>
      <c r="HOV72" s="97"/>
      <c r="HOW72" s="97"/>
      <c r="HOX72" s="97"/>
      <c r="HOY72" s="97"/>
      <c r="HOZ72" s="97"/>
      <c r="HPA72" s="97"/>
      <c r="HPB72" s="97"/>
      <c r="HPC72" s="97"/>
      <c r="HPD72" s="97"/>
      <c r="HPE72" s="97"/>
      <c r="HPF72" s="97"/>
      <c r="HPG72" s="97"/>
      <c r="HPH72" s="97"/>
      <c r="HPI72" s="97"/>
      <c r="HPJ72" s="97"/>
      <c r="HPK72" s="97"/>
      <c r="HPL72" s="97"/>
      <c r="HPM72" s="97"/>
      <c r="HPN72" s="97"/>
      <c r="HPO72" s="97"/>
      <c r="HPP72" s="97"/>
      <c r="HPQ72" s="97"/>
      <c r="HPR72" s="97"/>
      <c r="HPS72" s="97"/>
      <c r="HPT72" s="97"/>
      <c r="HPU72" s="97"/>
      <c r="HPV72" s="97"/>
      <c r="HPW72" s="97"/>
      <c r="HPX72" s="97"/>
      <c r="HPY72" s="97"/>
      <c r="HPZ72" s="97"/>
      <c r="HQA72" s="97"/>
      <c r="HQB72" s="97"/>
      <c r="HQC72" s="97"/>
      <c r="HQD72" s="97"/>
      <c r="HQE72" s="97"/>
      <c r="HQF72" s="97"/>
      <c r="HQG72" s="97"/>
      <c r="HQH72" s="97"/>
      <c r="HQI72" s="97"/>
      <c r="HQJ72" s="97"/>
      <c r="HQK72" s="97"/>
      <c r="HQL72" s="97"/>
      <c r="HQM72" s="97"/>
      <c r="HQN72" s="97"/>
      <c r="HQO72" s="97"/>
      <c r="HQP72" s="97"/>
      <c r="HQQ72" s="97"/>
      <c r="HQR72" s="97"/>
      <c r="HQS72" s="97"/>
      <c r="HQT72" s="97"/>
      <c r="HQU72" s="97"/>
      <c r="HQV72" s="97"/>
      <c r="HQW72" s="97"/>
      <c r="HQX72" s="97"/>
      <c r="HQY72" s="97"/>
      <c r="HQZ72" s="97"/>
      <c r="HRA72" s="97"/>
      <c r="HRB72" s="97"/>
      <c r="HRC72" s="97"/>
      <c r="HRD72" s="97"/>
      <c r="HRE72" s="97"/>
      <c r="HRF72" s="97"/>
      <c r="HRG72" s="97"/>
      <c r="HRH72" s="97"/>
      <c r="HRI72" s="97"/>
      <c r="HRJ72" s="97"/>
      <c r="HRK72" s="97"/>
      <c r="HRL72" s="97"/>
      <c r="HRM72" s="97"/>
      <c r="HRN72" s="97"/>
      <c r="HRO72" s="97"/>
      <c r="HRP72" s="97"/>
      <c r="HRQ72" s="97"/>
      <c r="HRR72" s="97"/>
      <c r="HRS72" s="97"/>
      <c r="HRT72" s="97"/>
      <c r="HRU72" s="97"/>
      <c r="HRV72" s="97"/>
      <c r="HRW72" s="97"/>
      <c r="HRX72" s="97"/>
      <c r="HRY72" s="97"/>
      <c r="HRZ72" s="97"/>
      <c r="HSA72" s="97"/>
      <c r="HSB72" s="97"/>
      <c r="HSC72" s="97"/>
      <c r="HSD72" s="97"/>
      <c r="HSE72" s="97"/>
      <c r="HSF72" s="97"/>
      <c r="HSG72" s="97"/>
      <c r="HSH72" s="97"/>
      <c r="HSI72" s="97"/>
      <c r="HSJ72" s="97"/>
      <c r="HSK72" s="97"/>
      <c r="HSL72" s="97"/>
      <c r="HSM72" s="97"/>
      <c r="HSN72" s="97"/>
      <c r="HSO72" s="97"/>
      <c r="HSP72" s="97"/>
      <c r="HSQ72" s="97"/>
      <c r="HSR72" s="97"/>
      <c r="HSS72" s="97"/>
      <c r="HST72" s="97"/>
      <c r="HSU72" s="97"/>
      <c r="HSV72" s="97"/>
      <c r="HSW72" s="97"/>
      <c r="HSX72" s="97"/>
      <c r="HSY72" s="97"/>
      <c r="HSZ72" s="97"/>
      <c r="HTA72" s="97"/>
      <c r="HTB72" s="97"/>
      <c r="HTC72" s="97"/>
      <c r="HTD72" s="97"/>
      <c r="HTE72" s="97"/>
      <c r="HTF72" s="97"/>
      <c r="HTG72" s="97"/>
      <c r="HTH72" s="97"/>
      <c r="HTI72" s="97"/>
      <c r="HTJ72" s="97"/>
      <c r="HTK72" s="97"/>
      <c r="HTL72" s="97"/>
      <c r="HTM72" s="97"/>
      <c r="HTN72" s="97"/>
      <c r="HTO72" s="97"/>
      <c r="HTP72" s="97"/>
      <c r="HTQ72" s="97"/>
      <c r="HTR72" s="97"/>
      <c r="HTS72" s="97"/>
      <c r="HTT72" s="97"/>
      <c r="HTU72" s="97"/>
      <c r="HTV72" s="97"/>
      <c r="HTW72" s="97"/>
      <c r="HTX72" s="97"/>
      <c r="HTY72" s="97"/>
      <c r="HTZ72" s="97"/>
      <c r="HUA72" s="97"/>
      <c r="HUB72" s="97"/>
      <c r="HUC72" s="97"/>
      <c r="HUD72" s="97"/>
      <c r="HUE72" s="97"/>
      <c r="HUF72" s="97"/>
      <c r="HUG72" s="97"/>
      <c r="HUH72" s="97"/>
      <c r="HUI72" s="97"/>
      <c r="HUJ72" s="97"/>
      <c r="HUK72" s="97"/>
      <c r="HUL72" s="97"/>
      <c r="HUM72" s="97"/>
      <c r="HUN72" s="97"/>
      <c r="HUO72" s="97"/>
      <c r="HUP72" s="97"/>
      <c r="HUQ72" s="97"/>
      <c r="HUR72" s="97"/>
      <c r="HUS72" s="97"/>
      <c r="HUT72" s="97"/>
      <c r="HUU72" s="97"/>
      <c r="HUV72" s="97"/>
      <c r="HUW72" s="97"/>
      <c r="HUX72" s="97"/>
      <c r="HUY72" s="97"/>
      <c r="HUZ72" s="97"/>
      <c r="HVA72" s="97"/>
      <c r="HVB72" s="97"/>
      <c r="HVC72" s="97"/>
      <c r="HVD72" s="97"/>
      <c r="HVE72" s="97"/>
      <c r="HVF72" s="97"/>
      <c r="HVG72" s="97"/>
      <c r="HVH72" s="97"/>
      <c r="HVI72" s="97"/>
      <c r="HVJ72" s="97"/>
      <c r="HVK72" s="97"/>
      <c r="HVL72" s="97"/>
      <c r="HVM72" s="97"/>
      <c r="HVN72" s="97"/>
      <c r="HVO72" s="97"/>
      <c r="HVP72" s="97"/>
      <c r="HVQ72" s="97"/>
      <c r="HVR72" s="97"/>
      <c r="HVS72" s="97"/>
      <c r="HVT72" s="97"/>
      <c r="HVU72" s="97"/>
      <c r="HVV72" s="97"/>
      <c r="HVW72" s="97"/>
      <c r="HVX72" s="97"/>
      <c r="HVY72" s="97"/>
      <c r="HVZ72" s="97"/>
      <c r="HWA72" s="97"/>
      <c r="HWB72" s="97"/>
      <c r="HWC72" s="97"/>
      <c r="HWD72" s="97"/>
      <c r="HWE72" s="97"/>
      <c r="HWF72" s="97"/>
      <c r="HWG72" s="97"/>
      <c r="HWH72" s="97"/>
      <c r="HWI72" s="97"/>
      <c r="HWJ72" s="97"/>
      <c r="HWK72" s="97"/>
      <c r="HWL72" s="97"/>
      <c r="HWM72" s="97"/>
      <c r="HWN72" s="97"/>
      <c r="HWO72" s="97"/>
      <c r="HWP72" s="97"/>
      <c r="HWQ72" s="97"/>
      <c r="HWR72" s="97"/>
      <c r="HWS72" s="97"/>
      <c r="HWT72" s="97"/>
      <c r="HWU72" s="97"/>
      <c r="HWV72" s="97"/>
      <c r="HWW72" s="97"/>
      <c r="HWX72" s="97"/>
      <c r="HWY72" s="97"/>
      <c r="HWZ72" s="97"/>
      <c r="HXA72" s="97"/>
      <c r="HXB72" s="97"/>
      <c r="HXC72" s="97"/>
      <c r="HXD72" s="97"/>
      <c r="HXE72" s="97"/>
      <c r="HXF72" s="97"/>
      <c r="HXG72" s="97"/>
      <c r="HXH72" s="97"/>
      <c r="HXI72" s="97"/>
      <c r="HXJ72" s="97"/>
      <c r="HXK72" s="97"/>
      <c r="HXL72" s="97"/>
      <c r="HXM72" s="97"/>
      <c r="HXN72" s="97"/>
      <c r="HXO72" s="97"/>
      <c r="HXP72" s="97"/>
      <c r="HXQ72" s="97"/>
      <c r="HXR72" s="97"/>
      <c r="HXS72" s="97"/>
      <c r="HXT72" s="97"/>
      <c r="HXU72" s="97"/>
      <c r="HXV72" s="97"/>
      <c r="HXW72" s="97"/>
      <c r="HXX72" s="97"/>
      <c r="HXY72" s="97"/>
      <c r="HXZ72" s="97"/>
      <c r="HYA72" s="97"/>
      <c r="HYB72" s="97"/>
      <c r="HYC72" s="97"/>
      <c r="HYD72" s="97"/>
      <c r="HYE72" s="97"/>
      <c r="HYF72" s="97"/>
      <c r="HYG72" s="97"/>
      <c r="HYH72" s="97"/>
      <c r="HYI72" s="97"/>
      <c r="HYJ72" s="97"/>
      <c r="HYK72" s="97"/>
      <c r="HYL72" s="97"/>
      <c r="HYM72" s="97"/>
      <c r="HYN72" s="97"/>
      <c r="HYO72" s="97"/>
      <c r="HYP72" s="97"/>
      <c r="HYQ72" s="97"/>
      <c r="HYR72" s="97"/>
      <c r="HYS72" s="97"/>
      <c r="HYT72" s="97"/>
      <c r="HYU72" s="97"/>
      <c r="HYV72" s="97"/>
      <c r="HYW72" s="97"/>
      <c r="HYX72" s="97"/>
      <c r="HYY72" s="97"/>
      <c r="HYZ72" s="97"/>
      <c r="HZA72" s="97"/>
      <c r="HZB72" s="97"/>
      <c r="HZC72" s="97"/>
      <c r="HZD72" s="97"/>
      <c r="HZE72" s="97"/>
      <c r="HZF72" s="97"/>
      <c r="HZG72" s="97"/>
      <c r="HZH72" s="97"/>
      <c r="HZI72" s="97"/>
      <c r="HZJ72" s="97"/>
      <c r="HZK72" s="97"/>
      <c r="HZL72" s="97"/>
      <c r="HZM72" s="97"/>
      <c r="HZN72" s="97"/>
      <c r="HZO72" s="97"/>
      <c r="HZP72" s="97"/>
      <c r="HZQ72" s="97"/>
      <c r="HZR72" s="97"/>
      <c r="HZS72" s="97"/>
      <c r="HZT72" s="97"/>
      <c r="HZU72" s="97"/>
      <c r="HZV72" s="97"/>
      <c r="HZW72" s="97"/>
      <c r="HZX72" s="97"/>
      <c r="HZY72" s="97"/>
      <c r="HZZ72" s="97"/>
      <c r="IAA72" s="97"/>
      <c r="IAB72" s="97"/>
      <c r="IAC72" s="97"/>
      <c r="IAD72" s="97"/>
      <c r="IAE72" s="97"/>
      <c r="IAF72" s="97"/>
      <c r="IAG72" s="97"/>
      <c r="IAH72" s="97"/>
      <c r="IAI72" s="97"/>
      <c r="IAJ72" s="97"/>
      <c r="IAK72" s="97"/>
      <c r="IAL72" s="97"/>
      <c r="IAM72" s="97"/>
      <c r="IAN72" s="97"/>
      <c r="IAO72" s="97"/>
      <c r="IAP72" s="97"/>
      <c r="IAQ72" s="97"/>
      <c r="IAR72" s="97"/>
      <c r="IAS72" s="97"/>
      <c r="IAT72" s="97"/>
      <c r="IAU72" s="97"/>
      <c r="IAV72" s="97"/>
      <c r="IAW72" s="97"/>
      <c r="IAX72" s="97"/>
      <c r="IAY72" s="97"/>
      <c r="IAZ72" s="97"/>
      <c r="IBA72" s="97"/>
      <c r="IBB72" s="97"/>
      <c r="IBC72" s="97"/>
      <c r="IBD72" s="97"/>
      <c r="IBE72" s="97"/>
      <c r="IBF72" s="97"/>
      <c r="IBG72" s="97"/>
      <c r="IBH72" s="97"/>
      <c r="IBI72" s="97"/>
      <c r="IBJ72" s="97"/>
      <c r="IBK72" s="97"/>
      <c r="IBL72" s="97"/>
      <c r="IBM72" s="97"/>
      <c r="IBN72" s="97"/>
      <c r="IBO72" s="97"/>
      <c r="IBP72" s="97"/>
      <c r="IBQ72" s="97"/>
      <c r="IBR72" s="97"/>
      <c r="IBS72" s="97"/>
      <c r="IBT72" s="97"/>
      <c r="IBU72" s="97"/>
      <c r="IBV72" s="97"/>
      <c r="IBW72" s="97"/>
      <c r="IBX72" s="97"/>
      <c r="IBY72" s="97"/>
      <c r="IBZ72" s="97"/>
      <c r="ICA72" s="97"/>
      <c r="ICB72" s="97"/>
      <c r="ICC72" s="97"/>
      <c r="ICD72" s="97"/>
      <c r="ICE72" s="97"/>
      <c r="ICF72" s="97"/>
      <c r="ICG72" s="97"/>
      <c r="ICH72" s="97"/>
      <c r="ICI72" s="97"/>
      <c r="ICJ72" s="97"/>
      <c r="ICK72" s="97"/>
      <c r="ICL72" s="97"/>
      <c r="ICM72" s="97"/>
      <c r="ICN72" s="97"/>
      <c r="ICO72" s="97"/>
      <c r="ICP72" s="97"/>
      <c r="ICQ72" s="97"/>
      <c r="ICR72" s="97"/>
      <c r="ICS72" s="97"/>
      <c r="ICT72" s="97"/>
      <c r="ICU72" s="97"/>
      <c r="ICV72" s="97"/>
      <c r="ICW72" s="97"/>
      <c r="ICX72" s="97"/>
      <c r="ICY72" s="97"/>
      <c r="ICZ72" s="97"/>
      <c r="IDA72" s="97"/>
      <c r="IDB72" s="97"/>
      <c r="IDC72" s="97"/>
      <c r="IDD72" s="97"/>
      <c r="IDE72" s="97"/>
      <c r="IDF72" s="97"/>
      <c r="IDG72" s="97"/>
      <c r="IDH72" s="97"/>
      <c r="IDI72" s="97"/>
      <c r="IDJ72" s="97"/>
      <c r="IDK72" s="97"/>
      <c r="IDL72" s="97"/>
      <c r="IDM72" s="97"/>
      <c r="IDN72" s="97"/>
      <c r="IDO72" s="97"/>
      <c r="IDP72" s="97"/>
      <c r="IDQ72" s="97"/>
      <c r="IDR72" s="97"/>
      <c r="IDS72" s="97"/>
      <c r="IDT72" s="97"/>
      <c r="IDU72" s="97"/>
      <c r="IDV72" s="97"/>
      <c r="IDW72" s="97"/>
      <c r="IDX72" s="97"/>
      <c r="IDY72" s="97"/>
      <c r="IDZ72" s="97"/>
      <c r="IEA72" s="97"/>
      <c r="IEB72" s="97"/>
      <c r="IEC72" s="97"/>
      <c r="IED72" s="97"/>
      <c r="IEE72" s="97"/>
      <c r="IEF72" s="97"/>
      <c r="IEG72" s="97"/>
      <c r="IEH72" s="97"/>
      <c r="IEI72" s="97"/>
      <c r="IEJ72" s="97"/>
      <c r="IEK72" s="97"/>
      <c r="IEL72" s="97"/>
      <c r="IEM72" s="97"/>
      <c r="IEN72" s="97"/>
      <c r="IEO72" s="97"/>
      <c r="IEP72" s="97"/>
      <c r="IEQ72" s="97"/>
      <c r="IER72" s="97"/>
      <c r="IES72" s="97"/>
      <c r="IET72" s="97"/>
      <c r="IEU72" s="97"/>
      <c r="IEV72" s="97"/>
      <c r="IEW72" s="97"/>
      <c r="IEX72" s="97"/>
      <c r="IEY72" s="97"/>
      <c r="IEZ72" s="97"/>
      <c r="IFA72" s="97"/>
      <c r="IFB72" s="97"/>
      <c r="IFC72" s="97"/>
      <c r="IFD72" s="97"/>
      <c r="IFE72" s="97"/>
      <c r="IFF72" s="97"/>
      <c r="IFG72" s="97"/>
      <c r="IFH72" s="97"/>
      <c r="IFI72" s="97"/>
      <c r="IFJ72" s="97"/>
      <c r="IFK72" s="97"/>
      <c r="IFL72" s="97"/>
      <c r="IFM72" s="97"/>
      <c r="IFN72" s="97"/>
      <c r="IFO72" s="97"/>
      <c r="IFP72" s="97"/>
      <c r="IFQ72" s="97"/>
      <c r="IFR72" s="97"/>
      <c r="IFS72" s="97"/>
      <c r="IFT72" s="97"/>
      <c r="IFU72" s="97"/>
      <c r="IFV72" s="97"/>
      <c r="IFW72" s="97"/>
      <c r="IFX72" s="97"/>
      <c r="IFY72" s="97"/>
      <c r="IFZ72" s="97"/>
      <c r="IGA72" s="97"/>
      <c r="IGB72" s="97"/>
      <c r="IGC72" s="97"/>
      <c r="IGD72" s="97"/>
      <c r="IGE72" s="97"/>
      <c r="IGF72" s="97"/>
      <c r="IGG72" s="97"/>
      <c r="IGH72" s="97"/>
      <c r="IGI72" s="97"/>
      <c r="IGJ72" s="97"/>
      <c r="IGK72" s="97"/>
      <c r="IGL72" s="97"/>
      <c r="IGM72" s="97"/>
      <c r="IGN72" s="97"/>
      <c r="IGO72" s="97"/>
      <c r="IGP72" s="97"/>
      <c r="IGQ72" s="97"/>
      <c r="IGR72" s="97"/>
      <c r="IGS72" s="97"/>
      <c r="IGT72" s="97"/>
      <c r="IGU72" s="97"/>
      <c r="IGV72" s="97"/>
      <c r="IGW72" s="97"/>
      <c r="IGX72" s="97"/>
      <c r="IGY72" s="97"/>
      <c r="IGZ72" s="97"/>
      <c r="IHA72" s="97"/>
      <c r="IHB72" s="97"/>
      <c r="IHC72" s="97"/>
      <c r="IHD72" s="97"/>
      <c r="IHE72" s="97"/>
      <c r="IHF72" s="97"/>
      <c r="IHG72" s="97"/>
      <c r="IHH72" s="97"/>
      <c r="IHI72" s="97"/>
      <c r="IHJ72" s="97"/>
      <c r="IHK72" s="97"/>
      <c r="IHL72" s="97"/>
      <c r="IHM72" s="97"/>
      <c r="IHN72" s="97"/>
      <c r="IHO72" s="97"/>
      <c r="IHP72" s="97"/>
      <c r="IHQ72" s="97"/>
      <c r="IHR72" s="97"/>
      <c r="IHS72" s="97"/>
      <c r="IHT72" s="97"/>
      <c r="IHU72" s="97"/>
      <c r="IHV72" s="97"/>
      <c r="IHW72" s="97"/>
      <c r="IHX72" s="97"/>
      <c r="IHY72" s="97"/>
      <c r="IHZ72" s="97"/>
      <c r="IIA72" s="97"/>
      <c r="IIB72" s="97"/>
      <c r="IIC72" s="97"/>
      <c r="IID72" s="97"/>
      <c r="IIE72" s="97"/>
      <c r="IIF72" s="97"/>
      <c r="IIG72" s="97"/>
      <c r="IIH72" s="97"/>
      <c r="III72" s="97"/>
      <c r="IIJ72" s="97"/>
      <c r="IIK72" s="97"/>
      <c r="IIL72" s="97"/>
      <c r="IIM72" s="97"/>
      <c r="IIN72" s="97"/>
      <c r="IIO72" s="97"/>
      <c r="IIP72" s="97"/>
      <c r="IIQ72" s="97"/>
      <c r="IIR72" s="97"/>
      <c r="IIS72" s="97"/>
      <c r="IIT72" s="97"/>
      <c r="IIU72" s="97"/>
      <c r="IIV72" s="97"/>
      <c r="IIW72" s="97"/>
      <c r="IIX72" s="97"/>
      <c r="IIY72" s="97"/>
      <c r="IIZ72" s="97"/>
      <c r="IJA72" s="97"/>
      <c r="IJB72" s="97"/>
      <c r="IJC72" s="97"/>
      <c r="IJD72" s="97"/>
      <c r="IJE72" s="97"/>
      <c r="IJF72" s="97"/>
      <c r="IJG72" s="97"/>
      <c r="IJH72" s="97"/>
      <c r="IJI72" s="97"/>
      <c r="IJJ72" s="97"/>
      <c r="IJK72" s="97"/>
      <c r="IJL72" s="97"/>
      <c r="IJM72" s="97"/>
      <c r="IJN72" s="97"/>
      <c r="IJO72" s="97"/>
      <c r="IJP72" s="97"/>
      <c r="IJQ72" s="97"/>
      <c r="IJR72" s="97"/>
      <c r="IJS72" s="97"/>
      <c r="IJT72" s="97"/>
      <c r="IJU72" s="97"/>
      <c r="IJV72" s="97"/>
      <c r="IJW72" s="97"/>
      <c r="IJX72" s="97"/>
      <c r="IJY72" s="97"/>
      <c r="IJZ72" s="97"/>
      <c r="IKA72" s="97"/>
      <c r="IKB72" s="97"/>
      <c r="IKC72" s="97"/>
      <c r="IKD72" s="97"/>
      <c r="IKE72" s="97"/>
      <c r="IKF72" s="97"/>
      <c r="IKG72" s="97"/>
      <c r="IKH72" s="97"/>
      <c r="IKI72" s="97"/>
      <c r="IKJ72" s="97"/>
      <c r="IKK72" s="97"/>
      <c r="IKL72" s="97"/>
      <c r="IKM72" s="97"/>
      <c r="IKN72" s="97"/>
      <c r="IKO72" s="97"/>
      <c r="IKP72" s="97"/>
      <c r="IKQ72" s="97"/>
      <c r="IKR72" s="97"/>
      <c r="IKS72" s="97"/>
      <c r="IKT72" s="97"/>
      <c r="IKU72" s="97"/>
      <c r="IKV72" s="97"/>
      <c r="IKW72" s="97"/>
      <c r="IKX72" s="97"/>
      <c r="IKY72" s="97"/>
      <c r="IKZ72" s="97"/>
      <c r="ILA72" s="97"/>
      <c r="ILB72" s="97"/>
      <c r="ILC72" s="97"/>
      <c r="ILD72" s="97"/>
      <c r="ILE72" s="97"/>
      <c r="ILF72" s="97"/>
      <c r="ILG72" s="97"/>
      <c r="ILH72" s="97"/>
      <c r="ILI72" s="97"/>
      <c r="ILJ72" s="97"/>
      <c r="ILK72" s="97"/>
      <c r="ILL72" s="97"/>
      <c r="ILM72" s="97"/>
      <c r="ILN72" s="97"/>
      <c r="ILO72" s="97"/>
      <c r="ILP72" s="97"/>
      <c r="ILQ72" s="97"/>
      <c r="ILR72" s="97"/>
      <c r="ILS72" s="97"/>
      <c r="ILT72" s="97"/>
      <c r="ILU72" s="97"/>
      <c r="ILV72" s="97"/>
      <c r="ILW72" s="97"/>
      <c r="ILX72" s="97"/>
      <c r="ILY72" s="97"/>
      <c r="ILZ72" s="97"/>
      <c r="IMA72" s="97"/>
      <c r="IMB72" s="97"/>
      <c r="IMC72" s="97"/>
      <c r="IMD72" s="97"/>
      <c r="IME72" s="97"/>
      <c r="IMF72" s="97"/>
      <c r="IMG72" s="97"/>
      <c r="IMH72" s="97"/>
      <c r="IMI72" s="97"/>
      <c r="IMJ72" s="97"/>
      <c r="IMK72" s="97"/>
      <c r="IML72" s="97"/>
      <c r="IMM72" s="97"/>
      <c r="IMN72" s="97"/>
      <c r="IMO72" s="97"/>
      <c r="IMP72" s="97"/>
      <c r="IMQ72" s="97"/>
      <c r="IMR72" s="97"/>
      <c r="IMS72" s="97"/>
      <c r="IMT72" s="97"/>
      <c r="IMU72" s="97"/>
      <c r="IMV72" s="97"/>
      <c r="IMW72" s="97"/>
      <c r="IMX72" s="97"/>
      <c r="IMY72" s="97"/>
      <c r="IMZ72" s="97"/>
      <c r="INA72" s="97"/>
      <c r="INB72" s="97"/>
      <c r="INC72" s="97"/>
      <c r="IND72" s="97"/>
      <c r="INE72" s="97"/>
      <c r="INF72" s="97"/>
      <c r="ING72" s="97"/>
      <c r="INH72" s="97"/>
      <c r="INI72" s="97"/>
      <c r="INJ72" s="97"/>
      <c r="INK72" s="97"/>
      <c r="INL72" s="97"/>
      <c r="INM72" s="97"/>
      <c r="INN72" s="97"/>
      <c r="INO72" s="97"/>
      <c r="INP72" s="97"/>
      <c r="INQ72" s="97"/>
      <c r="INR72" s="97"/>
      <c r="INS72" s="97"/>
      <c r="INT72" s="97"/>
      <c r="INU72" s="97"/>
      <c r="INV72" s="97"/>
      <c r="INW72" s="97"/>
      <c r="INX72" s="97"/>
      <c r="INY72" s="97"/>
      <c r="INZ72" s="97"/>
      <c r="IOA72" s="97"/>
      <c r="IOB72" s="97"/>
      <c r="IOC72" s="97"/>
      <c r="IOD72" s="97"/>
      <c r="IOE72" s="97"/>
      <c r="IOF72" s="97"/>
      <c r="IOG72" s="97"/>
      <c r="IOH72" s="97"/>
      <c r="IOI72" s="97"/>
      <c r="IOJ72" s="97"/>
      <c r="IOK72" s="97"/>
      <c r="IOL72" s="97"/>
      <c r="IOM72" s="97"/>
      <c r="ION72" s="97"/>
      <c r="IOO72" s="97"/>
      <c r="IOP72" s="97"/>
      <c r="IOQ72" s="97"/>
      <c r="IOR72" s="97"/>
      <c r="IOS72" s="97"/>
      <c r="IOT72" s="97"/>
      <c r="IOU72" s="97"/>
      <c r="IOV72" s="97"/>
      <c r="IOW72" s="97"/>
      <c r="IOX72" s="97"/>
      <c r="IOY72" s="97"/>
      <c r="IOZ72" s="97"/>
      <c r="IPA72" s="97"/>
      <c r="IPB72" s="97"/>
      <c r="IPC72" s="97"/>
      <c r="IPD72" s="97"/>
      <c r="IPE72" s="97"/>
      <c r="IPF72" s="97"/>
      <c r="IPG72" s="97"/>
      <c r="IPH72" s="97"/>
      <c r="IPI72" s="97"/>
      <c r="IPJ72" s="97"/>
      <c r="IPK72" s="97"/>
      <c r="IPL72" s="97"/>
      <c r="IPM72" s="97"/>
      <c r="IPN72" s="97"/>
      <c r="IPO72" s="97"/>
      <c r="IPP72" s="97"/>
      <c r="IPQ72" s="97"/>
      <c r="IPR72" s="97"/>
      <c r="IPS72" s="97"/>
      <c r="IPT72" s="97"/>
      <c r="IPU72" s="97"/>
      <c r="IPV72" s="97"/>
      <c r="IPW72" s="97"/>
      <c r="IPX72" s="97"/>
      <c r="IPY72" s="97"/>
      <c r="IPZ72" s="97"/>
      <c r="IQA72" s="97"/>
      <c r="IQB72" s="97"/>
      <c r="IQC72" s="97"/>
      <c r="IQD72" s="97"/>
      <c r="IQE72" s="97"/>
      <c r="IQF72" s="97"/>
      <c r="IQG72" s="97"/>
      <c r="IQH72" s="97"/>
      <c r="IQI72" s="97"/>
      <c r="IQJ72" s="97"/>
      <c r="IQK72" s="97"/>
      <c r="IQL72" s="97"/>
      <c r="IQM72" s="97"/>
      <c r="IQN72" s="97"/>
      <c r="IQO72" s="97"/>
      <c r="IQP72" s="97"/>
      <c r="IQQ72" s="97"/>
      <c r="IQR72" s="97"/>
      <c r="IQS72" s="97"/>
      <c r="IQT72" s="97"/>
      <c r="IQU72" s="97"/>
      <c r="IQV72" s="97"/>
      <c r="IQW72" s="97"/>
      <c r="IQX72" s="97"/>
      <c r="IQY72" s="97"/>
      <c r="IQZ72" s="97"/>
      <c r="IRA72" s="97"/>
      <c r="IRB72" s="97"/>
      <c r="IRC72" s="97"/>
      <c r="IRD72" s="97"/>
      <c r="IRE72" s="97"/>
      <c r="IRF72" s="97"/>
      <c r="IRG72" s="97"/>
      <c r="IRH72" s="97"/>
      <c r="IRI72" s="97"/>
      <c r="IRJ72" s="97"/>
      <c r="IRK72" s="97"/>
      <c r="IRL72" s="97"/>
      <c r="IRM72" s="97"/>
      <c r="IRN72" s="97"/>
      <c r="IRO72" s="97"/>
      <c r="IRP72" s="97"/>
      <c r="IRQ72" s="97"/>
      <c r="IRR72" s="97"/>
      <c r="IRS72" s="97"/>
      <c r="IRT72" s="97"/>
      <c r="IRU72" s="97"/>
      <c r="IRV72" s="97"/>
      <c r="IRW72" s="97"/>
      <c r="IRX72" s="97"/>
      <c r="IRY72" s="97"/>
      <c r="IRZ72" s="97"/>
      <c r="ISA72" s="97"/>
      <c r="ISB72" s="97"/>
      <c r="ISC72" s="97"/>
      <c r="ISD72" s="97"/>
      <c r="ISE72" s="97"/>
      <c r="ISF72" s="97"/>
      <c r="ISG72" s="97"/>
      <c r="ISH72" s="97"/>
      <c r="ISI72" s="97"/>
      <c r="ISJ72" s="97"/>
      <c r="ISK72" s="97"/>
      <c r="ISL72" s="97"/>
      <c r="ISM72" s="97"/>
      <c r="ISN72" s="97"/>
      <c r="ISO72" s="97"/>
      <c r="ISP72" s="97"/>
      <c r="ISQ72" s="97"/>
      <c r="ISR72" s="97"/>
      <c r="ISS72" s="97"/>
      <c r="IST72" s="97"/>
      <c r="ISU72" s="97"/>
      <c r="ISV72" s="97"/>
      <c r="ISW72" s="97"/>
      <c r="ISX72" s="97"/>
      <c r="ISY72" s="97"/>
      <c r="ISZ72" s="97"/>
      <c r="ITA72" s="97"/>
      <c r="ITB72" s="97"/>
      <c r="ITC72" s="97"/>
      <c r="ITD72" s="97"/>
      <c r="ITE72" s="97"/>
      <c r="ITF72" s="97"/>
      <c r="ITG72" s="97"/>
      <c r="ITH72" s="97"/>
      <c r="ITI72" s="97"/>
      <c r="ITJ72" s="97"/>
      <c r="ITK72" s="97"/>
      <c r="ITL72" s="97"/>
      <c r="ITM72" s="97"/>
      <c r="ITN72" s="97"/>
      <c r="ITO72" s="97"/>
      <c r="ITP72" s="97"/>
      <c r="ITQ72" s="97"/>
      <c r="ITR72" s="97"/>
      <c r="ITS72" s="97"/>
      <c r="ITT72" s="97"/>
      <c r="ITU72" s="97"/>
      <c r="ITV72" s="97"/>
      <c r="ITW72" s="97"/>
      <c r="ITX72" s="97"/>
      <c r="ITY72" s="97"/>
      <c r="ITZ72" s="97"/>
      <c r="IUA72" s="97"/>
      <c r="IUB72" s="97"/>
      <c r="IUC72" s="97"/>
      <c r="IUD72" s="97"/>
      <c r="IUE72" s="97"/>
      <c r="IUF72" s="97"/>
      <c r="IUG72" s="97"/>
      <c r="IUH72" s="97"/>
      <c r="IUI72" s="97"/>
      <c r="IUJ72" s="97"/>
      <c r="IUK72" s="97"/>
      <c r="IUL72" s="97"/>
      <c r="IUM72" s="97"/>
      <c r="IUN72" s="97"/>
      <c r="IUO72" s="97"/>
      <c r="IUP72" s="97"/>
      <c r="IUQ72" s="97"/>
      <c r="IUR72" s="97"/>
      <c r="IUS72" s="97"/>
      <c r="IUT72" s="97"/>
      <c r="IUU72" s="97"/>
      <c r="IUV72" s="97"/>
      <c r="IUW72" s="97"/>
      <c r="IUX72" s="97"/>
      <c r="IUY72" s="97"/>
      <c r="IUZ72" s="97"/>
      <c r="IVA72" s="97"/>
      <c r="IVB72" s="97"/>
      <c r="IVC72" s="97"/>
      <c r="IVD72" s="97"/>
      <c r="IVE72" s="97"/>
      <c r="IVF72" s="97"/>
      <c r="IVG72" s="97"/>
      <c r="IVH72" s="97"/>
      <c r="IVI72" s="97"/>
      <c r="IVJ72" s="97"/>
      <c r="IVK72" s="97"/>
      <c r="IVL72" s="97"/>
      <c r="IVM72" s="97"/>
      <c r="IVN72" s="97"/>
      <c r="IVO72" s="97"/>
      <c r="IVP72" s="97"/>
      <c r="IVQ72" s="97"/>
      <c r="IVR72" s="97"/>
      <c r="IVS72" s="97"/>
      <c r="IVT72" s="97"/>
      <c r="IVU72" s="97"/>
      <c r="IVV72" s="97"/>
      <c r="IVW72" s="97"/>
      <c r="IVX72" s="97"/>
      <c r="IVY72" s="97"/>
      <c r="IVZ72" s="97"/>
      <c r="IWA72" s="97"/>
      <c r="IWB72" s="97"/>
      <c r="IWC72" s="97"/>
      <c r="IWD72" s="97"/>
      <c r="IWE72" s="97"/>
      <c r="IWF72" s="97"/>
      <c r="IWG72" s="97"/>
      <c r="IWH72" s="97"/>
      <c r="IWI72" s="97"/>
      <c r="IWJ72" s="97"/>
      <c r="IWK72" s="97"/>
      <c r="IWL72" s="97"/>
      <c r="IWM72" s="97"/>
      <c r="IWN72" s="97"/>
      <c r="IWO72" s="97"/>
      <c r="IWP72" s="97"/>
      <c r="IWQ72" s="97"/>
      <c r="IWR72" s="97"/>
      <c r="IWS72" s="97"/>
      <c r="IWT72" s="97"/>
      <c r="IWU72" s="97"/>
      <c r="IWV72" s="97"/>
      <c r="IWW72" s="97"/>
      <c r="IWX72" s="97"/>
      <c r="IWY72" s="97"/>
      <c r="IWZ72" s="97"/>
      <c r="IXA72" s="97"/>
      <c r="IXB72" s="97"/>
      <c r="IXC72" s="97"/>
      <c r="IXD72" s="97"/>
      <c r="IXE72" s="97"/>
      <c r="IXF72" s="97"/>
      <c r="IXG72" s="97"/>
      <c r="IXH72" s="97"/>
      <c r="IXI72" s="97"/>
      <c r="IXJ72" s="97"/>
      <c r="IXK72" s="97"/>
      <c r="IXL72" s="97"/>
      <c r="IXM72" s="97"/>
      <c r="IXN72" s="97"/>
      <c r="IXO72" s="97"/>
      <c r="IXP72" s="97"/>
      <c r="IXQ72" s="97"/>
      <c r="IXR72" s="97"/>
      <c r="IXS72" s="97"/>
      <c r="IXT72" s="97"/>
      <c r="IXU72" s="97"/>
      <c r="IXV72" s="97"/>
      <c r="IXW72" s="97"/>
      <c r="IXX72" s="97"/>
      <c r="IXY72" s="97"/>
      <c r="IXZ72" s="97"/>
      <c r="IYA72" s="97"/>
      <c r="IYB72" s="97"/>
      <c r="IYC72" s="97"/>
      <c r="IYD72" s="97"/>
      <c r="IYE72" s="97"/>
      <c r="IYF72" s="97"/>
      <c r="IYG72" s="97"/>
      <c r="IYH72" s="97"/>
      <c r="IYI72" s="97"/>
      <c r="IYJ72" s="97"/>
      <c r="IYK72" s="97"/>
      <c r="IYL72" s="97"/>
      <c r="IYM72" s="97"/>
      <c r="IYN72" s="97"/>
      <c r="IYO72" s="97"/>
      <c r="IYP72" s="97"/>
      <c r="IYQ72" s="97"/>
      <c r="IYR72" s="97"/>
      <c r="IYS72" s="97"/>
      <c r="IYT72" s="97"/>
      <c r="IYU72" s="97"/>
      <c r="IYV72" s="97"/>
      <c r="IYW72" s="97"/>
      <c r="IYX72" s="97"/>
      <c r="IYY72" s="97"/>
      <c r="IYZ72" s="97"/>
      <c r="IZA72" s="97"/>
      <c r="IZB72" s="97"/>
      <c r="IZC72" s="97"/>
      <c r="IZD72" s="97"/>
      <c r="IZE72" s="97"/>
      <c r="IZF72" s="97"/>
      <c r="IZG72" s="97"/>
      <c r="IZH72" s="97"/>
      <c r="IZI72" s="97"/>
      <c r="IZJ72" s="97"/>
      <c r="IZK72" s="97"/>
      <c r="IZL72" s="97"/>
      <c r="IZM72" s="97"/>
      <c r="IZN72" s="97"/>
      <c r="IZO72" s="97"/>
      <c r="IZP72" s="97"/>
      <c r="IZQ72" s="97"/>
      <c r="IZR72" s="97"/>
      <c r="IZS72" s="97"/>
      <c r="IZT72" s="97"/>
      <c r="IZU72" s="97"/>
      <c r="IZV72" s="97"/>
      <c r="IZW72" s="97"/>
      <c r="IZX72" s="97"/>
      <c r="IZY72" s="97"/>
      <c r="IZZ72" s="97"/>
      <c r="JAA72" s="97"/>
      <c r="JAB72" s="97"/>
      <c r="JAC72" s="97"/>
      <c r="JAD72" s="97"/>
      <c r="JAE72" s="97"/>
      <c r="JAF72" s="97"/>
      <c r="JAG72" s="97"/>
      <c r="JAH72" s="97"/>
      <c r="JAI72" s="97"/>
      <c r="JAJ72" s="97"/>
      <c r="JAK72" s="97"/>
      <c r="JAL72" s="97"/>
      <c r="JAM72" s="97"/>
      <c r="JAN72" s="97"/>
      <c r="JAO72" s="97"/>
      <c r="JAP72" s="97"/>
      <c r="JAQ72" s="97"/>
      <c r="JAR72" s="97"/>
      <c r="JAS72" s="97"/>
      <c r="JAT72" s="97"/>
      <c r="JAU72" s="97"/>
      <c r="JAV72" s="97"/>
      <c r="JAW72" s="97"/>
      <c r="JAX72" s="97"/>
      <c r="JAY72" s="97"/>
      <c r="JAZ72" s="97"/>
      <c r="JBA72" s="97"/>
      <c r="JBB72" s="97"/>
      <c r="JBC72" s="97"/>
      <c r="JBD72" s="97"/>
      <c r="JBE72" s="97"/>
      <c r="JBF72" s="97"/>
      <c r="JBG72" s="97"/>
      <c r="JBH72" s="97"/>
      <c r="JBI72" s="97"/>
      <c r="JBJ72" s="97"/>
      <c r="JBK72" s="97"/>
      <c r="JBL72" s="97"/>
      <c r="JBM72" s="97"/>
      <c r="JBN72" s="97"/>
      <c r="JBO72" s="97"/>
      <c r="JBP72" s="97"/>
      <c r="JBQ72" s="97"/>
      <c r="JBR72" s="97"/>
      <c r="JBS72" s="97"/>
      <c r="JBT72" s="97"/>
      <c r="JBU72" s="97"/>
      <c r="JBV72" s="97"/>
      <c r="JBW72" s="97"/>
      <c r="JBX72" s="97"/>
      <c r="JBY72" s="97"/>
      <c r="JBZ72" s="97"/>
      <c r="JCA72" s="97"/>
      <c r="JCB72" s="97"/>
      <c r="JCC72" s="97"/>
      <c r="JCD72" s="97"/>
      <c r="JCE72" s="97"/>
      <c r="JCF72" s="97"/>
      <c r="JCG72" s="97"/>
      <c r="JCH72" s="97"/>
      <c r="JCI72" s="97"/>
      <c r="JCJ72" s="97"/>
      <c r="JCK72" s="97"/>
      <c r="JCL72" s="97"/>
      <c r="JCM72" s="97"/>
      <c r="JCN72" s="97"/>
      <c r="JCO72" s="97"/>
      <c r="JCP72" s="97"/>
      <c r="JCQ72" s="97"/>
      <c r="JCR72" s="97"/>
      <c r="JCS72" s="97"/>
      <c r="JCT72" s="97"/>
      <c r="JCU72" s="97"/>
      <c r="JCV72" s="97"/>
      <c r="JCW72" s="97"/>
      <c r="JCX72" s="97"/>
      <c r="JCY72" s="97"/>
      <c r="JCZ72" s="97"/>
      <c r="JDA72" s="97"/>
      <c r="JDB72" s="97"/>
      <c r="JDC72" s="97"/>
      <c r="JDD72" s="97"/>
      <c r="JDE72" s="97"/>
      <c r="JDF72" s="97"/>
      <c r="JDG72" s="97"/>
      <c r="JDH72" s="97"/>
      <c r="JDI72" s="97"/>
      <c r="JDJ72" s="97"/>
      <c r="JDK72" s="97"/>
      <c r="JDL72" s="97"/>
      <c r="JDM72" s="97"/>
      <c r="JDN72" s="97"/>
      <c r="JDO72" s="97"/>
      <c r="JDP72" s="97"/>
      <c r="JDQ72" s="97"/>
      <c r="JDR72" s="97"/>
      <c r="JDS72" s="97"/>
      <c r="JDT72" s="97"/>
      <c r="JDU72" s="97"/>
      <c r="JDV72" s="97"/>
      <c r="JDW72" s="97"/>
      <c r="JDX72" s="97"/>
      <c r="JDY72" s="97"/>
      <c r="JDZ72" s="97"/>
      <c r="JEA72" s="97"/>
      <c r="JEB72" s="97"/>
      <c r="JEC72" s="97"/>
      <c r="JED72" s="97"/>
      <c r="JEE72" s="97"/>
      <c r="JEF72" s="97"/>
      <c r="JEG72" s="97"/>
      <c r="JEH72" s="97"/>
      <c r="JEI72" s="97"/>
      <c r="JEJ72" s="97"/>
      <c r="JEK72" s="97"/>
      <c r="JEL72" s="97"/>
      <c r="JEM72" s="97"/>
      <c r="JEN72" s="97"/>
      <c r="JEO72" s="97"/>
      <c r="JEP72" s="97"/>
      <c r="JEQ72" s="97"/>
      <c r="JER72" s="97"/>
      <c r="JES72" s="97"/>
      <c r="JET72" s="97"/>
      <c r="JEU72" s="97"/>
      <c r="JEV72" s="97"/>
      <c r="JEW72" s="97"/>
      <c r="JEX72" s="97"/>
      <c r="JEY72" s="97"/>
      <c r="JEZ72" s="97"/>
      <c r="JFA72" s="97"/>
      <c r="JFB72" s="97"/>
      <c r="JFC72" s="97"/>
      <c r="JFD72" s="97"/>
      <c r="JFE72" s="97"/>
      <c r="JFF72" s="97"/>
      <c r="JFG72" s="97"/>
      <c r="JFH72" s="97"/>
      <c r="JFI72" s="97"/>
      <c r="JFJ72" s="97"/>
      <c r="JFK72" s="97"/>
      <c r="JFL72" s="97"/>
      <c r="JFM72" s="97"/>
      <c r="JFN72" s="97"/>
      <c r="JFO72" s="97"/>
      <c r="JFP72" s="97"/>
      <c r="JFQ72" s="97"/>
      <c r="JFR72" s="97"/>
      <c r="JFS72" s="97"/>
      <c r="JFT72" s="97"/>
      <c r="JFU72" s="97"/>
      <c r="JFV72" s="97"/>
      <c r="JFW72" s="97"/>
      <c r="JFX72" s="97"/>
      <c r="JFY72" s="97"/>
      <c r="JFZ72" s="97"/>
      <c r="JGA72" s="97"/>
      <c r="JGB72" s="97"/>
      <c r="JGC72" s="97"/>
      <c r="JGD72" s="97"/>
      <c r="JGE72" s="97"/>
      <c r="JGF72" s="97"/>
      <c r="JGG72" s="97"/>
      <c r="JGH72" s="97"/>
      <c r="JGI72" s="97"/>
      <c r="JGJ72" s="97"/>
      <c r="JGK72" s="97"/>
      <c r="JGL72" s="97"/>
      <c r="JGM72" s="97"/>
      <c r="JGN72" s="97"/>
      <c r="JGO72" s="97"/>
      <c r="JGP72" s="97"/>
      <c r="JGQ72" s="97"/>
      <c r="JGR72" s="97"/>
      <c r="JGS72" s="97"/>
      <c r="JGT72" s="97"/>
      <c r="JGU72" s="97"/>
      <c r="JGV72" s="97"/>
      <c r="JGW72" s="97"/>
      <c r="JGX72" s="97"/>
      <c r="JGY72" s="97"/>
      <c r="JGZ72" s="97"/>
      <c r="JHA72" s="97"/>
      <c r="JHB72" s="97"/>
      <c r="JHC72" s="97"/>
      <c r="JHD72" s="97"/>
      <c r="JHE72" s="97"/>
      <c r="JHF72" s="97"/>
      <c r="JHG72" s="97"/>
      <c r="JHH72" s="97"/>
      <c r="JHI72" s="97"/>
      <c r="JHJ72" s="97"/>
      <c r="JHK72" s="97"/>
      <c r="JHL72" s="97"/>
      <c r="JHM72" s="97"/>
      <c r="JHN72" s="97"/>
      <c r="JHO72" s="97"/>
      <c r="JHP72" s="97"/>
      <c r="JHQ72" s="97"/>
      <c r="JHR72" s="97"/>
      <c r="JHS72" s="97"/>
      <c r="JHT72" s="97"/>
      <c r="JHU72" s="97"/>
      <c r="JHV72" s="97"/>
      <c r="JHW72" s="97"/>
      <c r="JHX72" s="97"/>
      <c r="JHY72" s="97"/>
      <c r="JHZ72" s="97"/>
      <c r="JIA72" s="97"/>
      <c r="JIB72" s="97"/>
      <c r="JIC72" s="97"/>
      <c r="JID72" s="97"/>
      <c r="JIE72" s="97"/>
      <c r="JIF72" s="97"/>
      <c r="JIG72" s="97"/>
      <c r="JIH72" s="97"/>
      <c r="JII72" s="97"/>
      <c r="JIJ72" s="97"/>
      <c r="JIK72" s="97"/>
      <c r="JIL72" s="97"/>
      <c r="JIM72" s="97"/>
      <c r="JIN72" s="97"/>
      <c r="JIO72" s="97"/>
      <c r="JIP72" s="97"/>
      <c r="JIQ72" s="97"/>
      <c r="JIR72" s="97"/>
      <c r="JIS72" s="97"/>
      <c r="JIT72" s="97"/>
      <c r="JIU72" s="97"/>
      <c r="JIV72" s="97"/>
      <c r="JIW72" s="97"/>
      <c r="JIX72" s="97"/>
      <c r="JIY72" s="97"/>
      <c r="JIZ72" s="97"/>
      <c r="JJA72" s="97"/>
      <c r="JJB72" s="97"/>
      <c r="JJC72" s="97"/>
      <c r="JJD72" s="97"/>
      <c r="JJE72" s="97"/>
      <c r="JJF72" s="97"/>
      <c r="JJG72" s="97"/>
      <c r="JJH72" s="97"/>
      <c r="JJI72" s="97"/>
      <c r="JJJ72" s="97"/>
      <c r="JJK72" s="97"/>
      <c r="JJL72" s="97"/>
      <c r="JJM72" s="97"/>
      <c r="JJN72" s="97"/>
      <c r="JJO72" s="97"/>
      <c r="JJP72" s="97"/>
      <c r="JJQ72" s="97"/>
      <c r="JJR72" s="97"/>
      <c r="JJS72" s="97"/>
      <c r="JJT72" s="97"/>
      <c r="JJU72" s="97"/>
      <c r="JJV72" s="97"/>
      <c r="JJW72" s="97"/>
      <c r="JJX72" s="97"/>
      <c r="JJY72" s="97"/>
      <c r="JJZ72" s="97"/>
      <c r="JKA72" s="97"/>
      <c r="JKB72" s="97"/>
      <c r="JKC72" s="97"/>
      <c r="JKD72" s="97"/>
      <c r="JKE72" s="97"/>
      <c r="JKF72" s="97"/>
      <c r="JKG72" s="97"/>
      <c r="JKH72" s="97"/>
      <c r="JKI72" s="97"/>
      <c r="JKJ72" s="97"/>
      <c r="JKK72" s="97"/>
      <c r="JKL72" s="97"/>
      <c r="JKM72" s="97"/>
      <c r="JKN72" s="97"/>
      <c r="JKO72" s="97"/>
      <c r="JKP72" s="97"/>
      <c r="JKQ72" s="97"/>
      <c r="JKR72" s="97"/>
      <c r="JKS72" s="97"/>
      <c r="JKT72" s="97"/>
      <c r="JKU72" s="97"/>
      <c r="JKV72" s="97"/>
      <c r="JKW72" s="97"/>
      <c r="JKX72" s="97"/>
      <c r="JKY72" s="97"/>
      <c r="JKZ72" s="97"/>
      <c r="JLA72" s="97"/>
      <c r="JLB72" s="97"/>
      <c r="JLC72" s="97"/>
      <c r="JLD72" s="97"/>
      <c r="JLE72" s="97"/>
      <c r="JLF72" s="97"/>
      <c r="JLG72" s="97"/>
      <c r="JLH72" s="97"/>
      <c r="JLI72" s="97"/>
      <c r="JLJ72" s="97"/>
      <c r="JLK72" s="97"/>
      <c r="JLL72" s="97"/>
      <c r="JLM72" s="97"/>
      <c r="JLN72" s="97"/>
      <c r="JLO72" s="97"/>
      <c r="JLP72" s="97"/>
      <c r="JLQ72" s="97"/>
      <c r="JLR72" s="97"/>
      <c r="JLS72" s="97"/>
      <c r="JLT72" s="97"/>
      <c r="JLU72" s="97"/>
      <c r="JLV72" s="97"/>
      <c r="JLW72" s="97"/>
      <c r="JLX72" s="97"/>
      <c r="JLY72" s="97"/>
      <c r="JLZ72" s="97"/>
      <c r="JMA72" s="97"/>
      <c r="JMB72" s="97"/>
      <c r="JMC72" s="97"/>
      <c r="JMD72" s="97"/>
      <c r="JME72" s="97"/>
      <c r="JMF72" s="97"/>
      <c r="JMG72" s="97"/>
      <c r="JMH72" s="97"/>
      <c r="JMI72" s="97"/>
      <c r="JMJ72" s="97"/>
      <c r="JMK72" s="97"/>
      <c r="JML72" s="97"/>
      <c r="JMM72" s="97"/>
      <c r="JMN72" s="97"/>
      <c r="JMO72" s="97"/>
      <c r="JMP72" s="97"/>
      <c r="JMQ72" s="97"/>
      <c r="JMR72" s="97"/>
      <c r="JMS72" s="97"/>
      <c r="JMT72" s="97"/>
      <c r="JMU72" s="97"/>
      <c r="JMV72" s="97"/>
      <c r="JMW72" s="97"/>
      <c r="JMX72" s="97"/>
      <c r="JMY72" s="97"/>
      <c r="JMZ72" s="97"/>
      <c r="JNA72" s="97"/>
      <c r="JNB72" s="97"/>
      <c r="JNC72" s="97"/>
      <c r="JND72" s="97"/>
      <c r="JNE72" s="97"/>
      <c r="JNF72" s="97"/>
      <c r="JNG72" s="97"/>
      <c r="JNH72" s="97"/>
      <c r="JNI72" s="97"/>
      <c r="JNJ72" s="97"/>
      <c r="JNK72" s="97"/>
      <c r="JNL72" s="97"/>
      <c r="JNM72" s="97"/>
      <c r="JNN72" s="97"/>
      <c r="JNO72" s="97"/>
      <c r="JNP72" s="97"/>
      <c r="JNQ72" s="97"/>
      <c r="JNR72" s="97"/>
      <c r="JNS72" s="97"/>
      <c r="JNT72" s="97"/>
      <c r="JNU72" s="97"/>
      <c r="JNV72" s="97"/>
      <c r="JNW72" s="97"/>
      <c r="JNX72" s="97"/>
      <c r="JNY72" s="97"/>
      <c r="JNZ72" s="97"/>
      <c r="JOA72" s="97"/>
      <c r="JOB72" s="97"/>
      <c r="JOC72" s="97"/>
      <c r="JOD72" s="97"/>
      <c r="JOE72" s="97"/>
      <c r="JOF72" s="97"/>
      <c r="JOG72" s="97"/>
      <c r="JOH72" s="97"/>
      <c r="JOI72" s="97"/>
      <c r="JOJ72" s="97"/>
      <c r="JOK72" s="97"/>
      <c r="JOL72" s="97"/>
      <c r="JOM72" s="97"/>
      <c r="JON72" s="97"/>
      <c r="JOO72" s="97"/>
      <c r="JOP72" s="97"/>
      <c r="JOQ72" s="97"/>
      <c r="JOR72" s="97"/>
      <c r="JOS72" s="97"/>
      <c r="JOT72" s="97"/>
      <c r="JOU72" s="97"/>
      <c r="JOV72" s="97"/>
      <c r="JOW72" s="97"/>
      <c r="JOX72" s="97"/>
      <c r="JOY72" s="97"/>
      <c r="JOZ72" s="97"/>
      <c r="JPA72" s="97"/>
      <c r="JPB72" s="97"/>
      <c r="JPC72" s="97"/>
      <c r="JPD72" s="97"/>
      <c r="JPE72" s="97"/>
      <c r="JPF72" s="97"/>
      <c r="JPG72" s="97"/>
      <c r="JPH72" s="97"/>
      <c r="JPI72" s="97"/>
      <c r="JPJ72" s="97"/>
      <c r="JPK72" s="97"/>
      <c r="JPL72" s="97"/>
      <c r="JPM72" s="97"/>
      <c r="JPN72" s="97"/>
      <c r="JPO72" s="97"/>
      <c r="JPP72" s="97"/>
      <c r="JPQ72" s="97"/>
      <c r="JPR72" s="97"/>
      <c r="JPS72" s="97"/>
      <c r="JPT72" s="97"/>
      <c r="JPU72" s="97"/>
      <c r="JPV72" s="97"/>
      <c r="JPW72" s="97"/>
      <c r="JPX72" s="97"/>
      <c r="JPY72" s="97"/>
      <c r="JPZ72" s="97"/>
      <c r="JQA72" s="97"/>
      <c r="JQB72" s="97"/>
      <c r="JQC72" s="97"/>
      <c r="JQD72" s="97"/>
      <c r="JQE72" s="97"/>
      <c r="JQF72" s="97"/>
      <c r="JQG72" s="97"/>
      <c r="JQH72" s="97"/>
      <c r="JQI72" s="97"/>
      <c r="JQJ72" s="97"/>
      <c r="JQK72" s="97"/>
      <c r="JQL72" s="97"/>
      <c r="JQM72" s="97"/>
      <c r="JQN72" s="97"/>
      <c r="JQO72" s="97"/>
      <c r="JQP72" s="97"/>
      <c r="JQQ72" s="97"/>
      <c r="JQR72" s="97"/>
      <c r="JQS72" s="97"/>
      <c r="JQT72" s="97"/>
      <c r="JQU72" s="97"/>
      <c r="JQV72" s="97"/>
      <c r="JQW72" s="97"/>
      <c r="JQX72" s="97"/>
      <c r="JQY72" s="97"/>
      <c r="JQZ72" s="97"/>
      <c r="JRA72" s="97"/>
      <c r="JRB72" s="97"/>
      <c r="JRC72" s="97"/>
      <c r="JRD72" s="97"/>
      <c r="JRE72" s="97"/>
      <c r="JRF72" s="97"/>
      <c r="JRG72" s="97"/>
      <c r="JRH72" s="97"/>
      <c r="JRI72" s="97"/>
      <c r="JRJ72" s="97"/>
      <c r="JRK72" s="97"/>
      <c r="JRL72" s="97"/>
      <c r="JRM72" s="97"/>
      <c r="JRN72" s="97"/>
      <c r="JRO72" s="97"/>
      <c r="JRP72" s="97"/>
      <c r="JRQ72" s="97"/>
      <c r="JRR72" s="97"/>
      <c r="JRS72" s="97"/>
      <c r="JRT72" s="97"/>
      <c r="JRU72" s="97"/>
      <c r="JRV72" s="97"/>
      <c r="JRW72" s="97"/>
      <c r="JRX72" s="97"/>
      <c r="JRY72" s="97"/>
      <c r="JRZ72" s="97"/>
      <c r="JSA72" s="97"/>
      <c r="JSB72" s="97"/>
      <c r="JSC72" s="97"/>
      <c r="JSD72" s="97"/>
      <c r="JSE72" s="97"/>
      <c r="JSF72" s="97"/>
      <c r="JSG72" s="97"/>
      <c r="JSH72" s="97"/>
      <c r="JSI72" s="97"/>
      <c r="JSJ72" s="97"/>
      <c r="JSK72" s="97"/>
      <c r="JSL72" s="97"/>
      <c r="JSM72" s="97"/>
      <c r="JSN72" s="97"/>
      <c r="JSO72" s="97"/>
      <c r="JSP72" s="97"/>
      <c r="JSQ72" s="97"/>
      <c r="JSR72" s="97"/>
      <c r="JSS72" s="97"/>
      <c r="JST72" s="97"/>
      <c r="JSU72" s="97"/>
      <c r="JSV72" s="97"/>
      <c r="JSW72" s="97"/>
      <c r="JSX72" s="97"/>
      <c r="JSY72" s="97"/>
      <c r="JSZ72" s="97"/>
      <c r="JTA72" s="97"/>
      <c r="JTB72" s="97"/>
      <c r="JTC72" s="97"/>
      <c r="JTD72" s="97"/>
      <c r="JTE72" s="97"/>
      <c r="JTF72" s="97"/>
      <c r="JTG72" s="97"/>
      <c r="JTH72" s="97"/>
      <c r="JTI72" s="97"/>
      <c r="JTJ72" s="97"/>
      <c r="JTK72" s="97"/>
      <c r="JTL72" s="97"/>
      <c r="JTM72" s="97"/>
      <c r="JTN72" s="97"/>
      <c r="JTO72" s="97"/>
      <c r="JTP72" s="97"/>
      <c r="JTQ72" s="97"/>
      <c r="JTR72" s="97"/>
      <c r="JTS72" s="97"/>
      <c r="JTT72" s="97"/>
      <c r="JTU72" s="97"/>
      <c r="JTV72" s="97"/>
      <c r="JTW72" s="97"/>
      <c r="JTX72" s="97"/>
      <c r="JTY72" s="97"/>
      <c r="JTZ72" s="97"/>
      <c r="JUA72" s="97"/>
      <c r="JUB72" s="97"/>
      <c r="JUC72" s="97"/>
      <c r="JUD72" s="97"/>
      <c r="JUE72" s="97"/>
      <c r="JUF72" s="97"/>
      <c r="JUG72" s="97"/>
      <c r="JUH72" s="97"/>
      <c r="JUI72" s="97"/>
      <c r="JUJ72" s="97"/>
      <c r="JUK72" s="97"/>
      <c r="JUL72" s="97"/>
      <c r="JUM72" s="97"/>
      <c r="JUN72" s="97"/>
      <c r="JUO72" s="97"/>
      <c r="JUP72" s="97"/>
      <c r="JUQ72" s="97"/>
      <c r="JUR72" s="97"/>
      <c r="JUS72" s="97"/>
      <c r="JUT72" s="97"/>
      <c r="JUU72" s="97"/>
      <c r="JUV72" s="97"/>
      <c r="JUW72" s="97"/>
      <c r="JUX72" s="97"/>
      <c r="JUY72" s="97"/>
      <c r="JUZ72" s="97"/>
      <c r="JVA72" s="97"/>
      <c r="JVB72" s="97"/>
      <c r="JVC72" s="97"/>
      <c r="JVD72" s="97"/>
      <c r="JVE72" s="97"/>
      <c r="JVF72" s="97"/>
      <c r="JVG72" s="97"/>
      <c r="JVH72" s="97"/>
      <c r="JVI72" s="97"/>
      <c r="JVJ72" s="97"/>
      <c r="JVK72" s="97"/>
      <c r="JVL72" s="97"/>
      <c r="JVM72" s="97"/>
      <c r="JVN72" s="97"/>
      <c r="JVO72" s="97"/>
      <c r="JVP72" s="97"/>
      <c r="JVQ72" s="97"/>
      <c r="JVR72" s="97"/>
      <c r="JVS72" s="97"/>
      <c r="JVT72" s="97"/>
      <c r="JVU72" s="97"/>
      <c r="JVV72" s="97"/>
      <c r="JVW72" s="97"/>
      <c r="JVX72" s="97"/>
      <c r="JVY72" s="97"/>
      <c r="JVZ72" s="97"/>
      <c r="JWA72" s="97"/>
      <c r="JWB72" s="97"/>
      <c r="JWC72" s="97"/>
      <c r="JWD72" s="97"/>
      <c r="JWE72" s="97"/>
      <c r="JWF72" s="97"/>
      <c r="JWG72" s="97"/>
      <c r="JWH72" s="97"/>
      <c r="JWI72" s="97"/>
      <c r="JWJ72" s="97"/>
      <c r="JWK72" s="97"/>
      <c r="JWL72" s="97"/>
      <c r="JWM72" s="97"/>
      <c r="JWN72" s="97"/>
      <c r="JWO72" s="97"/>
      <c r="JWP72" s="97"/>
      <c r="JWQ72" s="97"/>
      <c r="JWR72" s="97"/>
      <c r="JWS72" s="97"/>
      <c r="JWT72" s="97"/>
      <c r="JWU72" s="97"/>
      <c r="JWV72" s="97"/>
      <c r="JWW72" s="97"/>
      <c r="JWX72" s="97"/>
      <c r="JWY72" s="97"/>
      <c r="JWZ72" s="97"/>
      <c r="JXA72" s="97"/>
      <c r="JXB72" s="97"/>
      <c r="JXC72" s="97"/>
      <c r="JXD72" s="97"/>
      <c r="JXE72" s="97"/>
      <c r="JXF72" s="97"/>
      <c r="JXG72" s="97"/>
      <c r="JXH72" s="97"/>
      <c r="JXI72" s="97"/>
      <c r="JXJ72" s="97"/>
      <c r="JXK72" s="97"/>
      <c r="JXL72" s="97"/>
      <c r="JXM72" s="97"/>
      <c r="JXN72" s="97"/>
      <c r="JXO72" s="97"/>
      <c r="JXP72" s="97"/>
      <c r="JXQ72" s="97"/>
      <c r="JXR72" s="97"/>
      <c r="JXS72" s="97"/>
      <c r="JXT72" s="97"/>
      <c r="JXU72" s="97"/>
      <c r="JXV72" s="97"/>
      <c r="JXW72" s="97"/>
      <c r="JXX72" s="97"/>
      <c r="JXY72" s="97"/>
      <c r="JXZ72" s="97"/>
      <c r="JYA72" s="97"/>
      <c r="JYB72" s="97"/>
      <c r="JYC72" s="97"/>
      <c r="JYD72" s="97"/>
      <c r="JYE72" s="97"/>
      <c r="JYF72" s="97"/>
      <c r="JYG72" s="97"/>
      <c r="JYH72" s="97"/>
      <c r="JYI72" s="97"/>
      <c r="JYJ72" s="97"/>
      <c r="JYK72" s="97"/>
      <c r="JYL72" s="97"/>
      <c r="JYM72" s="97"/>
      <c r="JYN72" s="97"/>
      <c r="JYO72" s="97"/>
      <c r="JYP72" s="97"/>
      <c r="JYQ72" s="97"/>
      <c r="JYR72" s="97"/>
      <c r="JYS72" s="97"/>
      <c r="JYT72" s="97"/>
      <c r="JYU72" s="97"/>
      <c r="JYV72" s="97"/>
      <c r="JYW72" s="97"/>
      <c r="JYX72" s="97"/>
      <c r="JYY72" s="97"/>
      <c r="JYZ72" s="97"/>
      <c r="JZA72" s="97"/>
      <c r="JZB72" s="97"/>
      <c r="JZC72" s="97"/>
      <c r="JZD72" s="97"/>
      <c r="JZE72" s="97"/>
      <c r="JZF72" s="97"/>
      <c r="JZG72" s="97"/>
      <c r="JZH72" s="97"/>
      <c r="JZI72" s="97"/>
      <c r="JZJ72" s="97"/>
      <c r="JZK72" s="97"/>
      <c r="JZL72" s="97"/>
      <c r="JZM72" s="97"/>
      <c r="JZN72" s="97"/>
      <c r="JZO72" s="97"/>
      <c r="JZP72" s="97"/>
      <c r="JZQ72" s="97"/>
      <c r="JZR72" s="97"/>
      <c r="JZS72" s="97"/>
      <c r="JZT72" s="97"/>
      <c r="JZU72" s="97"/>
      <c r="JZV72" s="97"/>
      <c r="JZW72" s="97"/>
      <c r="JZX72" s="97"/>
      <c r="JZY72" s="97"/>
      <c r="JZZ72" s="97"/>
      <c r="KAA72" s="97"/>
      <c r="KAB72" s="97"/>
      <c r="KAC72" s="97"/>
      <c r="KAD72" s="97"/>
      <c r="KAE72" s="97"/>
      <c r="KAF72" s="97"/>
      <c r="KAG72" s="97"/>
      <c r="KAH72" s="97"/>
      <c r="KAI72" s="97"/>
      <c r="KAJ72" s="97"/>
      <c r="KAK72" s="97"/>
      <c r="KAL72" s="97"/>
      <c r="KAM72" s="97"/>
      <c r="KAN72" s="97"/>
      <c r="KAO72" s="97"/>
      <c r="KAP72" s="97"/>
      <c r="KAQ72" s="97"/>
      <c r="KAR72" s="97"/>
      <c r="KAS72" s="97"/>
      <c r="KAT72" s="97"/>
      <c r="KAU72" s="97"/>
      <c r="KAV72" s="97"/>
      <c r="KAW72" s="97"/>
      <c r="KAX72" s="97"/>
      <c r="KAY72" s="97"/>
      <c r="KAZ72" s="97"/>
      <c r="KBA72" s="97"/>
      <c r="KBB72" s="97"/>
      <c r="KBC72" s="97"/>
      <c r="KBD72" s="97"/>
      <c r="KBE72" s="97"/>
      <c r="KBF72" s="97"/>
      <c r="KBG72" s="97"/>
      <c r="KBH72" s="97"/>
      <c r="KBI72" s="97"/>
      <c r="KBJ72" s="97"/>
      <c r="KBK72" s="97"/>
      <c r="KBL72" s="97"/>
      <c r="KBM72" s="97"/>
      <c r="KBN72" s="97"/>
      <c r="KBO72" s="97"/>
      <c r="KBP72" s="97"/>
      <c r="KBQ72" s="97"/>
      <c r="KBR72" s="97"/>
      <c r="KBS72" s="97"/>
      <c r="KBT72" s="97"/>
      <c r="KBU72" s="97"/>
      <c r="KBV72" s="97"/>
      <c r="KBW72" s="97"/>
      <c r="KBX72" s="97"/>
      <c r="KBY72" s="97"/>
      <c r="KBZ72" s="97"/>
      <c r="KCA72" s="97"/>
      <c r="KCB72" s="97"/>
      <c r="KCC72" s="97"/>
      <c r="KCD72" s="97"/>
      <c r="KCE72" s="97"/>
      <c r="KCF72" s="97"/>
      <c r="KCG72" s="97"/>
      <c r="KCH72" s="97"/>
      <c r="KCI72" s="97"/>
      <c r="KCJ72" s="97"/>
      <c r="KCK72" s="97"/>
      <c r="KCL72" s="97"/>
      <c r="KCM72" s="97"/>
      <c r="KCN72" s="97"/>
      <c r="KCO72" s="97"/>
      <c r="KCP72" s="97"/>
      <c r="KCQ72" s="97"/>
      <c r="KCR72" s="97"/>
      <c r="KCS72" s="97"/>
      <c r="KCT72" s="97"/>
      <c r="KCU72" s="97"/>
      <c r="KCV72" s="97"/>
      <c r="KCW72" s="97"/>
      <c r="KCX72" s="97"/>
      <c r="KCY72" s="97"/>
      <c r="KCZ72" s="97"/>
      <c r="KDA72" s="97"/>
      <c r="KDB72" s="97"/>
      <c r="KDC72" s="97"/>
      <c r="KDD72" s="97"/>
      <c r="KDE72" s="97"/>
      <c r="KDF72" s="97"/>
      <c r="KDG72" s="97"/>
      <c r="KDH72" s="97"/>
      <c r="KDI72" s="97"/>
      <c r="KDJ72" s="97"/>
      <c r="KDK72" s="97"/>
      <c r="KDL72" s="97"/>
      <c r="KDM72" s="97"/>
      <c r="KDN72" s="97"/>
      <c r="KDO72" s="97"/>
      <c r="KDP72" s="97"/>
      <c r="KDQ72" s="97"/>
      <c r="KDR72" s="97"/>
      <c r="KDS72" s="97"/>
      <c r="KDT72" s="97"/>
      <c r="KDU72" s="97"/>
      <c r="KDV72" s="97"/>
      <c r="KDW72" s="97"/>
      <c r="KDX72" s="97"/>
      <c r="KDY72" s="97"/>
      <c r="KDZ72" s="97"/>
      <c r="KEA72" s="97"/>
      <c r="KEB72" s="97"/>
      <c r="KEC72" s="97"/>
      <c r="KED72" s="97"/>
      <c r="KEE72" s="97"/>
      <c r="KEF72" s="97"/>
      <c r="KEG72" s="97"/>
      <c r="KEH72" s="97"/>
      <c r="KEI72" s="97"/>
      <c r="KEJ72" s="97"/>
      <c r="KEK72" s="97"/>
      <c r="KEL72" s="97"/>
      <c r="KEM72" s="97"/>
      <c r="KEN72" s="97"/>
      <c r="KEO72" s="97"/>
      <c r="KEP72" s="97"/>
      <c r="KEQ72" s="97"/>
      <c r="KER72" s="97"/>
      <c r="KES72" s="97"/>
      <c r="KET72" s="97"/>
      <c r="KEU72" s="97"/>
      <c r="KEV72" s="97"/>
      <c r="KEW72" s="97"/>
      <c r="KEX72" s="97"/>
      <c r="KEY72" s="97"/>
      <c r="KEZ72" s="97"/>
      <c r="KFA72" s="97"/>
      <c r="KFB72" s="97"/>
      <c r="KFC72" s="97"/>
      <c r="KFD72" s="97"/>
      <c r="KFE72" s="97"/>
      <c r="KFF72" s="97"/>
      <c r="KFG72" s="97"/>
      <c r="KFH72" s="97"/>
      <c r="KFI72" s="97"/>
      <c r="KFJ72" s="97"/>
      <c r="KFK72" s="97"/>
      <c r="KFL72" s="97"/>
      <c r="KFM72" s="97"/>
      <c r="KFN72" s="97"/>
      <c r="KFO72" s="97"/>
      <c r="KFP72" s="97"/>
      <c r="KFQ72" s="97"/>
      <c r="KFR72" s="97"/>
      <c r="KFS72" s="97"/>
      <c r="KFT72" s="97"/>
      <c r="KFU72" s="97"/>
      <c r="KFV72" s="97"/>
      <c r="KFW72" s="97"/>
      <c r="KFX72" s="97"/>
      <c r="KFY72" s="97"/>
      <c r="KFZ72" s="97"/>
      <c r="KGA72" s="97"/>
      <c r="KGB72" s="97"/>
      <c r="KGC72" s="97"/>
      <c r="KGD72" s="97"/>
      <c r="KGE72" s="97"/>
      <c r="KGF72" s="97"/>
      <c r="KGG72" s="97"/>
      <c r="KGH72" s="97"/>
      <c r="KGI72" s="97"/>
      <c r="KGJ72" s="97"/>
      <c r="KGK72" s="97"/>
      <c r="KGL72" s="97"/>
      <c r="KGM72" s="97"/>
      <c r="KGN72" s="97"/>
      <c r="KGO72" s="97"/>
      <c r="KGP72" s="97"/>
      <c r="KGQ72" s="97"/>
      <c r="KGR72" s="97"/>
      <c r="KGS72" s="97"/>
      <c r="KGT72" s="97"/>
      <c r="KGU72" s="97"/>
      <c r="KGV72" s="97"/>
      <c r="KGW72" s="97"/>
      <c r="KGX72" s="97"/>
      <c r="KGY72" s="97"/>
      <c r="KGZ72" s="97"/>
      <c r="KHA72" s="97"/>
      <c r="KHB72" s="97"/>
      <c r="KHC72" s="97"/>
      <c r="KHD72" s="97"/>
      <c r="KHE72" s="97"/>
      <c r="KHF72" s="97"/>
      <c r="KHG72" s="97"/>
      <c r="KHH72" s="97"/>
      <c r="KHI72" s="97"/>
      <c r="KHJ72" s="97"/>
      <c r="KHK72" s="97"/>
      <c r="KHL72" s="97"/>
      <c r="KHM72" s="97"/>
      <c r="KHN72" s="97"/>
      <c r="KHO72" s="97"/>
      <c r="KHP72" s="97"/>
      <c r="KHQ72" s="97"/>
      <c r="KHR72" s="97"/>
      <c r="KHS72" s="97"/>
      <c r="KHT72" s="97"/>
      <c r="KHU72" s="97"/>
      <c r="KHV72" s="97"/>
      <c r="KHW72" s="97"/>
      <c r="KHX72" s="97"/>
      <c r="KHY72" s="97"/>
      <c r="KHZ72" s="97"/>
      <c r="KIA72" s="97"/>
      <c r="KIB72" s="97"/>
      <c r="KIC72" s="97"/>
      <c r="KID72" s="97"/>
      <c r="KIE72" s="97"/>
      <c r="KIF72" s="97"/>
      <c r="KIG72" s="97"/>
      <c r="KIH72" s="97"/>
      <c r="KII72" s="97"/>
      <c r="KIJ72" s="97"/>
      <c r="KIK72" s="97"/>
      <c r="KIL72" s="97"/>
      <c r="KIM72" s="97"/>
      <c r="KIN72" s="97"/>
      <c r="KIO72" s="97"/>
      <c r="KIP72" s="97"/>
      <c r="KIQ72" s="97"/>
      <c r="KIR72" s="97"/>
      <c r="KIS72" s="97"/>
      <c r="KIT72" s="97"/>
      <c r="KIU72" s="97"/>
      <c r="KIV72" s="97"/>
      <c r="KIW72" s="97"/>
      <c r="KIX72" s="97"/>
      <c r="KIY72" s="97"/>
      <c r="KIZ72" s="97"/>
      <c r="KJA72" s="97"/>
      <c r="KJB72" s="97"/>
      <c r="KJC72" s="97"/>
      <c r="KJD72" s="97"/>
      <c r="KJE72" s="97"/>
      <c r="KJF72" s="97"/>
      <c r="KJG72" s="97"/>
      <c r="KJH72" s="97"/>
      <c r="KJI72" s="97"/>
      <c r="KJJ72" s="97"/>
      <c r="KJK72" s="97"/>
      <c r="KJL72" s="97"/>
      <c r="KJM72" s="97"/>
      <c r="KJN72" s="97"/>
      <c r="KJO72" s="97"/>
      <c r="KJP72" s="97"/>
      <c r="KJQ72" s="97"/>
      <c r="KJR72" s="97"/>
      <c r="KJS72" s="97"/>
      <c r="KJT72" s="97"/>
      <c r="KJU72" s="97"/>
      <c r="KJV72" s="97"/>
      <c r="KJW72" s="97"/>
      <c r="KJX72" s="97"/>
      <c r="KJY72" s="97"/>
      <c r="KJZ72" s="97"/>
      <c r="KKA72" s="97"/>
      <c r="KKB72" s="97"/>
      <c r="KKC72" s="97"/>
      <c r="KKD72" s="97"/>
      <c r="KKE72" s="97"/>
      <c r="KKF72" s="97"/>
      <c r="KKG72" s="97"/>
      <c r="KKH72" s="97"/>
      <c r="KKI72" s="97"/>
      <c r="KKJ72" s="97"/>
      <c r="KKK72" s="97"/>
      <c r="KKL72" s="97"/>
      <c r="KKM72" s="97"/>
      <c r="KKN72" s="97"/>
      <c r="KKO72" s="97"/>
      <c r="KKP72" s="97"/>
      <c r="KKQ72" s="97"/>
      <c r="KKR72" s="97"/>
      <c r="KKS72" s="97"/>
      <c r="KKT72" s="97"/>
      <c r="KKU72" s="97"/>
      <c r="KKV72" s="97"/>
      <c r="KKW72" s="97"/>
      <c r="KKX72" s="97"/>
      <c r="KKY72" s="97"/>
      <c r="KKZ72" s="97"/>
      <c r="KLA72" s="97"/>
      <c r="KLB72" s="97"/>
      <c r="KLC72" s="97"/>
      <c r="KLD72" s="97"/>
      <c r="KLE72" s="97"/>
      <c r="KLF72" s="97"/>
      <c r="KLG72" s="97"/>
      <c r="KLH72" s="97"/>
      <c r="KLI72" s="97"/>
      <c r="KLJ72" s="97"/>
      <c r="KLK72" s="97"/>
      <c r="KLL72" s="97"/>
      <c r="KLM72" s="97"/>
      <c r="KLN72" s="97"/>
      <c r="KLO72" s="97"/>
      <c r="KLP72" s="97"/>
      <c r="KLQ72" s="97"/>
      <c r="KLR72" s="97"/>
      <c r="KLS72" s="97"/>
      <c r="KLT72" s="97"/>
      <c r="KLU72" s="97"/>
      <c r="KLV72" s="97"/>
      <c r="KLW72" s="97"/>
      <c r="KLX72" s="97"/>
      <c r="KLY72" s="97"/>
      <c r="KLZ72" s="97"/>
      <c r="KMA72" s="97"/>
      <c r="KMB72" s="97"/>
      <c r="KMC72" s="97"/>
      <c r="KMD72" s="97"/>
      <c r="KME72" s="97"/>
      <c r="KMF72" s="97"/>
      <c r="KMG72" s="97"/>
      <c r="KMH72" s="97"/>
      <c r="KMI72" s="97"/>
      <c r="KMJ72" s="97"/>
      <c r="KMK72" s="97"/>
      <c r="KML72" s="97"/>
      <c r="KMM72" s="97"/>
      <c r="KMN72" s="97"/>
      <c r="KMO72" s="97"/>
      <c r="KMP72" s="97"/>
      <c r="KMQ72" s="97"/>
      <c r="KMR72" s="97"/>
      <c r="KMS72" s="97"/>
      <c r="KMT72" s="97"/>
      <c r="KMU72" s="97"/>
      <c r="KMV72" s="97"/>
      <c r="KMW72" s="97"/>
      <c r="KMX72" s="97"/>
      <c r="KMY72" s="97"/>
      <c r="KMZ72" s="97"/>
      <c r="KNA72" s="97"/>
      <c r="KNB72" s="97"/>
      <c r="KNC72" s="97"/>
      <c r="KND72" s="97"/>
      <c r="KNE72" s="97"/>
      <c r="KNF72" s="97"/>
      <c r="KNG72" s="97"/>
      <c r="KNH72" s="97"/>
      <c r="KNI72" s="97"/>
      <c r="KNJ72" s="97"/>
      <c r="KNK72" s="97"/>
      <c r="KNL72" s="97"/>
      <c r="KNM72" s="97"/>
      <c r="KNN72" s="97"/>
      <c r="KNO72" s="97"/>
      <c r="KNP72" s="97"/>
      <c r="KNQ72" s="97"/>
      <c r="KNR72" s="97"/>
      <c r="KNS72" s="97"/>
      <c r="KNT72" s="97"/>
      <c r="KNU72" s="97"/>
      <c r="KNV72" s="97"/>
      <c r="KNW72" s="97"/>
      <c r="KNX72" s="97"/>
      <c r="KNY72" s="97"/>
      <c r="KNZ72" s="97"/>
      <c r="KOA72" s="97"/>
      <c r="KOB72" s="97"/>
      <c r="KOC72" s="97"/>
      <c r="KOD72" s="97"/>
      <c r="KOE72" s="97"/>
      <c r="KOF72" s="97"/>
      <c r="KOG72" s="97"/>
      <c r="KOH72" s="97"/>
      <c r="KOI72" s="97"/>
      <c r="KOJ72" s="97"/>
      <c r="KOK72" s="97"/>
      <c r="KOL72" s="97"/>
      <c r="KOM72" s="97"/>
      <c r="KON72" s="97"/>
      <c r="KOO72" s="97"/>
      <c r="KOP72" s="97"/>
      <c r="KOQ72" s="97"/>
      <c r="KOR72" s="97"/>
      <c r="KOS72" s="97"/>
      <c r="KOT72" s="97"/>
      <c r="KOU72" s="97"/>
      <c r="KOV72" s="97"/>
      <c r="KOW72" s="97"/>
      <c r="KOX72" s="97"/>
      <c r="KOY72" s="97"/>
      <c r="KOZ72" s="97"/>
      <c r="KPA72" s="97"/>
      <c r="KPB72" s="97"/>
      <c r="KPC72" s="97"/>
      <c r="KPD72" s="97"/>
      <c r="KPE72" s="97"/>
      <c r="KPF72" s="97"/>
      <c r="KPG72" s="97"/>
      <c r="KPH72" s="97"/>
      <c r="KPI72" s="97"/>
      <c r="KPJ72" s="97"/>
      <c r="KPK72" s="97"/>
      <c r="KPL72" s="97"/>
      <c r="KPM72" s="97"/>
      <c r="KPN72" s="97"/>
      <c r="KPO72" s="97"/>
      <c r="KPP72" s="97"/>
      <c r="KPQ72" s="97"/>
      <c r="KPR72" s="97"/>
      <c r="KPS72" s="97"/>
      <c r="KPT72" s="97"/>
      <c r="KPU72" s="97"/>
      <c r="KPV72" s="97"/>
      <c r="KPW72" s="97"/>
      <c r="KPX72" s="97"/>
      <c r="KPY72" s="97"/>
      <c r="KPZ72" s="97"/>
      <c r="KQA72" s="97"/>
      <c r="KQB72" s="97"/>
      <c r="KQC72" s="97"/>
      <c r="KQD72" s="97"/>
      <c r="KQE72" s="97"/>
      <c r="KQF72" s="97"/>
      <c r="KQG72" s="97"/>
      <c r="KQH72" s="97"/>
      <c r="KQI72" s="97"/>
      <c r="KQJ72" s="97"/>
      <c r="KQK72" s="97"/>
      <c r="KQL72" s="97"/>
      <c r="KQM72" s="97"/>
      <c r="KQN72" s="97"/>
      <c r="KQO72" s="97"/>
      <c r="KQP72" s="97"/>
      <c r="KQQ72" s="97"/>
      <c r="KQR72" s="97"/>
      <c r="KQS72" s="97"/>
      <c r="KQT72" s="97"/>
      <c r="KQU72" s="97"/>
      <c r="KQV72" s="97"/>
      <c r="KQW72" s="97"/>
      <c r="KQX72" s="97"/>
      <c r="KQY72" s="97"/>
      <c r="KQZ72" s="97"/>
      <c r="KRA72" s="97"/>
      <c r="KRB72" s="97"/>
      <c r="KRC72" s="97"/>
      <c r="KRD72" s="97"/>
      <c r="KRE72" s="97"/>
      <c r="KRF72" s="97"/>
      <c r="KRG72" s="97"/>
      <c r="KRH72" s="97"/>
      <c r="KRI72" s="97"/>
      <c r="KRJ72" s="97"/>
      <c r="KRK72" s="97"/>
      <c r="KRL72" s="97"/>
      <c r="KRM72" s="97"/>
      <c r="KRN72" s="97"/>
      <c r="KRO72" s="97"/>
      <c r="KRP72" s="97"/>
      <c r="KRQ72" s="97"/>
      <c r="KRR72" s="97"/>
      <c r="KRS72" s="97"/>
      <c r="KRT72" s="97"/>
      <c r="KRU72" s="97"/>
      <c r="KRV72" s="97"/>
      <c r="KRW72" s="97"/>
      <c r="KRX72" s="97"/>
      <c r="KRY72" s="97"/>
      <c r="KRZ72" s="97"/>
      <c r="KSA72" s="97"/>
      <c r="KSB72" s="97"/>
      <c r="KSC72" s="97"/>
      <c r="KSD72" s="97"/>
      <c r="KSE72" s="97"/>
      <c r="KSF72" s="97"/>
      <c r="KSG72" s="97"/>
      <c r="KSH72" s="97"/>
      <c r="KSI72" s="97"/>
      <c r="KSJ72" s="97"/>
      <c r="KSK72" s="97"/>
      <c r="KSL72" s="97"/>
      <c r="KSM72" s="97"/>
      <c r="KSN72" s="97"/>
      <c r="KSO72" s="97"/>
      <c r="KSP72" s="97"/>
      <c r="KSQ72" s="97"/>
      <c r="KSR72" s="97"/>
      <c r="KSS72" s="97"/>
      <c r="KST72" s="97"/>
      <c r="KSU72" s="97"/>
      <c r="KSV72" s="97"/>
      <c r="KSW72" s="97"/>
      <c r="KSX72" s="97"/>
      <c r="KSY72" s="97"/>
      <c r="KSZ72" s="97"/>
      <c r="KTA72" s="97"/>
      <c r="KTB72" s="97"/>
      <c r="KTC72" s="97"/>
      <c r="KTD72" s="97"/>
      <c r="KTE72" s="97"/>
      <c r="KTF72" s="97"/>
      <c r="KTG72" s="97"/>
      <c r="KTH72" s="97"/>
      <c r="KTI72" s="97"/>
      <c r="KTJ72" s="97"/>
      <c r="KTK72" s="97"/>
      <c r="KTL72" s="97"/>
      <c r="KTM72" s="97"/>
      <c r="KTN72" s="97"/>
      <c r="KTO72" s="97"/>
      <c r="KTP72" s="97"/>
      <c r="KTQ72" s="97"/>
      <c r="KTR72" s="97"/>
      <c r="KTS72" s="97"/>
      <c r="KTT72" s="97"/>
      <c r="KTU72" s="97"/>
      <c r="KTV72" s="97"/>
      <c r="KTW72" s="97"/>
      <c r="KTX72" s="97"/>
      <c r="KTY72" s="97"/>
      <c r="KTZ72" s="97"/>
      <c r="KUA72" s="97"/>
      <c r="KUB72" s="97"/>
      <c r="KUC72" s="97"/>
      <c r="KUD72" s="97"/>
      <c r="KUE72" s="97"/>
      <c r="KUF72" s="97"/>
      <c r="KUG72" s="97"/>
      <c r="KUH72" s="97"/>
      <c r="KUI72" s="97"/>
      <c r="KUJ72" s="97"/>
      <c r="KUK72" s="97"/>
      <c r="KUL72" s="97"/>
      <c r="KUM72" s="97"/>
      <c r="KUN72" s="97"/>
      <c r="KUO72" s="97"/>
      <c r="KUP72" s="97"/>
      <c r="KUQ72" s="97"/>
      <c r="KUR72" s="97"/>
      <c r="KUS72" s="97"/>
      <c r="KUT72" s="97"/>
      <c r="KUU72" s="97"/>
      <c r="KUV72" s="97"/>
      <c r="KUW72" s="97"/>
      <c r="KUX72" s="97"/>
      <c r="KUY72" s="97"/>
      <c r="KUZ72" s="97"/>
      <c r="KVA72" s="97"/>
      <c r="KVB72" s="97"/>
      <c r="KVC72" s="97"/>
      <c r="KVD72" s="97"/>
      <c r="KVE72" s="97"/>
      <c r="KVF72" s="97"/>
      <c r="KVG72" s="97"/>
      <c r="KVH72" s="97"/>
      <c r="KVI72" s="97"/>
      <c r="KVJ72" s="97"/>
      <c r="KVK72" s="97"/>
      <c r="KVL72" s="97"/>
      <c r="KVM72" s="97"/>
      <c r="KVN72" s="97"/>
      <c r="KVO72" s="97"/>
      <c r="KVP72" s="97"/>
      <c r="KVQ72" s="97"/>
      <c r="KVR72" s="97"/>
      <c r="KVS72" s="97"/>
      <c r="KVT72" s="97"/>
      <c r="KVU72" s="97"/>
      <c r="KVV72" s="97"/>
      <c r="KVW72" s="97"/>
      <c r="KVX72" s="97"/>
      <c r="KVY72" s="97"/>
      <c r="KVZ72" s="97"/>
      <c r="KWA72" s="97"/>
      <c r="KWB72" s="97"/>
      <c r="KWC72" s="97"/>
      <c r="KWD72" s="97"/>
      <c r="KWE72" s="97"/>
      <c r="KWF72" s="97"/>
      <c r="KWG72" s="97"/>
      <c r="KWH72" s="97"/>
      <c r="KWI72" s="97"/>
      <c r="KWJ72" s="97"/>
      <c r="KWK72" s="97"/>
      <c r="KWL72" s="97"/>
      <c r="KWM72" s="97"/>
      <c r="KWN72" s="97"/>
      <c r="KWO72" s="97"/>
      <c r="KWP72" s="97"/>
      <c r="KWQ72" s="97"/>
      <c r="KWR72" s="97"/>
      <c r="KWS72" s="97"/>
      <c r="KWT72" s="97"/>
      <c r="KWU72" s="97"/>
      <c r="KWV72" s="97"/>
      <c r="KWW72" s="97"/>
      <c r="KWX72" s="97"/>
      <c r="KWY72" s="97"/>
      <c r="KWZ72" s="97"/>
      <c r="KXA72" s="97"/>
      <c r="KXB72" s="97"/>
      <c r="KXC72" s="97"/>
      <c r="KXD72" s="97"/>
      <c r="KXE72" s="97"/>
      <c r="KXF72" s="97"/>
      <c r="KXG72" s="97"/>
      <c r="KXH72" s="97"/>
      <c r="KXI72" s="97"/>
      <c r="KXJ72" s="97"/>
      <c r="KXK72" s="97"/>
      <c r="KXL72" s="97"/>
      <c r="KXM72" s="97"/>
      <c r="KXN72" s="97"/>
      <c r="KXO72" s="97"/>
      <c r="KXP72" s="97"/>
      <c r="KXQ72" s="97"/>
      <c r="KXR72" s="97"/>
      <c r="KXS72" s="97"/>
      <c r="KXT72" s="97"/>
      <c r="KXU72" s="97"/>
      <c r="KXV72" s="97"/>
      <c r="KXW72" s="97"/>
      <c r="KXX72" s="97"/>
      <c r="KXY72" s="97"/>
      <c r="KXZ72" s="97"/>
      <c r="KYA72" s="97"/>
      <c r="KYB72" s="97"/>
      <c r="KYC72" s="97"/>
      <c r="KYD72" s="97"/>
      <c r="KYE72" s="97"/>
      <c r="KYF72" s="97"/>
      <c r="KYG72" s="97"/>
      <c r="KYH72" s="97"/>
      <c r="KYI72" s="97"/>
      <c r="KYJ72" s="97"/>
      <c r="KYK72" s="97"/>
      <c r="KYL72" s="97"/>
      <c r="KYM72" s="97"/>
      <c r="KYN72" s="97"/>
      <c r="KYO72" s="97"/>
      <c r="KYP72" s="97"/>
      <c r="KYQ72" s="97"/>
      <c r="KYR72" s="97"/>
      <c r="KYS72" s="97"/>
      <c r="KYT72" s="97"/>
      <c r="KYU72" s="97"/>
      <c r="KYV72" s="97"/>
      <c r="KYW72" s="97"/>
      <c r="KYX72" s="97"/>
      <c r="KYY72" s="97"/>
      <c r="KYZ72" s="97"/>
      <c r="KZA72" s="97"/>
      <c r="KZB72" s="97"/>
      <c r="KZC72" s="97"/>
      <c r="KZD72" s="97"/>
      <c r="KZE72" s="97"/>
      <c r="KZF72" s="97"/>
      <c r="KZG72" s="97"/>
      <c r="KZH72" s="97"/>
      <c r="KZI72" s="97"/>
      <c r="KZJ72" s="97"/>
      <c r="KZK72" s="97"/>
      <c r="KZL72" s="97"/>
      <c r="KZM72" s="97"/>
      <c r="KZN72" s="97"/>
      <c r="KZO72" s="97"/>
      <c r="KZP72" s="97"/>
      <c r="KZQ72" s="97"/>
      <c r="KZR72" s="97"/>
      <c r="KZS72" s="97"/>
      <c r="KZT72" s="97"/>
      <c r="KZU72" s="97"/>
      <c r="KZV72" s="97"/>
      <c r="KZW72" s="97"/>
      <c r="KZX72" s="97"/>
      <c r="KZY72" s="97"/>
      <c r="KZZ72" s="97"/>
      <c r="LAA72" s="97"/>
      <c r="LAB72" s="97"/>
      <c r="LAC72" s="97"/>
      <c r="LAD72" s="97"/>
      <c r="LAE72" s="97"/>
      <c r="LAF72" s="97"/>
      <c r="LAG72" s="97"/>
      <c r="LAH72" s="97"/>
      <c r="LAI72" s="97"/>
      <c r="LAJ72" s="97"/>
      <c r="LAK72" s="97"/>
      <c r="LAL72" s="97"/>
      <c r="LAM72" s="97"/>
      <c r="LAN72" s="97"/>
      <c r="LAO72" s="97"/>
      <c r="LAP72" s="97"/>
      <c r="LAQ72" s="97"/>
      <c r="LAR72" s="97"/>
      <c r="LAS72" s="97"/>
      <c r="LAT72" s="97"/>
      <c r="LAU72" s="97"/>
      <c r="LAV72" s="97"/>
      <c r="LAW72" s="97"/>
      <c r="LAX72" s="97"/>
      <c r="LAY72" s="97"/>
      <c r="LAZ72" s="97"/>
      <c r="LBA72" s="97"/>
      <c r="LBB72" s="97"/>
      <c r="LBC72" s="97"/>
      <c r="LBD72" s="97"/>
      <c r="LBE72" s="97"/>
      <c r="LBF72" s="97"/>
      <c r="LBG72" s="97"/>
      <c r="LBH72" s="97"/>
      <c r="LBI72" s="97"/>
      <c r="LBJ72" s="97"/>
      <c r="LBK72" s="97"/>
      <c r="LBL72" s="97"/>
      <c r="LBM72" s="97"/>
      <c r="LBN72" s="97"/>
      <c r="LBO72" s="97"/>
      <c r="LBP72" s="97"/>
      <c r="LBQ72" s="97"/>
      <c r="LBR72" s="97"/>
      <c r="LBS72" s="97"/>
      <c r="LBT72" s="97"/>
      <c r="LBU72" s="97"/>
      <c r="LBV72" s="97"/>
      <c r="LBW72" s="97"/>
      <c r="LBX72" s="97"/>
      <c r="LBY72" s="97"/>
      <c r="LBZ72" s="97"/>
      <c r="LCA72" s="97"/>
      <c r="LCB72" s="97"/>
      <c r="LCC72" s="97"/>
      <c r="LCD72" s="97"/>
      <c r="LCE72" s="97"/>
      <c r="LCF72" s="97"/>
      <c r="LCG72" s="97"/>
      <c r="LCH72" s="97"/>
      <c r="LCI72" s="97"/>
      <c r="LCJ72" s="97"/>
      <c r="LCK72" s="97"/>
      <c r="LCL72" s="97"/>
      <c r="LCM72" s="97"/>
      <c r="LCN72" s="97"/>
      <c r="LCO72" s="97"/>
      <c r="LCP72" s="97"/>
      <c r="LCQ72" s="97"/>
      <c r="LCR72" s="97"/>
      <c r="LCS72" s="97"/>
      <c r="LCT72" s="97"/>
      <c r="LCU72" s="97"/>
      <c r="LCV72" s="97"/>
      <c r="LCW72" s="97"/>
      <c r="LCX72" s="97"/>
      <c r="LCY72" s="97"/>
      <c r="LCZ72" s="97"/>
      <c r="LDA72" s="97"/>
      <c r="LDB72" s="97"/>
      <c r="LDC72" s="97"/>
      <c r="LDD72" s="97"/>
      <c r="LDE72" s="97"/>
      <c r="LDF72" s="97"/>
      <c r="LDG72" s="97"/>
      <c r="LDH72" s="97"/>
      <c r="LDI72" s="97"/>
      <c r="LDJ72" s="97"/>
      <c r="LDK72" s="97"/>
      <c r="LDL72" s="97"/>
      <c r="LDM72" s="97"/>
      <c r="LDN72" s="97"/>
      <c r="LDO72" s="97"/>
      <c r="LDP72" s="97"/>
      <c r="LDQ72" s="97"/>
      <c r="LDR72" s="97"/>
      <c r="LDS72" s="97"/>
      <c r="LDT72" s="97"/>
      <c r="LDU72" s="97"/>
      <c r="LDV72" s="97"/>
      <c r="LDW72" s="97"/>
      <c r="LDX72" s="97"/>
      <c r="LDY72" s="97"/>
      <c r="LDZ72" s="97"/>
      <c r="LEA72" s="97"/>
      <c r="LEB72" s="97"/>
      <c r="LEC72" s="97"/>
      <c r="LED72" s="97"/>
      <c r="LEE72" s="97"/>
      <c r="LEF72" s="97"/>
      <c r="LEG72" s="97"/>
      <c r="LEH72" s="97"/>
      <c r="LEI72" s="97"/>
      <c r="LEJ72" s="97"/>
      <c r="LEK72" s="97"/>
      <c r="LEL72" s="97"/>
      <c r="LEM72" s="97"/>
      <c r="LEN72" s="97"/>
      <c r="LEO72" s="97"/>
      <c r="LEP72" s="97"/>
      <c r="LEQ72" s="97"/>
      <c r="LER72" s="97"/>
      <c r="LES72" s="97"/>
      <c r="LET72" s="97"/>
      <c r="LEU72" s="97"/>
      <c r="LEV72" s="97"/>
      <c r="LEW72" s="97"/>
      <c r="LEX72" s="97"/>
      <c r="LEY72" s="97"/>
      <c r="LEZ72" s="97"/>
      <c r="LFA72" s="97"/>
      <c r="LFB72" s="97"/>
      <c r="LFC72" s="97"/>
      <c r="LFD72" s="97"/>
      <c r="LFE72" s="97"/>
      <c r="LFF72" s="97"/>
      <c r="LFG72" s="97"/>
      <c r="LFH72" s="97"/>
      <c r="LFI72" s="97"/>
      <c r="LFJ72" s="97"/>
      <c r="LFK72" s="97"/>
      <c r="LFL72" s="97"/>
      <c r="LFM72" s="97"/>
      <c r="LFN72" s="97"/>
      <c r="LFO72" s="97"/>
      <c r="LFP72" s="97"/>
      <c r="LFQ72" s="97"/>
      <c r="LFR72" s="97"/>
      <c r="LFS72" s="97"/>
      <c r="LFT72" s="97"/>
      <c r="LFU72" s="97"/>
      <c r="LFV72" s="97"/>
      <c r="LFW72" s="97"/>
      <c r="LFX72" s="97"/>
      <c r="LFY72" s="97"/>
      <c r="LFZ72" s="97"/>
      <c r="LGA72" s="97"/>
      <c r="LGB72" s="97"/>
      <c r="LGC72" s="97"/>
      <c r="LGD72" s="97"/>
      <c r="LGE72" s="97"/>
      <c r="LGF72" s="97"/>
      <c r="LGG72" s="97"/>
      <c r="LGH72" s="97"/>
      <c r="LGI72" s="97"/>
      <c r="LGJ72" s="97"/>
      <c r="LGK72" s="97"/>
      <c r="LGL72" s="97"/>
      <c r="LGM72" s="97"/>
      <c r="LGN72" s="97"/>
      <c r="LGO72" s="97"/>
      <c r="LGP72" s="97"/>
      <c r="LGQ72" s="97"/>
      <c r="LGR72" s="97"/>
      <c r="LGS72" s="97"/>
      <c r="LGT72" s="97"/>
      <c r="LGU72" s="97"/>
      <c r="LGV72" s="97"/>
      <c r="LGW72" s="97"/>
      <c r="LGX72" s="97"/>
      <c r="LGY72" s="97"/>
      <c r="LGZ72" s="97"/>
      <c r="LHA72" s="97"/>
      <c r="LHB72" s="97"/>
      <c r="LHC72" s="97"/>
      <c r="LHD72" s="97"/>
      <c r="LHE72" s="97"/>
      <c r="LHF72" s="97"/>
      <c r="LHG72" s="97"/>
      <c r="LHH72" s="97"/>
      <c r="LHI72" s="97"/>
      <c r="LHJ72" s="97"/>
      <c r="LHK72" s="97"/>
      <c r="LHL72" s="97"/>
      <c r="LHM72" s="97"/>
      <c r="LHN72" s="97"/>
      <c r="LHO72" s="97"/>
      <c r="LHP72" s="97"/>
      <c r="LHQ72" s="97"/>
      <c r="LHR72" s="97"/>
      <c r="LHS72" s="97"/>
      <c r="LHT72" s="97"/>
      <c r="LHU72" s="97"/>
      <c r="LHV72" s="97"/>
      <c r="LHW72" s="97"/>
      <c r="LHX72" s="97"/>
      <c r="LHY72" s="97"/>
      <c r="LHZ72" s="97"/>
      <c r="LIA72" s="97"/>
      <c r="LIB72" s="97"/>
      <c r="LIC72" s="97"/>
      <c r="LID72" s="97"/>
      <c r="LIE72" s="97"/>
      <c r="LIF72" s="97"/>
      <c r="LIG72" s="97"/>
      <c r="LIH72" s="97"/>
      <c r="LII72" s="97"/>
      <c r="LIJ72" s="97"/>
      <c r="LIK72" s="97"/>
      <c r="LIL72" s="97"/>
      <c r="LIM72" s="97"/>
      <c r="LIN72" s="97"/>
      <c r="LIO72" s="97"/>
      <c r="LIP72" s="97"/>
      <c r="LIQ72" s="97"/>
      <c r="LIR72" s="97"/>
      <c r="LIS72" s="97"/>
      <c r="LIT72" s="97"/>
      <c r="LIU72" s="97"/>
      <c r="LIV72" s="97"/>
      <c r="LIW72" s="97"/>
      <c r="LIX72" s="97"/>
      <c r="LIY72" s="97"/>
      <c r="LIZ72" s="97"/>
      <c r="LJA72" s="97"/>
      <c r="LJB72" s="97"/>
      <c r="LJC72" s="97"/>
      <c r="LJD72" s="97"/>
      <c r="LJE72" s="97"/>
      <c r="LJF72" s="97"/>
      <c r="LJG72" s="97"/>
      <c r="LJH72" s="97"/>
      <c r="LJI72" s="97"/>
      <c r="LJJ72" s="97"/>
      <c r="LJK72" s="97"/>
      <c r="LJL72" s="97"/>
      <c r="LJM72" s="97"/>
      <c r="LJN72" s="97"/>
      <c r="LJO72" s="97"/>
      <c r="LJP72" s="97"/>
      <c r="LJQ72" s="97"/>
      <c r="LJR72" s="97"/>
      <c r="LJS72" s="97"/>
      <c r="LJT72" s="97"/>
      <c r="LJU72" s="97"/>
      <c r="LJV72" s="97"/>
      <c r="LJW72" s="97"/>
      <c r="LJX72" s="97"/>
      <c r="LJY72" s="97"/>
      <c r="LJZ72" s="97"/>
      <c r="LKA72" s="97"/>
      <c r="LKB72" s="97"/>
      <c r="LKC72" s="97"/>
      <c r="LKD72" s="97"/>
      <c r="LKE72" s="97"/>
      <c r="LKF72" s="97"/>
      <c r="LKG72" s="97"/>
      <c r="LKH72" s="97"/>
      <c r="LKI72" s="97"/>
      <c r="LKJ72" s="97"/>
      <c r="LKK72" s="97"/>
      <c r="LKL72" s="97"/>
      <c r="LKM72" s="97"/>
      <c r="LKN72" s="97"/>
      <c r="LKO72" s="97"/>
      <c r="LKP72" s="97"/>
      <c r="LKQ72" s="97"/>
      <c r="LKR72" s="97"/>
      <c r="LKS72" s="97"/>
      <c r="LKT72" s="97"/>
      <c r="LKU72" s="97"/>
      <c r="LKV72" s="97"/>
      <c r="LKW72" s="97"/>
      <c r="LKX72" s="97"/>
      <c r="LKY72" s="97"/>
      <c r="LKZ72" s="97"/>
      <c r="LLA72" s="97"/>
      <c r="LLB72" s="97"/>
      <c r="LLC72" s="97"/>
      <c r="LLD72" s="97"/>
      <c r="LLE72" s="97"/>
      <c r="LLF72" s="97"/>
      <c r="LLG72" s="97"/>
      <c r="LLH72" s="97"/>
      <c r="LLI72" s="97"/>
      <c r="LLJ72" s="97"/>
      <c r="LLK72" s="97"/>
      <c r="LLL72" s="97"/>
      <c r="LLM72" s="97"/>
      <c r="LLN72" s="97"/>
      <c r="LLO72" s="97"/>
      <c r="LLP72" s="97"/>
      <c r="LLQ72" s="97"/>
      <c r="LLR72" s="97"/>
      <c r="LLS72" s="97"/>
      <c r="LLT72" s="97"/>
      <c r="LLU72" s="97"/>
      <c r="LLV72" s="97"/>
      <c r="LLW72" s="97"/>
      <c r="LLX72" s="97"/>
      <c r="LLY72" s="97"/>
      <c r="LLZ72" s="97"/>
      <c r="LMA72" s="97"/>
      <c r="LMB72" s="97"/>
      <c r="LMC72" s="97"/>
      <c r="LMD72" s="97"/>
      <c r="LME72" s="97"/>
      <c r="LMF72" s="97"/>
      <c r="LMG72" s="97"/>
      <c r="LMH72" s="97"/>
      <c r="LMI72" s="97"/>
      <c r="LMJ72" s="97"/>
      <c r="LMK72" s="97"/>
      <c r="LML72" s="97"/>
      <c r="LMM72" s="97"/>
      <c r="LMN72" s="97"/>
      <c r="LMO72" s="97"/>
      <c r="LMP72" s="97"/>
      <c r="LMQ72" s="97"/>
      <c r="LMR72" s="97"/>
      <c r="LMS72" s="97"/>
      <c r="LMT72" s="97"/>
      <c r="LMU72" s="97"/>
      <c r="LMV72" s="97"/>
      <c r="LMW72" s="97"/>
      <c r="LMX72" s="97"/>
      <c r="LMY72" s="97"/>
      <c r="LMZ72" s="97"/>
      <c r="LNA72" s="97"/>
      <c r="LNB72" s="97"/>
      <c r="LNC72" s="97"/>
      <c r="LND72" s="97"/>
      <c r="LNE72" s="97"/>
      <c r="LNF72" s="97"/>
      <c r="LNG72" s="97"/>
      <c r="LNH72" s="97"/>
      <c r="LNI72" s="97"/>
      <c r="LNJ72" s="97"/>
      <c r="LNK72" s="97"/>
      <c r="LNL72" s="97"/>
      <c r="LNM72" s="97"/>
      <c r="LNN72" s="97"/>
      <c r="LNO72" s="97"/>
      <c r="LNP72" s="97"/>
      <c r="LNQ72" s="97"/>
      <c r="LNR72" s="97"/>
      <c r="LNS72" s="97"/>
      <c r="LNT72" s="97"/>
      <c r="LNU72" s="97"/>
      <c r="LNV72" s="97"/>
      <c r="LNW72" s="97"/>
      <c r="LNX72" s="97"/>
      <c r="LNY72" s="97"/>
      <c r="LNZ72" s="97"/>
      <c r="LOA72" s="97"/>
      <c r="LOB72" s="97"/>
      <c r="LOC72" s="97"/>
      <c r="LOD72" s="97"/>
      <c r="LOE72" s="97"/>
      <c r="LOF72" s="97"/>
      <c r="LOG72" s="97"/>
      <c r="LOH72" s="97"/>
      <c r="LOI72" s="97"/>
      <c r="LOJ72" s="97"/>
      <c r="LOK72" s="97"/>
      <c r="LOL72" s="97"/>
      <c r="LOM72" s="97"/>
      <c r="LON72" s="97"/>
      <c r="LOO72" s="97"/>
      <c r="LOP72" s="97"/>
      <c r="LOQ72" s="97"/>
      <c r="LOR72" s="97"/>
      <c r="LOS72" s="97"/>
      <c r="LOT72" s="97"/>
      <c r="LOU72" s="97"/>
      <c r="LOV72" s="97"/>
      <c r="LOW72" s="97"/>
      <c r="LOX72" s="97"/>
      <c r="LOY72" s="97"/>
      <c r="LOZ72" s="97"/>
      <c r="LPA72" s="97"/>
      <c r="LPB72" s="97"/>
      <c r="LPC72" s="97"/>
      <c r="LPD72" s="97"/>
      <c r="LPE72" s="97"/>
      <c r="LPF72" s="97"/>
      <c r="LPG72" s="97"/>
      <c r="LPH72" s="97"/>
      <c r="LPI72" s="97"/>
      <c r="LPJ72" s="97"/>
      <c r="LPK72" s="97"/>
      <c r="LPL72" s="97"/>
      <c r="LPM72" s="97"/>
      <c r="LPN72" s="97"/>
      <c r="LPO72" s="97"/>
      <c r="LPP72" s="97"/>
      <c r="LPQ72" s="97"/>
      <c r="LPR72" s="97"/>
      <c r="LPS72" s="97"/>
      <c r="LPT72" s="97"/>
      <c r="LPU72" s="97"/>
      <c r="LPV72" s="97"/>
      <c r="LPW72" s="97"/>
      <c r="LPX72" s="97"/>
      <c r="LPY72" s="97"/>
      <c r="LPZ72" s="97"/>
      <c r="LQA72" s="97"/>
      <c r="LQB72" s="97"/>
      <c r="LQC72" s="97"/>
      <c r="LQD72" s="97"/>
      <c r="LQE72" s="97"/>
      <c r="LQF72" s="97"/>
      <c r="LQG72" s="97"/>
      <c r="LQH72" s="97"/>
      <c r="LQI72" s="97"/>
      <c r="LQJ72" s="97"/>
      <c r="LQK72" s="97"/>
      <c r="LQL72" s="97"/>
      <c r="LQM72" s="97"/>
      <c r="LQN72" s="97"/>
      <c r="LQO72" s="97"/>
      <c r="LQP72" s="97"/>
      <c r="LQQ72" s="97"/>
      <c r="LQR72" s="97"/>
      <c r="LQS72" s="97"/>
      <c r="LQT72" s="97"/>
      <c r="LQU72" s="97"/>
      <c r="LQV72" s="97"/>
      <c r="LQW72" s="97"/>
      <c r="LQX72" s="97"/>
      <c r="LQY72" s="97"/>
      <c r="LQZ72" s="97"/>
      <c r="LRA72" s="97"/>
      <c r="LRB72" s="97"/>
      <c r="LRC72" s="97"/>
      <c r="LRD72" s="97"/>
      <c r="LRE72" s="97"/>
      <c r="LRF72" s="97"/>
      <c r="LRG72" s="97"/>
      <c r="LRH72" s="97"/>
      <c r="LRI72" s="97"/>
      <c r="LRJ72" s="97"/>
      <c r="LRK72" s="97"/>
      <c r="LRL72" s="97"/>
      <c r="LRM72" s="97"/>
      <c r="LRN72" s="97"/>
      <c r="LRO72" s="97"/>
      <c r="LRP72" s="97"/>
      <c r="LRQ72" s="97"/>
      <c r="LRR72" s="97"/>
      <c r="LRS72" s="97"/>
      <c r="LRT72" s="97"/>
      <c r="LRU72" s="97"/>
      <c r="LRV72" s="97"/>
      <c r="LRW72" s="97"/>
      <c r="LRX72" s="97"/>
      <c r="LRY72" s="97"/>
      <c r="LRZ72" s="97"/>
      <c r="LSA72" s="97"/>
      <c r="LSB72" s="97"/>
      <c r="LSC72" s="97"/>
      <c r="LSD72" s="97"/>
      <c r="LSE72" s="97"/>
      <c r="LSF72" s="97"/>
      <c r="LSG72" s="97"/>
      <c r="LSH72" s="97"/>
      <c r="LSI72" s="97"/>
      <c r="LSJ72" s="97"/>
      <c r="LSK72" s="97"/>
      <c r="LSL72" s="97"/>
      <c r="LSM72" s="97"/>
      <c r="LSN72" s="97"/>
      <c r="LSO72" s="97"/>
      <c r="LSP72" s="97"/>
      <c r="LSQ72" s="97"/>
      <c r="LSR72" s="97"/>
      <c r="LSS72" s="97"/>
      <c r="LST72" s="97"/>
      <c r="LSU72" s="97"/>
      <c r="LSV72" s="97"/>
      <c r="LSW72" s="97"/>
      <c r="LSX72" s="97"/>
      <c r="LSY72" s="97"/>
      <c r="LSZ72" s="97"/>
      <c r="LTA72" s="97"/>
      <c r="LTB72" s="97"/>
      <c r="LTC72" s="97"/>
      <c r="LTD72" s="97"/>
      <c r="LTE72" s="97"/>
      <c r="LTF72" s="97"/>
      <c r="LTG72" s="97"/>
      <c r="LTH72" s="97"/>
      <c r="LTI72" s="97"/>
      <c r="LTJ72" s="97"/>
      <c r="LTK72" s="97"/>
      <c r="LTL72" s="97"/>
      <c r="LTM72" s="97"/>
      <c r="LTN72" s="97"/>
      <c r="LTO72" s="97"/>
      <c r="LTP72" s="97"/>
      <c r="LTQ72" s="97"/>
      <c r="LTR72" s="97"/>
      <c r="LTS72" s="97"/>
      <c r="LTT72" s="97"/>
      <c r="LTU72" s="97"/>
      <c r="LTV72" s="97"/>
      <c r="LTW72" s="97"/>
      <c r="LTX72" s="97"/>
      <c r="LTY72" s="97"/>
      <c r="LTZ72" s="97"/>
      <c r="LUA72" s="97"/>
      <c r="LUB72" s="97"/>
      <c r="LUC72" s="97"/>
      <c r="LUD72" s="97"/>
      <c r="LUE72" s="97"/>
      <c r="LUF72" s="97"/>
      <c r="LUG72" s="97"/>
      <c r="LUH72" s="97"/>
      <c r="LUI72" s="97"/>
      <c r="LUJ72" s="97"/>
      <c r="LUK72" s="97"/>
      <c r="LUL72" s="97"/>
      <c r="LUM72" s="97"/>
      <c r="LUN72" s="97"/>
      <c r="LUO72" s="97"/>
      <c r="LUP72" s="97"/>
      <c r="LUQ72" s="97"/>
      <c r="LUR72" s="97"/>
      <c r="LUS72" s="97"/>
      <c r="LUT72" s="97"/>
      <c r="LUU72" s="97"/>
      <c r="LUV72" s="97"/>
      <c r="LUW72" s="97"/>
      <c r="LUX72" s="97"/>
      <c r="LUY72" s="97"/>
      <c r="LUZ72" s="97"/>
      <c r="LVA72" s="97"/>
      <c r="LVB72" s="97"/>
      <c r="LVC72" s="97"/>
      <c r="LVD72" s="97"/>
      <c r="LVE72" s="97"/>
      <c r="LVF72" s="97"/>
      <c r="LVG72" s="97"/>
      <c r="LVH72" s="97"/>
      <c r="LVI72" s="97"/>
      <c r="LVJ72" s="97"/>
      <c r="LVK72" s="97"/>
      <c r="LVL72" s="97"/>
      <c r="LVM72" s="97"/>
      <c r="LVN72" s="97"/>
      <c r="LVO72" s="97"/>
      <c r="LVP72" s="97"/>
      <c r="LVQ72" s="97"/>
      <c r="LVR72" s="97"/>
      <c r="LVS72" s="97"/>
      <c r="LVT72" s="97"/>
      <c r="LVU72" s="97"/>
      <c r="LVV72" s="97"/>
      <c r="LVW72" s="97"/>
      <c r="LVX72" s="97"/>
      <c r="LVY72" s="97"/>
      <c r="LVZ72" s="97"/>
      <c r="LWA72" s="97"/>
      <c r="LWB72" s="97"/>
      <c r="LWC72" s="97"/>
      <c r="LWD72" s="97"/>
      <c r="LWE72" s="97"/>
      <c r="LWF72" s="97"/>
      <c r="LWG72" s="97"/>
      <c r="LWH72" s="97"/>
      <c r="LWI72" s="97"/>
      <c r="LWJ72" s="97"/>
      <c r="LWK72" s="97"/>
      <c r="LWL72" s="97"/>
      <c r="LWM72" s="97"/>
      <c r="LWN72" s="97"/>
      <c r="LWO72" s="97"/>
      <c r="LWP72" s="97"/>
      <c r="LWQ72" s="97"/>
      <c r="LWR72" s="97"/>
      <c r="LWS72" s="97"/>
      <c r="LWT72" s="97"/>
      <c r="LWU72" s="97"/>
      <c r="LWV72" s="97"/>
      <c r="LWW72" s="97"/>
      <c r="LWX72" s="97"/>
      <c r="LWY72" s="97"/>
      <c r="LWZ72" s="97"/>
      <c r="LXA72" s="97"/>
      <c r="LXB72" s="97"/>
      <c r="LXC72" s="97"/>
      <c r="LXD72" s="97"/>
      <c r="LXE72" s="97"/>
      <c r="LXF72" s="97"/>
      <c r="LXG72" s="97"/>
      <c r="LXH72" s="97"/>
      <c r="LXI72" s="97"/>
      <c r="LXJ72" s="97"/>
      <c r="LXK72" s="97"/>
      <c r="LXL72" s="97"/>
      <c r="LXM72" s="97"/>
      <c r="LXN72" s="97"/>
      <c r="LXO72" s="97"/>
      <c r="LXP72" s="97"/>
      <c r="LXQ72" s="97"/>
      <c r="LXR72" s="97"/>
      <c r="LXS72" s="97"/>
      <c r="LXT72" s="97"/>
      <c r="LXU72" s="97"/>
      <c r="LXV72" s="97"/>
      <c r="LXW72" s="97"/>
      <c r="LXX72" s="97"/>
      <c r="LXY72" s="97"/>
      <c r="LXZ72" s="97"/>
      <c r="LYA72" s="97"/>
      <c r="LYB72" s="97"/>
      <c r="LYC72" s="97"/>
      <c r="LYD72" s="97"/>
      <c r="LYE72" s="97"/>
      <c r="LYF72" s="97"/>
      <c r="LYG72" s="97"/>
      <c r="LYH72" s="97"/>
      <c r="LYI72" s="97"/>
      <c r="LYJ72" s="97"/>
      <c r="LYK72" s="97"/>
      <c r="LYL72" s="97"/>
      <c r="LYM72" s="97"/>
      <c r="LYN72" s="97"/>
      <c r="LYO72" s="97"/>
      <c r="LYP72" s="97"/>
      <c r="LYQ72" s="97"/>
      <c r="LYR72" s="97"/>
      <c r="LYS72" s="97"/>
      <c r="LYT72" s="97"/>
      <c r="LYU72" s="97"/>
      <c r="LYV72" s="97"/>
      <c r="LYW72" s="97"/>
      <c r="LYX72" s="97"/>
      <c r="LYY72" s="97"/>
      <c r="LYZ72" s="97"/>
      <c r="LZA72" s="97"/>
      <c r="LZB72" s="97"/>
      <c r="LZC72" s="97"/>
      <c r="LZD72" s="97"/>
      <c r="LZE72" s="97"/>
      <c r="LZF72" s="97"/>
      <c r="LZG72" s="97"/>
      <c r="LZH72" s="97"/>
      <c r="LZI72" s="97"/>
      <c r="LZJ72" s="97"/>
      <c r="LZK72" s="97"/>
      <c r="LZL72" s="97"/>
      <c r="LZM72" s="97"/>
      <c r="LZN72" s="97"/>
      <c r="LZO72" s="97"/>
      <c r="LZP72" s="97"/>
      <c r="LZQ72" s="97"/>
      <c r="LZR72" s="97"/>
      <c r="LZS72" s="97"/>
      <c r="LZT72" s="97"/>
      <c r="LZU72" s="97"/>
      <c r="LZV72" s="97"/>
      <c r="LZW72" s="97"/>
      <c r="LZX72" s="97"/>
      <c r="LZY72" s="97"/>
      <c r="LZZ72" s="97"/>
      <c r="MAA72" s="97"/>
      <c r="MAB72" s="97"/>
      <c r="MAC72" s="97"/>
      <c r="MAD72" s="97"/>
      <c r="MAE72" s="97"/>
      <c r="MAF72" s="97"/>
      <c r="MAG72" s="97"/>
      <c r="MAH72" s="97"/>
      <c r="MAI72" s="97"/>
      <c r="MAJ72" s="97"/>
      <c r="MAK72" s="97"/>
      <c r="MAL72" s="97"/>
      <c r="MAM72" s="97"/>
      <c r="MAN72" s="97"/>
      <c r="MAO72" s="97"/>
      <c r="MAP72" s="97"/>
      <c r="MAQ72" s="97"/>
      <c r="MAR72" s="97"/>
      <c r="MAS72" s="97"/>
      <c r="MAT72" s="97"/>
      <c r="MAU72" s="97"/>
      <c r="MAV72" s="97"/>
      <c r="MAW72" s="97"/>
      <c r="MAX72" s="97"/>
      <c r="MAY72" s="97"/>
      <c r="MAZ72" s="97"/>
      <c r="MBA72" s="97"/>
      <c r="MBB72" s="97"/>
      <c r="MBC72" s="97"/>
      <c r="MBD72" s="97"/>
      <c r="MBE72" s="97"/>
      <c r="MBF72" s="97"/>
      <c r="MBG72" s="97"/>
      <c r="MBH72" s="97"/>
      <c r="MBI72" s="97"/>
      <c r="MBJ72" s="97"/>
      <c r="MBK72" s="97"/>
      <c r="MBL72" s="97"/>
      <c r="MBM72" s="97"/>
      <c r="MBN72" s="97"/>
      <c r="MBO72" s="97"/>
      <c r="MBP72" s="97"/>
      <c r="MBQ72" s="97"/>
      <c r="MBR72" s="97"/>
      <c r="MBS72" s="97"/>
      <c r="MBT72" s="97"/>
      <c r="MBU72" s="97"/>
      <c r="MBV72" s="97"/>
      <c r="MBW72" s="97"/>
      <c r="MBX72" s="97"/>
      <c r="MBY72" s="97"/>
      <c r="MBZ72" s="97"/>
      <c r="MCA72" s="97"/>
      <c r="MCB72" s="97"/>
      <c r="MCC72" s="97"/>
      <c r="MCD72" s="97"/>
      <c r="MCE72" s="97"/>
      <c r="MCF72" s="97"/>
      <c r="MCG72" s="97"/>
      <c r="MCH72" s="97"/>
      <c r="MCI72" s="97"/>
      <c r="MCJ72" s="97"/>
      <c r="MCK72" s="97"/>
      <c r="MCL72" s="97"/>
      <c r="MCM72" s="97"/>
      <c r="MCN72" s="97"/>
      <c r="MCO72" s="97"/>
      <c r="MCP72" s="97"/>
      <c r="MCQ72" s="97"/>
      <c r="MCR72" s="97"/>
      <c r="MCS72" s="97"/>
      <c r="MCT72" s="97"/>
      <c r="MCU72" s="97"/>
      <c r="MCV72" s="97"/>
      <c r="MCW72" s="97"/>
      <c r="MCX72" s="97"/>
      <c r="MCY72" s="97"/>
      <c r="MCZ72" s="97"/>
      <c r="MDA72" s="97"/>
      <c r="MDB72" s="97"/>
      <c r="MDC72" s="97"/>
      <c r="MDD72" s="97"/>
      <c r="MDE72" s="97"/>
      <c r="MDF72" s="97"/>
      <c r="MDG72" s="97"/>
      <c r="MDH72" s="97"/>
      <c r="MDI72" s="97"/>
      <c r="MDJ72" s="97"/>
      <c r="MDK72" s="97"/>
      <c r="MDL72" s="97"/>
      <c r="MDM72" s="97"/>
      <c r="MDN72" s="97"/>
      <c r="MDO72" s="97"/>
      <c r="MDP72" s="97"/>
      <c r="MDQ72" s="97"/>
      <c r="MDR72" s="97"/>
      <c r="MDS72" s="97"/>
      <c r="MDT72" s="97"/>
      <c r="MDU72" s="97"/>
      <c r="MDV72" s="97"/>
      <c r="MDW72" s="97"/>
      <c r="MDX72" s="97"/>
      <c r="MDY72" s="97"/>
      <c r="MDZ72" s="97"/>
      <c r="MEA72" s="97"/>
      <c r="MEB72" s="97"/>
      <c r="MEC72" s="97"/>
      <c r="MED72" s="97"/>
      <c r="MEE72" s="97"/>
      <c r="MEF72" s="97"/>
      <c r="MEG72" s="97"/>
      <c r="MEH72" s="97"/>
      <c r="MEI72" s="97"/>
      <c r="MEJ72" s="97"/>
      <c r="MEK72" s="97"/>
      <c r="MEL72" s="97"/>
      <c r="MEM72" s="97"/>
      <c r="MEN72" s="97"/>
      <c r="MEO72" s="97"/>
      <c r="MEP72" s="97"/>
      <c r="MEQ72" s="97"/>
      <c r="MER72" s="97"/>
      <c r="MES72" s="97"/>
      <c r="MET72" s="97"/>
      <c r="MEU72" s="97"/>
      <c r="MEV72" s="97"/>
      <c r="MEW72" s="97"/>
      <c r="MEX72" s="97"/>
      <c r="MEY72" s="97"/>
      <c r="MEZ72" s="97"/>
      <c r="MFA72" s="97"/>
      <c r="MFB72" s="97"/>
      <c r="MFC72" s="97"/>
      <c r="MFD72" s="97"/>
      <c r="MFE72" s="97"/>
      <c r="MFF72" s="97"/>
      <c r="MFG72" s="97"/>
      <c r="MFH72" s="97"/>
      <c r="MFI72" s="97"/>
      <c r="MFJ72" s="97"/>
      <c r="MFK72" s="97"/>
      <c r="MFL72" s="97"/>
      <c r="MFM72" s="97"/>
      <c r="MFN72" s="97"/>
      <c r="MFO72" s="97"/>
      <c r="MFP72" s="97"/>
      <c r="MFQ72" s="97"/>
      <c r="MFR72" s="97"/>
      <c r="MFS72" s="97"/>
      <c r="MFT72" s="97"/>
      <c r="MFU72" s="97"/>
      <c r="MFV72" s="97"/>
      <c r="MFW72" s="97"/>
      <c r="MFX72" s="97"/>
      <c r="MFY72" s="97"/>
      <c r="MFZ72" s="97"/>
      <c r="MGA72" s="97"/>
      <c r="MGB72" s="97"/>
      <c r="MGC72" s="97"/>
      <c r="MGD72" s="97"/>
      <c r="MGE72" s="97"/>
      <c r="MGF72" s="97"/>
      <c r="MGG72" s="97"/>
      <c r="MGH72" s="97"/>
      <c r="MGI72" s="97"/>
      <c r="MGJ72" s="97"/>
      <c r="MGK72" s="97"/>
      <c r="MGL72" s="97"/>
      <c r="MGM72" s="97"/>
      <c r="MGN72" s="97"/>
      <c r="MGO72" s="97"/>
      <c r="MGP72" s="97"/>
      <c r="MGQ72" s="97"/>
      <c r="MGR72" s="97"/>
      <c r="MGS72" s="97"/>
      <c r="MGT72" s="97"/>
      <c r="MGU72" s="97"/>
      <c r="MGV72" s="97"/>
      <c r="MGW72" s="97"/>
      <c r="MGX72" s="97"/>
      <c r="MGY72" s="97"/>
      <c r="MGZ72" s="97"/>
      <c r="MHA72" s="97"/>
      <c r="MHB72" s="97"/>
      <c r="MHC72" s="97"/>
      <c r="MHD72" s="97"/>
      <c r="MHE72" s="97"/>
      <c r="MHF72" s="97"/>
      <c r="MHG72" s="97"/>
      <c r="MHH72" s="97"/>
      <c r="MHI72" s="97"/>
      <c r="MHJ72" s="97"/>
      <c r="MHK72" s="97"/>
      <c r="MHL72" s="97"/>
      <c r="MHM72" s="97"/>
      <c r="MHN72" s="97"/>
      <c r="MHO72" s="97"/>
      <c r="MHP72" s="97"/>
      <c r="MHQ72" s="97"/>
      <c r="MHR72" s="97"/>
      <c r="MHS72" s="97"/>
      <c r="MHT72" s="97"/>
      <c r="MHU72" s="97"/>
      <c r="MHV72" s="97"/>
      <c r="MHW72" s="97"/>
      <c r="MHX72" s="97"/>
      <c r="MHY72" s="97"/>
      <c r="MHZ72" s="97"/>
      <c r="MIA72" s="97"/>
      <c r="MIB72" s="97"/>
      <c r="MIC72" s="97"/>
      <c r="MID72" s="97"/>
      <c r="MIE72" s="97"/>
      <c r="MIF72" s="97"/>
      <c r="MIG72" s="97"/>
      <c r="MIH72" s="97"/>
      <c r="MII72" s="97"/>
      <c r="MIJ72" s="97"/>
      <c r="MIK72" s="97"/>
      <c r="MIL72" s="97"/>
      <c r="MIM72" s="97"/>
      <c r="MIN72" s="97"/>
      <c r="MIO72" s="97"/>
      <c r="MIP72" s="97"/>
      <c r="MIQ72" s="97"/>
      <c r="MIR72" s="97"/>
      <c r="MIS72" s="97"/>
      <c r="MIT72" s="97"/>
      <c r="MIU72" s="97"/>
      <c r="MIV72" s="97"/>
      <c r="MIW72" s="97"/>
      <c r="MIX72" s="97"/>
      <c r="MIY72" s="97"/>
      <c r="MIZ72" s="97"/>
      <c r="MJA72" s="97"/>
      <c r="MJB72" s="97"/>
      <c r="MJC72" s="97"/>
      <c r="MJD72" s="97"/>
      <c r="MJE72" s="97"/>
      <c r="MJF72" s="97"/>
      <c r="MJG72" s="97"/>
      <c r="MJH72" s="97"/>
      <c r="MJI72" s="97"/>
      <c r="MJJ72" s="97"/>
      <c r="MJK72" s="97"/>
      <c r="MJL72" s="97"/>
      <c r="MJM72" s="97"/>
      <c r="MJN72" s="97"/>
      <c r="MJO72" s="97"/>
      <c r="MJP72" s="97"/>
      <c r="MJQ72" s="97"/>
      <c r="MJR72" s="97"/>
      <c r="MJS72" s="97"/>
      <c r="MJT72" s="97"/>
      <c r="MJU72" s="97"/>
      <c r="MJV72" s="97"/>
      <c r="MJW72" s="97"/>
      <c r="MJX72" s="97"/>
      <c r="MJY72" s="97"/>
      <c r="MJZ72" s="97"/>
      <c r="MKA72" s="97"/>
      <c r="MKB72" s="97"/>
      <c r="MKC72" s="97"/>
      <c r="MKD72" s="97"/>
      <c r="MKE72" s="97"/>
      <c r="MKF72" s="97"/>
      <c r="MKG72" s="97"/>
      <c r="MKH72" s="97"/>
      <c r="MKI72" s="97"/>
      <c r="MKJ72" s="97"/>
      <c r="MKK72" s="97"/>
      <c r="MKL72" s="97"/>
      <c r="MKM72" s="97"/>
      <c r="MKN72" s="97"/>
      <c r="MKO72" s="97"/>
      <c r="MKP72" s="97"/>
      <c r="MKQ72" s="97"/>
      <c r="MKR72" s="97"/>
      <c r="MKS72" s="97"/>
      <c r="MKT72" s="97"/>
      <c r="MKU72" s="97"/>
      <c r="MKV72" s="97"/>
      <c r="MKW72" s="97"/>
      <c r="MKX72" s="97"/>
      <c r="MKY72" s="97"/>
      <c r="MKZ72" s="97"/>
      <c r="MLA72" s="97"/>
      <c r="MLB72" s="97"/>
      <c r="MLC72" s="97"/>
      <c r="MLD72" s="97"/>
      <c r="MLE72" s="97"/>
      <c r="MLF72" s="97"/>
      <c r="MLG72" s="97"/>
      <c r="MLH72" s="97"/>
      <c r="MLI72" s="97"/>
      <c r="MLJ72" s="97"/>
      <c r="MLK72" s="97"/>
      <c r="MLL72" s="97"/>
      <c r="MLM72" s="97"/>
      <c r="MLN72" s="97"/>
      <c r="MLO72" s="97"/>
      <c r="MLP72" s="97"/>
      <c r="MLQ72" s="97"/>
      <c r="MLR72" s="97"/>
      <c r="MLS72" s="97"/>
      <c r="MLT72" s="97"/>
      <c r="MLU72" s="97"/>
      <c r="MLV72" s="97"/>
      <c r="MLW72" s="97"/>
      <c r="MLX72" s="97"/>
      <c r="MLY72" s="97"/>
      <c r="MLZ72" s="97"/>
      <c r="MMA72" s="97"/>
      <c r="MMB72" s="97"/>
      <c r="MMC72" s="97"/>
      <c r="MMD72" s="97"/>
      <c r="MME72" s="97"/>
      <c r="MMF72" s="97"/>
      <c r="MMG72" s="97"/>
      <c r="MMH72" s="97"/>
      <c r="MMI72" s="97"/>
      <c r="MMJ72" s="97"/>
      <c r="MMK72" s="97"/>
      <c r="MML72" s="97"/>
      <c r="MMM72" s="97"/>
      <c r="MMN72" s="97"/>
      <c r="MMO72" s="97"/>
      <c r="MMP72" s="97"/>
      <c r="MMQ72" s="97"/>
      <c r="MMR72" s="97"/>
      <c r="MMS72" s="97"/>
      <c r="MMT72" s="97"/>
      <c r="MMU72" s="97"/>
      <c r="MMV72" s="97"/>
      <c r="MMW72" s="97"/>
      <c r="MMX72" s="97"/>
      <c r="MMY72" s="97"/>
      <c r="MMZ72" s="97"/>
      <c r="MNA72" s="97"/>
      <c r="MNB72" s="97"/>
      <c r="MNC72" s="97"/>
      <c r="MND72" s="97"/>
      <c r="MNE72" s="97"/>
      <c r="MNF72" s="97"/>
      <c r="MNG72" s="97"/>
      <c r="MNH72" s="97"/>
      <c r="MNI72" s="97"/>
      <c r="MNJ72" s="97"/>
      <c r="MNK72" s="97"/>
      <c r="MNL72" s="97"/>
      <c r="MNM72" s="97"/>
      <c r="MNN72" s="97"/>
      <c r="MNO72" s="97"/>
      <c r="MNP72" s="97"/>
      <c r="MNQ72" s="97"/>
      <c r="MNR72" s="97"/>
      <c r="MNS72" s="97"/>
      <c r="MNT72" s="97"/>
      <c r="MNU72" s="97"/>
      <c r="MNV72" s="97"/>
      <c r="MNW72" s="97"/>
      <c r="MNX72" s="97"/>
      <c r="MNY72" s="97"/>
      <c r="MNZ72" s="97"/>
      <c r="MOA72" s="97"/>
      <c r="MOB72" s="97"/>
      <c r="MOC72" s="97"/>
      <c r="MOD72" s="97"/>
      <c r="MOE72" s="97"/>
      <c r="MOF72" s="97"/>
      <c r="MOG72" s="97"/>
      <c r="MOH72" s="97"/>
      <c r="MOI72" s="97"/>
      <c r="MOJ72" s="97"/>
      <c r="MOK72" s="97"/>
      <c r="MOL72" s="97"/>
      <c r="MOM72" s="97"/>
      <c r="MON72" s="97"/>
      <c r="MOO72" s="97"/>
      <c r="MOP72" s="97"/>
      <c r="MOQ72" s="97"/>
      <c r="MOR72" s="97"/>
      <c r="MOS72" s="97"/>
      <c r="MOT72" s="97"/>
      <c r="MOU72" s="97"/>
      <c r="MOV72" s="97"/>
      <c r="MOW72" s="97"/>
      <c r="MOX72" s="97"/>
      <c r="MOY72" s="97"/>
      <c r="MOZ72" s="97"/>
      <c r="MPA72" s="97"/>
      <c r="MPB72" s="97"/>
      <c r="MPC72" s="97"/>
      <c r="MPD72" s="97"/>
      <c r="MPE72" s="97"/>
      <c r="MPF72" s="97"/>
      <c r="MPG72" s="97"/>
      <c r="MPH72" s="97"/>
      <c r="MPI72" s="97"/>
      <c r="MPJ72" s="97"/>
      <c r="MPK72" s="97"/>
      <c r="MPL72" s="97"/>
      <c r="MPM72" s="97"/>
      <c r="MPN72" s="97"/>
      <c r="MPO72" s="97"/>
      <c r="MPP72" s="97"/>
      <c r="MPQ72" s="97"/>
      <c r="MPR72" s="97"/>
      <c r="MPS72" s="97"/>
      <c r="MPT72" s="97"/>
      <c r="MPU72" s="97"/>
      <c r="MPV72" s="97"/>
      <c r="MPW72" s="97"/>
      <c r="MPX72" s="97"/>
      <c r="MPY72" s="97"/>
      <c r="MPZ72" s="97"/>
      <c r="MQA72" s="97"/>
      <c r="MQB72" s="97"/>
      <c r="MQC72" s="97"/>
      <c r="MQD72" s="97"/>
      <c r="MQE72" s="97"/>
      <c r="MQF72" s="97"/>
      <c r="MQG72" s="97"/>
      <c r="MQH72" s="97"/>
      <c r="MQI72" s="97"/>
      <c r="MQJ72" s="97"/>
      <c r="MQK72" s="97"/>
      <c r="MQL72" s="97"/>
      <c r="MQM72" s="97"/>
      <c r="MQN72" s="97"/>
      <c r="MQO72" s="97"/>
      <c r="MQP72" s="97"/>
      <c r="MQQ72" s="97"/>
      <c r="MQR72" s="97"/>
      <c r="MQS72" s="97"/>
      <c r="MQT72" s="97"/>
      <c r="MQU72" s="97"/>
      <c r="MQV72" s="97"/>
      <c r="MQW72" s="97"/>
      <c r="MQX72" s="97"/>
      <c r="MQY72" s="97"/>
      <c r="MQZ72" s="97"/>
      <c r="MRA72" s="97"/>
      <c r="MRB72" s="97"/>
      <c r="MRC72" s="97"/>
      <c r="MRD72" s="97"/>
      <c r="MRE72" s="97"/>
      <c r="MRF72" s="97"/>
      <c r="MRG72" s="97"/>
      <c r="MRH72" s="97"/>
      <c r="MRI72" s="97"/>
      <c r="MRJ72" s="97"/>
      <c r="MRK72" s="97"/>
      <c r="MRL72" s="97"/>
      <c r="MRM72" s="97"/>
      <c r="MRN72" s="97"/>
      <c r="MRO72" s="97"/>
      <c r="MRP72" s="97"/>
      <c r="MRQ72" s="97"/>
      <c r="MRR72" s="97"/>
      <c r="MRS72" s="97"/>
      <c r="MRT72" s="97"/>
      <c r="MRU72" s="97"/>
      <c r="MRV72" s="97"/>
      <c r="MRW72" s="97"/>
      <c r="MRX72" s="97"/>
      <c r="MRY72" s="97"/>
      <c r="MRZ72" s="97"/>
      <c r="MSA72" s="97"/>
      <c r="MSB72" s="97"/>
      <c r="MSC72" s="97"/>
      <c r="MSD72" s="97"/>
      <c r="MSE72" s="97"/>
      <c r="MSF72" s="97"/>
      <c r="MSG72" s="97"/>
      <c r="MSH72" s="97"/>
      <c r="MSI72" s="97"/>
      <c r="MSJ72" s="97"/>
      <c r="MSK72" s="97"/>
      <c r="MSL72" s="97"/>
      <c r="MSM72" s="97"/>
      <c r="MSN72" s="97"/>
      <c r="MSO72" s="97"/>
      <c r="MSP72" s="97"/>
      <c r="MSQ72" s="97"/>
      <c r="MSR72" s="97"/>
      <c r="MSS72" s="97"/>
      <c r="MST72" s="97"/>
      <c r="MSU72" s="97"/>
      <c r="MSV72" s="97"/>
      <c r="MSW72" s="97"/>
      <c r="MSX72" s="97"/>
      <c r="MSY72" s="97"/>
      <c r="MSZ72" s="97"/>
      <c r="MTA72" s="97"/>
      <c r="MTB72" s="97"/>
      <c r="MTC72" s="97"/>
      <c r="MTD72" s="97"/>
      <c r="MTE72" s="97"/>
      <c r="MTF72" s="97"/>
      <c r="MTG72" s="97"/>
      <c r="MTH72" s="97"/>
      <c r="MTI72" s="97"/>
      <c r="MTJ72" s="97"/>
      <c r="MTK72" s="97"/>
      <c r="MTL72" s="97"/>
      <c r="MTM72" s="97"/>
      <c r="MTN72" s="97"/>
      <c r="MTO72" s="97"/>
      <c r="MTP72" s="97"/>
      <c r="MTQ72" s="97"/>
      <c r="MTR72" s="97"/>
      <c r="MTS72" s="97"/>
      <c r="MTT72" s="97"/>
      <c r="MTU72" s="97"/>
      <c r="MTV72" s="97"/>
      <c r="MTW72" s="97"/>
      <c r="MTX72" s="97"/>
      <c r="MTY72" s="97"/>
      <c r="MTZ72" s="97"/>
      <c r="MUA72" s="97"/>
      <c r="MUB72" s="97"/>
      <c r="MUC72" s="97"/>
      <c r="MUD72" s="97"/>
      <c r="MUE72" s="97"/>
      <c r="MUF72" s="97"/>
      <c r="MUG72" s="97"/>
      <c r="MUH72" s="97"/>
      <c r="MUI72" s="97"/>
      <c r="MUJ72" s="97"/>
      <c r="MUK72" s="97"/>
      <c r="MUL72" s="97"/>
      <c r="MUM72" s="97"/>
      <c r="MUN72" s="97"/>
      <c r="MUO72" s="97"/>
      <c r="MUP72" s="97"/>
      <c r="MUQ72" s="97"/>
      <c r="MUR72" s="97"/>
      <c r="MUS72" s="97"/>
      <c r="MUT72" s="97"/>
      <c r="MUU72" s="97"/>
      <c r="MUV72" s="97"/>
      <c r="MUW72" s="97"/>
      <c r="MUX72" s="97"/>
      <c r="MUY72" s="97"/>
      <c r="MUZ72" s="97"/>
      <c r="MVA72" s="97"/>
      <c r="MVB72" s="97"/>
      <c r="MVC72" s="97"/>
      <c r="MVD72" s="97"/>
      <c r="MVE72" s="97"/>
      <c r="MVF72" s="97"/>
      <c r="MVG72" s="97"/>
      <c r="MVH72" s="97"/>
      <c r="MVI72" s="97"/>
      <c r="MVJ72" s="97"/>
      <c r="MVK72" s="97"/>
      <c r="MVL72" s="97"/>
      <c r="MVM72" s="97"/>
      <c r="MVN72" s="97"/>
      <c r="MVO72" s="97"/>
      <c r="MVP72" s="97"/>
      <c r="MVQ72" s="97"/>
      <c r="MVR72" s="97"/>
      <c r="MVS72" s="97"/>
      <c r="MVT72" s="97"/>
      <c r="MVU72" s="97"/>
      <c r="MVV72" s="97"/>
      <c r="MVW72" s="97"/>
      <c r="MVX72" s="97"/>
      <c r="MVY72" s="97"/>
      <c r="MVZ72" s="97"/>
      <c r="MWA72" s="97"/>
      <c r="MWB72" s="97"/>
      <c r="MWC72" s="97"/>
      <c r="MWD72" s="97"/>
      <c r="MWE72" s="97"/>
      <c r="MWF72" s="97"/>
      <c r="MWG72" s="97"/>
      <c r="MWH72" s="97"/>
      <c r="MWI72" s="97"/>
      <c r="MWJ72" s="97"/>
      <c r="MWK72" s="97"/>
      <c r="MWL72" s="97"/>
      <c r="MWM72" s="97"/>
      <c r="MWN72" s="97"/>
      <c r="MWO72" s="97"/>
      <c r="MWP72" s="97"/>
      <c r="MWQ72" s="97"/>
      <c r="MWR72" s="97"/>
      <c r="MWS72" s="97"/>
      <c r="MWT72" s="97"/>
      <c r="MWU72" s="97"/>
      <c r="MWV72" s="97"/>
      <c r="MWW72" s="97"/>
      <c r="MWX72" s="97"/>
      <c r="MWY72" s="97"/>
      <c r="MWZ72" s="97"/>
      <c r="MXA72" s="97"/>
      <c r="MXB72" s="97"/>
      <c r="MXC72" s="97"/>
      <c r="MXD72" s="97"/>
      <c r="MXE72" s="97"/>
      <c r="MXF72" s="97"/>
      <c r="MXG72" s="97"/>
      <c r="MXH72" s="97"/>
      <c r="MXI72" s="97"/>
      <c r="MXJ72" s="97"/>
      <c r="MXK72" s="97"/>
      <c r="MXL72" s="97"/>
      <c r="MXM72" s="97"/>
      <c r="MXN72" s="97"/>
      <c r="MXO72" s="97"/>
      <c r="MXP72" s="97"/>
      <c r="MXQ72" s="97"/>
      <c r="MXR72" s="97"/>
      <c r="MXS72" s="97"/>
      <c r="MXT72" s="97"/>
      <c r="MXU72" s="97"/>
      <c r="MXV72" s="97"/>
      <c r="MXW72" s="97"/>
      <c r="MXX72" s="97"/>
      <c r="MXY72" s="97"/>
      <c r="MXZ72" s="97"/>
      <c r="MYA72" s="97"/>
      <c r="MYB72" s="97"/>
      <c r="MYC72" s="97"/>
      <c r="MYD72" s="97"/>
      <c r="MYE72" s="97"/>
      <c r="MYF72" s="97"/>
      <c r="MYG72" s="97"/>
      <c r="MYH72" s="97"/>
      <c r="MYI72" s="97"/>
      <c r="MYJ72" s="97"/>
      <c r="MYK72" s="97"/>
      <c r="MYL72" s="97"/>
      <c r="MYM72" s="97"/>
      <c r="MYN72" s="97"/>
      <c r="MYO72" s="97"/>
      <c r="MYP72" s="97"/>
      <c r="MYQ72" s="97"/>
      <c r="MYR72" s="97"/>
      <c r="MYS72" s="97"/>
      <c r="MYT72" s="97"/>
      <c r="MYU72" s="97"/>
      <c r="MYV72" s="97"/>
      <c r="MYW72" s="97"/>
      <c r="MYX72" s="97"/>
      <c r="MYY72" s="97"/>
      <c r="MYZ72" s="97"/>
      <c r="MZA72" s="97"/>
      <c r="MZB72" s="97"/>
      <c r="MZC72" s="97"/>
      <c r="MZD72" s="97"/>
      <c r="MZE72" s="97"/>
      <c r="MZF72" s="97"/>
      <c r="MZG72" s="97"/>
      <c r="MZH72" s="97"/>
      <c r="MZI72" s="97"/>
      <c r="MZJ72" s="97"/>
      <c r="MZK72" s="97"/>
      <c r="MZL72" s="97"/>
      <c r="MZM72" s="97"/>
      <c r="MZN72" s="97"/>
      <c r="MZO72" s="97"/>
      <c r="MZP72" s="97"/>
      <c r="MZQ72" s="97"/>
      <c r="MZR72" s="97"/>
      <c r="MZS72" s="97"/>
      <c r="MZT72" s="97"/>
      <c r="MZU72" s="97"/>
      <c r="MZV72" s="97"/>
      <c r="MZW72" s="97"/>
      <c r="MZX72" s="97"/>
      <c r="MZY72" s="97"/>
      <c r="MZZ72" s="97"/>
      <c r="NAA72" s="97"/>
      <c r="NAB72" s="97"/>
      <c r="NAC72" s="97"/>
      <c r="NAD72" s="97"/>
      <c r="NAE72" s="97"/>
      <c r="NAF72" s="97"/>
      <c r="NAG72" s="97"/>
      <c r="NAH72" s="97"/>
      <c r="NAI72" s="97"/>
      <c r="NAJ72" s="97"/>
      <c r="NAK72" s="97"/>
      <c r="NAL72" s="97"/>
      <c r="NAM72" s="97"/>
      <c r="NAN72" s="97"/>
      <c r="NAO72" s="97"/>
      <c r="NAP72" s="97"/>
      <c r="NAQ72" s="97"/>
      <c r="NAR72" s="97"/>
      <c r="NAS72" s="97"/>
      <c r="NAT72" s="97"/>
      <c r="NAU72" s="97"/>
      <c r="NAV72" s="97"/>
      <c r="NAW72" s="97"/>
      <c r="NAX72" s="97"/>
      <c r="NAY72" s="97"/>
      <c r="NAZ72" s="97"/>
      <c r="NBA72" s="97"/>
      <c r="NBB72" s="97"/>
      <c r="NBC72" s="97"/>
      <c r="NBD72" s="97"/>
      <c r="NBE72" s="97"/>
      <c r="NBF72" s="97"/>
      <c r="NBG72" s="97"/>
      <c r="NBH72" s="97"/>
      <c r="NBI72" s="97"/>
      <c r="NBJ72" s="97"/>
      <c r="NBK72" s="97"/>
      <c r="NBL72" s="97"/>
      <c r="NBM72" s="97"/>
      <c r="NBN72" s="97"/>
      <c r="NBO72" s="97"/>
      <c r="NBP72" s="97"/>
      <c r="NBQ72" s="97"/>
      <c r="NBR72" s="97"/>
      <c r="NBS72" s="97"/>
      <c r="NBT72" s="97"/>
      <c r="NBU72" s="97"/>
      <c r="NBV72" s="97"/>
      <c r="NBW72" s="97"/>
      <c r="NBX72" s="97"/>
      <c r="NBY72" s="97"/>
      <c r="NBZ72" s="97"/>
      <c r="NCA72" s="97"/>
      <c r="NCB72" s="97"/>
      <c r="NCC72" s="97"/>
      <c r="NCD72" s="97"/>
      <c r="NCE72" s="97"/>
      <c r="NCF72" s="97"/>
      <c r="NCG72" s="97"/>
      <c r="NCH72" s="97"/>
      <c r="NCI72" s="97"/>
      <c r="NCJ72" s="97"/>
      <c r="NCK72" s="97"/>
      <c r="NCL72" s="97"/>
      <c r="NCM72" s="97"/>
      <c r="NCN72" s="97"/>
      <c r="NCO72" s="97"/>
      <c r="NCP72" s="97"/>
      <c r="NCQ72" s="97"/>
      <c r="NCR72" s="97"/>
      <c r="NCS72" s="97"/>
      <c r="NCT72" s="97"/>
      <c r="NCU72" s="97"/>
      <c r="NCV72" s="97"/>
      <c r="NCW72" s="97"/>
      <c r="NCX72" s="97"/>
      <c r="NCY72" s="97"/>
      <c r="NCZ72" s="97"/>
      <c r="NDA72" s="97"/>
      <c r="NDB72" s="97"/>
      <c r="NDC72" s="97"/>
      <c r="NDD72" s="97"/>
      <c r="NDE72" s="97"/>
      <c r="NDF72" s="97"/>
      <c r="NDG72" s="97"/>
      <c r="NDH72" s="97"/>
      <c r="NDI72" s="97"/>
      <c r="NDJ72" s="97"/>
      <c r="NDK72" s="97"/>
      <c r="NDL72" s="97"/>
      <c r="NDM72" s="97"/>
      <c r="NDN72" s="97"/>
      <c r="NDO72" s="97"/>
      <c r="NDP72" s="97"/>
      <c r="NDQ72" s="97"/>
      <c r="NDR72" s="97"/>
      <c r="NDS72" s="97"/>
      <c r="NDT72" s="97"/>
      <c r="NDU72" s="97"/>
      <c r="NDV72" s="97"/>
      <c r="NDW72" s="97"/>
      <c r="NDX72" s="97"/>
      <c r="NDY72" s="97"/>
      <c r="NDZ72" s="97"/>
      <c r="NEA72" s="97"/>
      <c r="NEB72" s="97"/>
      <c r="NEC72" s="97"/>
      <c r="NED72" s="97"/>
      <c r="NEE72" s="97"/>
      <c r="NEF72" s="97"/>
      <c r="NEG72" s="97"/>
      <c r="NEH72" s="97"/>
      <c r="NEI72" s="97"/>
      <c r="NEJ72" s="97"/>
      <c r="NEK72" s="97"/>
      <c r="NEL72" s="97"/>
      <c r="NEM72" s="97"/>
      <c r="NEN72" s="97"/>
      <c r="NEO72" s="97"/>
      <c r="NEP72" s="97"/>
      <c r="NEQ72" s="97"/>
      <c r="NER72" s="97"/>
      <c r="NES72" s="97"/>
      <c r="NET72" s="97"/>
      <c r="NEU72" s="97"/>
      <c r="NEV72" s="97"/>
      <c r="NEW72" s="97"/>
      <c r="NEX72" s="97"/>
      <c r="NEY72" s="97"/>
      <c r="NEZ72" s="97"/>
      <c r="NFA72" s="97"/>
      <c r="NFB72" s="97"/>
      <c r="NFC72" s="97"/>
      <c r="NFD72" s="97"/>
      <c r="NFE72" s="97"/>
      <c r="NFF72" s="97"/>
      <c r="NFG72" s="97"/>
      <c r="NFH72" s="97"/>
      <c r="NFI72" s="97"/>
      <c r="NFJ72" s="97"/>
      <c r="NFK72" s="97"/>
      <c r="NFL72" s="97"/>
      <c r="NFM72" s="97"/>
      <c r="NFN72" s="97"/>
      <c r="NFO72" s="97"/>
      <c r="NFP72" s="97"/>
      <c r="NFQ72" s="97"/>
      <c r="NFR72" s="97"/>
      <c r="NFS72" s="97"/>
      <c r="NFT72" s="97"/>
      <c r="NFU72" s="97"/>
      <c r="NFV72" s="97"/>
      <c r="NFW72" s="97"/>
      <c r="NFX72" s="97"/>
      <c r="NFY72" s="97"/>
      <c r="NFZ72" s="97"/>
      <c r="NGA72" s="97"/>
      <c r="NGB72" s="97"/>
      <c r="NGC72" s="97"/>
      <c r="NGD72" s="97"/>
      <c r="NGE72" s="97"/>
      <c r="NGF72" s="97"/>
      <c r="NGG72" s="97"/>
      <c r="NGH72" s="97"/>
      <c r="NGI72" s="97"/>
      <c r="NGJ72" s="97"/>
      <c r="NGK72" s="97"/>
      <c r="NGL72" s="97"/>
      <c r="NGM72" s="97"/>
      <c r="NGN72" s="97"/>
      <c r="NGO72" s="97"/>
      <c r="NGP72" s="97"/>
      <c r="NGQ72" s="97"/>
      <c r="NGR72" s="97"/>
      <c r="NGS72" s="97"/>
      <c r="NGT72" s="97"/>
      <c r="NGU72" s="97"/>
      <c r="NGV72" s="97"/>
      <c r="NGW72" s="97"/>
      <c r="NGX72" s="97"/>
      <c r="NGY72" s="97"/>
      <c r="NGZ72" s="97"/>
      <c r="NHA72" s="97"/>
      <c r="NHB72" s="97"/>
      <c r="NHC72" s="97"/>
      <c r="NHD72" s="97"/>
      <c r="NHE72" s="97"/>
      <c r="NHF72" s="97"/>
      <c r="NHG72" s="97"/>
      <c r="NHH72" s="97"/>
      <c r="NHI72" s="97"/>
      <c r="NHJ72" s="97"/>
      <c r="NHK72" s="97"/>
      <c r="NHL72" s="97"/>
      <c r="NHM72" s="97"/>
      <c r="NHN72" s="97"/>
      <c r="NHO72" s="97"/>
      <c r="NHP72" s="97"/>
      <c r="NHQ72" s="97"/>
      <c r="NHR72" s="97"/>
      <c r="NHS72" s="97"/>
      <c r="NHT72" s="97"/>
      <c r="NHU72" s="97"/>
      <c r="NHV72" s="97"/>
      <c r="NHW72" s="97"/>
      <c r="NHX72" s="97"/>
      <c r="NHY72" s="97"/>
      <c r="NHZ72" s="97"/>
      <c r="NIA72" s="97"/>
      <c r="NIB72" s="97"/>
      <c r="NIC72" s="97"/>
      <c r="NID72" s="97"/>
      <c r="NIE72" s="97"/>
      <c r="NIF72" s="97"/>
      <c r="NIG72" s="97"/>
      <c r="NIH72" s="97"/>
      <c r="NII72" s="97"/>
      <c r="NIJ72" s="97"/>
      <c r="NIK72" s="97"/>
      <c r="NIL72" s="97"/>
      <c r="NIM72" s="97"/>
      <c r="NIN72" s="97"/>
      <c r="NIO72" s="97"/>
      <c r="NIP72" s="97"/>
      <c r="NIQ72" s="97"/>
      <c r="NIR72" s="97"/>
      <c r="NIS72" s="97"/>
      <c r="NIT72" s="97"/>
      <c r="NIU72" s="97"/>
      <c r="NIV72" s="97"/>
      <c r="NIW72" s="97"/>
      <c r="NIX72" s="97"/>
      <c r="NIY72" s="97"/>
      <c r="NIZ72" s="97"/>
      <c r="NJA72" s="97"/>
      <c r="NJB72" s="97"/>
      <c r="NJC72" s="97"/>
      <c r="NJD72" s="97"/>
      <c r="NJE72" s="97"/>
      <c r="NJF72" s="97"/>
      <c r="NJG72" s="97"/>
      <c r="NJH72" s="97"/>
      <c r="NJI72" s="97"/>
      <c r="NJJ72" s="97"/>
      <c r="NJK72" s="97"/>
      <c r="NJL72" s="97"/>
      <c r="NJM72" s="97"/>
      <c r="NJN72" s="97"/>
      <c r="NJO72" s="97"/>
      <c r="NJP72" s="97"/>
      <c r="NJQ72" s="97"/>
      <c r="NJR72" s="97"/>
      <c r="NJS72" s="97"/>
      <c r="NJT72" s="97"/>
      <c r="NJU72" s="97"/>
      <c r="NJV72" s="97"/>
      <c r="NJW72" s="97"/>
      <c r="NJX72" s="97"/>
      <c r="NJY72" s="97"/>
      <c r="NJZ72" s="97"/>
      <c r="NKA72" s="97"/>
      <c r="NKB72" s="97"/>
      <c r="NKC72" s="97"/>
      <c r="NKD72" s="97"/>
      <c r="NKE72" s="97"/>
      <c r="NKF72" s="97"/>
      <c r="NKG72" s="97"/>
      <c r="NKH72" s="97"/>
      <c r="NKI72" s="97"/>
      <c r="NKJ72" s="97"/>
      <c r="NKK72" s="97"/>
      <c r="NKL72" s="97"/>
      <c r="NKM72" s="97"/>
      <c r="NKN72" s="97"/>
      <c r="NKO72" s="97"/>
      <c r="NKP72" s="97"/>
      <c r="NKQ72" s="97"/>
      <c r="NKR72" s="97"/>
      <c r="NKS72" s="97"/>
      <c r="NKT72" s="97"/>
      <c r="NKU72" s="97"/>
      <c r="NKV72" s="97"/>
      <c r="NKW72" s="97"/>
      <c r="NKX72" s="97"/>
      <c r="NKY72" s="97"/>
      <c r="NKZ72" s="97"/>
      <c r="NLA72" s="97"/>
      <c r="NLB72" s="97"/>
      <c r="NLC72" s="97"/>
      <c r="NLD72" s="97"/>
      <c r="NLE72" s="97"/>
      <c r="NLF72" s="97"/>
      <c r="NLG72" s="97"/>
      <c r="NLH72" s="97"/>
      <c r="NLI72" s="97"/>
      <c r="NLJ72" s="97"/>
      <c r="NLK72" s="97"/>
      <c r="NLL72" s="97"/>
      <c r="NLM72" s="97"/>
      <c r="NLN72" s="97"/>
      <c r="NLO72" s="97"/>
      <c r="NLP72" s="97"/>
      <c r="NLQ72" s="97"/>
      <c r="NLR72" s="97"/>
      <c r="NLS72" s="97"/>
      <c r="NLT72" s="97"/>
      <c r="NLU72" s="97"/>
      <c r="NLV72" s="97"/>
      <c r="NLW72" s="97"/>
      <c r="NLX72" s="97"/>
      <c r="NLY72" s="97"/>
      <c r="NLZ72" s="97"/>
      <c r="NMA72" s="97"/>
      <c r="NMB72" s="97"/>
      <c r="NMC72" s="97"/>
      <c r="NMD72" s="97"/>
      <c r="NME72" s="97"/>
      <c r="NMF72" s="97"/>
      <c r="NMG72" s="97"/>
      <c r="NMH72" s="97"/>
      <c r="NMI72" s="97"/>
      <c r="NMJ72" s="97"/>
      <c r="NMK72" s="97"/>
      <c r="NML72" s="97"/>
      <c r="NMM72" s="97"/>
      <c r="NMN72" s="97"/>
      <c r="NMO72" s="97"/>
      <c r="NMP72" s="97"/>
      <c r="NMQ72" s="97"/>
      <c r="NMR72" s="97"/>
      <c r="NMS72" s="97"/>
      <c r="NMT72" s="97"/>
      <c r="NMU72" s="97"/>
      <c r="NMV72" s="97"/>
      <c r="NMW72" s="97"/>
      <c r="NMX72" s="97"/>
      <c r="NMY72" s="97"/>
      <c r="NMZ72" s="97"/>
      <c r="NNA72" s="97"/>
      <c r="NNB72" s="97"/>
      <c r="NNC72" s="97"/>
      <c r="NND72" s="97"/>
      <c r="NNE72" s="97"/>
      <c r="NNF72" s="97"/>
      <c r="NNG72" s="97"/>
      <c r="NNH72" s="97"/>
      <c r="NNI72" s="97"/>
      <c r="NNJ72" s="97"/>
      <c r="NNK72" s="97"/>
      <c r="NNL72" s="97"/>
      <c r="NNM72" s="97"/>
      <c r="NNN72" s="97"/>
      <c r="NNO72" s="97"/>
      <c r="NNP72" s="97"/>
      <c r="NNQ72" s="97"/>
      <c r="NNR72" s="97"/>
      <c r="NNS72" s="97"/>
      <c r="NNT72" s="97"/>
      <c r="NNU72" s="97"/>
      <c r="NNV72" s="97"/>
      <c r="NNW72" s="97"/>
      <c r="NNX72" s="97"/>
      <c r="NNY72" s="97"/>
      <c r="NNZ72" s="97"/>
      <c r="NOA72" s="97"/>
      <c r="NOB72" s="97"/>
      <c r="NOC72" s="97"/>
      <c r="NOD72" s="97"/>
      <c r="NOE72" s="97"/>
      <c r="NOF72" s="97"/>
      <c r="NOG72" s="97"/>
      <c r="NOH72" s="97"/>
      <c r="NOI72" s="97"/>
      <c r="NOJ72" s="97"/>
      <c r="NOK72" s="97"/>
      <c r="NOL72" s="97"/>
      <c r="NOM72" s="97"/>
      <c r="NON72" s="97"/>
      <c r="NOO72" s="97"/>
      <c r="NOP72" s="97"/>
      <c r="NOQ72" s="97"/>
      <c r="NOR72" s="97"/>
      <c r="NOS72" s="97"/>
      <c r="NOT72" s="97"/>
      <c r="NOU72" s="97"/>
      <c r="NOV72" s="97"/>
      <c r="NOW72" s="97"/>
      <c r="NOX72" s="97"/>
      <c r="NOY72" s="97"/>
      <c r="NOZ72" s="97"/>
      <c r="NPA72" s="97"/>
      <c r="NPB72" s="97"/>
      <c r="NPC72" s="97"/>
      <c r="NPD72" s="97"/>
      <c r="NPE72" s="97"/>
      <c r="NPF72" s="97"/>
      <c r="NPG72" s="97"/>
      <c r="NPH72" s="97"/>
      <c r="NPI72" s="97"/>
      <c r="NPJ72" s="97"/>
      <c r="NPK72" s="97"/>
      <c r="NPL72" s="97"/>
      <c r="NPM72" s="97"/>
      <c r="NPN72" s="97"/>
      <c r="NPO72" s="97"/>
      <c r="NPP72" s="97"/>
      <c r="NPQ72" s="97"/>
      <c r="NPR72" s="97"/>
      <c r="NPS72" s="97"/>
      <c r="NPT72" s="97"/>
      <c r="NPU72" s="97"/>
      <c r="NPV72" s="97"/>
      <c r="NPW72" s="97"/>
      <c r="NPX72" s="97"/>
      <c r="NPY72" s="97"/>
      <c r="NPZ72" s="97"/>
      <c r="NQA72" s="97"/>
      <c r="NQB72" s="97"/>
      <c r="NQC72" s="97"/>
      <c r="NQD72" s="97"/>
      <c r="NQE72" s="97"/>
      <c r="NQF72" s="97"/>
      <c r="NQG72" s="97"/>
      <c r="NQH72" s="97"/>
      <c r="NQI72" s="97"/>
      <c r="NQJ72" s="97"/>
      <c r="NQK72" s="97"/>
      <c r="NQL72" s="97"/>
      <c r="NQM72" s="97"/>
      <c r="NQN72" s="97"/>
      <c r="NQO72" s="97"/>
      <c r="NQP72" s="97"/>
      <c r="NQQ72" s="97"/>
      <c r="NQR72" s="97"/>
      <c r="NQS72" s="97"/>
      <c r="NQT72" s="97"/>
      <c r="NQU72" s="97"/>
      <c r="NQV72" s="97"/>
      <c r="NQW72" s="97"/>
      <c r="NQX72" s="97"/>
      <c r="NQY72" s="97"/>
      <c r="NQZ72" s="97"/>
      <c r="NRA72" s="97"/>
      <c r="NRB72" s="97"/>
      <c r="NRC72" s="97"/>
      <c r="NRD72" s="97"/>
      <c r="NRE72" s="97"/>
      <c r="NRF72" s="97"/>
      <c r="NRG72" s="97"/>
      <c r="NRH72" s="97"/>
      <c r="NRI72" s="97"/>
      <c r="NRJ72" s="97"/>
      <c r="NRK72" s="97"/>
      <c r="NRL72" s="97"/>
      <c r="NRM72" s="97"/>
      <c r="NRN72" s="97"/>
      <c r="NRO72" s="97"/>
      <c r="NRP72" s="97"/>
      <c r="NRQ72" s="97"/>
      <c r="NRR72" s="97"/>
      <c r="NRS72" s="97"/>
      <c r="NRT72" s="97"/>
      <c r="NRU72" s="97"/>
      <c r="NRV72" s="97"/>
      <c r="NRW72" s="97"/>
      <c r="NRX72" s="97"/>
      <c r="NRY72" s="97"/>
      <c r="NRZ72" s="97"/>
      <c r="NSA72" s="97"/>
      <c r="NSB72" s="97"/>
      <c r="NSC72" s="97"/>
      <c r="NSD72" s="97"/>
      <c r="NSE72" s="97"/>
      <c r="NSF72" s="97"/>
      <c r="NSG72" s="97"/>
      <c r="NSH72" s="97"/>
      <c r="NSI72" s="97"/>
      <c r="NSJ72" s="97"/>
      <c r="NSK72" s="97"/>
      <c r="NSL72" s="97"/>
      <c r="NSM72" s="97"/>
      <c r="NSN72" s="97"/>
      <c r="NSO72" s="97"/>
      <c r="NSP72" s="97"/>
      <c r="NSQ72" s="97"/>
      <c r="NSR72" s="97"/>
      <c r="NSS72" s="97"/>
      <c r="NST72" s="97"/>
      <c r="NSU72" s="97"/>
      <c r="NSV72" s="97"/>
      <c r="NSW72" s="97"/>
      <c r="NSX72" s="97"/>
      <c r="NSY72" s="97"/>
      <c r="NSZ72" s="97"/>
      <c r="NTA72" s="97"/>
      <c r="NTB72" s="97"/>
      <c r="NTC72" s="97"/>
      <c r="NTD72" s="97"/>
      <c r="NTE72" s="97"/>
      <c r="NTF72" s="97"/>
      <c r="NTG72" s="97"/>
      <c r="NTH72" s="97"/>
      <c r="NTI72" s="97"/>
      <c r="NTJ72" s="97"/>
      <c r="NTK72" s="97"/>
      <c r="NTL72" s="97"/>
      <c r="NTM72" s="97"/>
      <c r="NTN72" s="97"/>
      <c r="NTO72" s="97"/>
      <c r="NTP72" s="97"/>
      <c r="NTQ72" s="97"/>
      <c r="NTR72" s="97"/>
      <c r="NTS72" s="97"/>
      <c r="NTT72" s="97"/>
      <c r="NTU72" s="97"/>
      <c r="NTV72" s="97"/>
      <c r="NTW72" s="97"/>
      <c r="NTX72" s="97"/>
      <c r="NTY72" s="97"/>
      <c r="NTZ72" s="97"/>
      <c r="NUA72" s="97"/>
      <c r="NUB72" s="97"/>
      <c r="NUC72" s="97"/>
      <c r="NUD72" s="97"/>
      <c r="NUE72" s="97"/>
      <c r="NUF72" s="97"/>
      <c r="NUG72" s="97"/>
      <c r="NUH72" s="97"/>
      <c r="NUI72" s="97"/>
      <c r="NUJ72" s="97"/>
      <c r="NUK72" s="97"/>
      <c r="NUL72" s="97"/>
      <c r="NUM72" s="97"/>
      <c r="NUN72" s="97"/>
      <c r="NUO72" s="97"/>
      <c r="NUP72" s="97"/>
      <c r="NUQ72" s="97"/>
      <c r="NUR72" s="97"/>
      <c r="NUS72" s="97"/>
      <c r="NUT72" s="97"/>
      <c r="NUU72" s="97"/>
      <c r="NUV72" s="97"/>
      <c r="NUW72" s="97"/>
      <c r="NUX72" s="97"/>
      <c r="NUY72" s="97"/>
      <c r="NUZ72" s="97"/>
      <c r="NVA72" s="97"/>
      <c r="NVB72" s="97"/>
      <c r="NVC72" s="97"/>
      <c r="NVD72" s="97"/>
      <c r="NVE72" s="97"/>
      <c r="NVF72" s="97"/>
      <c r="NVG72" s="97"/>
      <c r="NVH72" s="97"/>
      <c r="NVI72" s="97"/>
      <c r="NVJ72" s="97"/>
      <c r="NVK72" s="97"/>
      <c r="NVL72" s="97"/>
      <c r="NVM72" s="97"/>
      <c r="NVN72" s="97"/>
      <c r="NVO72" s="97"/>
      <c r="NVP72" s="97"/>
      <c r="NVQ72" s="97"/>
      <c r="NVR72" s="97"/>
      <c r="NVS72" s="97"/>
      <c r="NVT72" s="97"/>
      <c r="NVU72" s="97"/>
      <c r="NVV72" s="97"/>
      <c r="NVW72" s="97"/>
      <c r="NVX72" s="97"/>
      <c r="NVY72" s="97"/>
      <c r="NVZ72" s="97"/>
      <c r="NWA72" s="97"/>
      <c r="NWB72" s="97"/>
      <c r="NWC72" s="97"/>
      <c r="NWD72" s="97"/>
      <c r="NWE72" s="97"/>
      <c r="NWF72" s="97"/>
      <c r="NWG72" s="97"/>
      <c r="NWH72" s="97"/>
      <c r="NWI72" s="97"/>
      <c r="NWJ72" s="97"/>
      <c r="NWK72" s="97"/>
      <c r="NWL72" s="97"/>
      <c r="NWM72" s="97"/>
      <c r="NWN72" s="97"/>
      <c r="NWO72" s="97"/>
      <c r="NWP72" s="97"/>
      <c r="NWQ72" s="97"/>
      <c r="NWR72" s="97"/>
      <c r="NWS72" s="97"/>
      <c r="NWT72" s="97"/>
      <c r="NWU72" s="97"/>
      <c r="NWV72" s="97"/>
      <c r="NWW72" s="97"/>
      <c r="NWX72" s="97"/>
      <c r="NWY72" s="97"/>
      <c r="NWZ72" s="97"/>
      <c r="NXA72" s="97"/>
      <c r="NXB72" s="97"/>
      <c r="NXC72" s="97"/>
      <c r="NXD72" s="97"/>
      <c r="NXE72" s="97"/>
      <c r="NXF72" s="97"/>
      <c r="NXG72" s="97"/>
      <c r="NXH72" s="97"/>
      <c r="NXI72" s="97"/>
      <c r="NXJ72" s="97"/>
      <c r="NXK72" s="97"/>
      <c r="NXL72" s="97"/>
      <c r="NXM72" s="97"/>
      <c r="NXN72" s="97"/>
      <c r="NXO72" s="97"/>
      <c r="NXP72" s="97"/>
      <c r="NXQ72" s="97"/>
      <c r="NXR72" s="97"/>
      <c r="NXS72" s="97"/>
      <c r="NXT72" s="97"/>
      <c r="NXU72" s="97"/>
      <c r="NXV72" s="97"/>
      <c r="NXW72" s="97"/>
      <c r="NXX72" s="97"/>
      <c r="NXY72" s="97"/>
      <c r="NXZ72" s="97"/>
      <c r="NYA72" s="97"/>
      <c r="NYB72" s="97"/>
      <c r="NYC72" s="97"/>
      <c r="NYD72" s="97"/>
      <c r="NYE72" s="97"/>
      <c r="NYF72" s="97"/>
      <c r="NYG72" s="97"/>
      <c r="NYH72" s="97"/>
      <c r="NYI72" s="97"/>
      <c r="NYJ72" s="97"/>
      <c r="NYK72" s="97"/>
      <c r="NYL72" s="97"/>
      <c r="NYM72" s="97"/>
      <c r="NYN72" s="97"/>
      <c r="NYO72" s="97"/>
      <c r="NYP72" s="97"/>
      <c r="NYQ72" s="97"/>
      <c r="NYR72" s="97"/>
      <c r="NYS72" s="97"/>
      <c r="NYT72" s="97"/>
      <c r="NYU72" s="97"/>
      <c r="NYV72" s="97"/>
      <c r="NYW72" s="97"/>
      <c r="NYX72" s="97"/>
      <c r="NYY72" s="97"/>
      <c r="NYZ72" s="97"/>
      <c r="NZA72" s="97"/>
      <c r="NZB72" s="97"/>
      <c r="NZC72" s="97"/>
      <c r="NZD72" s="97"/>
      <c r="NZE72" s="97"/>
      <c r="NZF72" s="97"/>
      <c r="NZG72" s="97"/>
      <c r="NZH72" s="97"/>
      <c r="NZI72" s="97"/>
      <c r="NZJ72" s="97"/>
      <c r="NZK72" s="97"/>
      <c r="NZL72" s="97"/>
      <c r="NZM72" s="97"/>
      <c r="NZN72" s="97"/>
      <c r="NZO72" s="97"/>
      <c r="NZP72" s="97"/>
      <c r="NZQ72" s="97"/>
      <c r="NZR72" s="97"/>
      <c r="NZS72" s="97"/>
      <c r="NZT72" s="97"/>
      <c r="NZU72" s="97"/>
      <c r="NZV72" s="97"/>
      <c r="NZW72" s="97"/>
      <c r="NZX72" s="97"/>
      <c r="NZY72" s="97"/>
      <c r="NZZ72" s="97"/>
      <c r="OAA72" s="97"/>
      <c r="OAB72" s="97"/>
      <c r="OAC72" s="97"/>
      <c r="OAD72" s="97"/>
      <c r="OAE72" s="97"/>
      <c r="OAF72" s="97"/>
      <c r="OAG72" s="97"/>
      <c r="OAH72" s="97"/>
      <c r="OAI72" s="97"/>
      <c r="OAJ72" s="97"/>
      <c r="OAK72" s="97"/>
      <c r="OAL72" s="97"/>
      <c r="OAM72" s="97"/>
      <c r="OAN72" s="97"/>
      <c r="OAO72" s="97"/>
      <c r="OAP72" s="97"/>
      <c r="OAQ72" s="97"/>
      <c r="OAR72" s="97"/>
      <c r="OAS72" s="97"/>
      <c r="OAT72" s="97"/>
      <c r="OAU72" s="97"/>
      <c r="OAV72" s="97"/>
      <c r="OAW72" s="97"/>
      <c r="OAX72" s="97"/>
      <c r="OAY72" s="97"/>
      <c r="OAZ72" s="97"/>
      <c r="OBA72" s="97"/>
      <c r="OBB72" s="97"/>
      <c r="OBC72" s="97"/>
      <c r="OBD72" s="97"/>
      <c r="OBE72" s="97"/>
      <c r="OBF72" s="97"/>
      <c r="OBG72" s="97"/>
      <c r="OBH72" s="97"/>
      <c r="OBI72" s="97"/>
      <c r="OBJ72" s="97"/>
      <c r="OBK72" s="97"/>
      <c r="OBL72" s="97"/>
      <c r="OBM72" s="97"/>
      <c r="OBN72" s="97"/>
      <c r="OBO72" s="97"/>
      <c r="OBP72" s="97"/>
      <c r="OBQ72" s="97"/>
      <c r="OBR72" s="97"/>
      <c r="OBS72" s="97"/>
      <c r="OBT72" s="97"/>
      <c r="OBU72" s="97"/>
      <c r="OBV72" s="97"/>
      <c r="OBW72" s="97"/>
      <c r="OBX72" s="97"/>
      <c r="OBY72" s="97"/>
      <c r="OBZ72" s="97"/>
      <c r="OCA72" s="97"/>
      <c r="OCB72" s="97"/>
      <c r="OCC72" s="97"/>
      <c r="OCD72" s="97"/>
      <c r="OCE72" s="97"/>
      <c r="OCF72" s="97"/>
      <c r="OCG72" s="97"/>
      <c r="OCH72" s="97"/>
      <c r="OCI72" s="97"/>
      <c r="OCJ72" s="97"/>
      <c r="OCK72" s="97"/>
      <c r="OCL72" s="97"/>
      <c r="OCM72" s="97"/>
      <c r="OCN72" s="97"/>
      <c r="OCO72" s="97"/>
      <c r="OCP72" s="97"/>
      <c r="OCQ72" s="97"/>
      <c r="OCR72" s="97"/>
      <c r="OCS72" s="97"/>
      <c r="OCT72" s="97"/>
      <c r="OCU72" s="97"/>
      <c r="OCV72" s="97"/>
      <c r="OCW72" s="97"/>
      <c r="OCX72" s="97"/>
      <c r="OCY72" s="97"/>
      <c r="OCZ72" s="97"/>
      <c r="ODA72" s="97"/>
      <c r="ODB72" s="97"/>
      <c r="ODC72" s="97"/>
      <c r="ODD72" s="97"/>
      <c r="ODE72" s="97"/>
      <c r="ODF72" s="97"/>
      <c r="ODG72" s="97"/>
      <c r="ODH72" s="97"/>
      <c r="ODI72" s="97"/>
      <c r="ODJ72" s="97"/>
      <c r="ODK72" s="97"/>
      <c r="ODL72" s="97"/>
      <c r="ODM72" s="97"/>
      <c r="ODN72" s="97"/>
      <c r="ODO72" s="97"/>
      <c r="ODP72" s="97"/>
      <c r="ODQ72" s="97"/>
      <c r="ODR72" s="97"/>
      <c r="ODS72" s="97"/>
      <c r="ODT72" s="97"/>
      <c r="ODU72" s="97"/>
      <c r="ODV72" s="97"/>
      <c r="ODW72" s="97"/>
      <c r="ODX72" s="97"/>
      <c r="ODY72" s="97"/>
      <c r="ODZ72" s="97"/>
      <c r="OEA72" s="97"/>
      <c r="OEB72" s="97"/>
      <c r="OEC72" s="97"/>
      <c r="OED72" s="97"/>
      <c r="OEE72" s="97"/>
      <c r="OEF72" s="97"/>
      <c r="OEG72" s="97"/>
      <c r="OEH72" s="97"/>
      <c r="OEI72" s="97"/>
      <c r="OEJ72" s="97"/>
      <c r="OEK72" s="97"/>
      <c r="OEL72" s="97"/>
      <c r="OEM72" s="97"/>
      <c r="OEN72" s="97"/>
      <c r="OEO72" s="97"/>
      <c r="OEP72" s="97"/>
      <c r="OEQ72" s="97"/>
      <c r="OER72" s="97"/>
      <c r="OES72" s="97"/>
      <c r="OET72" s="97"/>
      <c r="OEU72" s="97"/>
      <c r="OEV72" s="97"/>
      <c r="OEW72" s="97"/>
      <c r="OEX72" s="97"/>
      <c r="OEY72" s="97"/>
      <c r="OEZ72" s="97"/>
      <c r="OFA72" s="97"/>
      <c r="OFB72" s="97"/>
      <c r="OFC72" s="97"/>
      <c r="OFD72" s="97"/>
      <c r="OFE72" s="97"/>
      <c r="OFF72" s="97"/>
      <c r="OFG72" s="97"/>
      <c r="OFH72" s="97"/>
      <c r="OFI72" s="97"/>
      <c r="OFJ72" s="97"/>
      <c r="OFK72" s="97"/>
      <c r="OFL72" s="97"/>
      <c r="OFM72" s="97"/>
      <c r="OFN72" s="97"/>
      <c r="OFO72" s="97"/>
      <c r="OFP72" s="97"/>
      <c r="OFQ72" s="97"/>
      <c r="OFR72" s="97"/>
      <c r="OFS72" s="97"/>
      <c r="OFT72" s="97"/>
      <c r="OFU72" s="97"/>
      <c r="OFV72" s="97"/>
      <c r="OFW72" s="97"/>
      <c r="OFX72" s="97"/>
      <c r="OFY72" s="97"/>
      <c r="OFZ72" s="97"/>
      <c r="OGA72" s="97"/>
      <c r="OGB72" s="97"/>
      <c r="OGC72" s="97"/>
      <c r="OGD72" s="97"/>
      <c r="OGE72" s="97"/>
      <c r="OGF72" s="97"/>
      <c r="OGG72" s="97"/>
      <c r="OGH72" s="97"/>
      <c r="OGI72" s="97"/>
      <c r="OGJ72" s="97"/>
      <c r="OGK72" s="97"/>
      <c r="OGL72" s="97"/>
      <c r="OGM72" s="97"/>
      <c r="OGN72" s="97"/>
      <c r="OGO72" s="97"/>
      <c r="OGP72" s="97"/>
      <c r="OGQ72" s="97"/>
      <c r="OGR72" s="97"/>
      <c r="OGS72" s="97"/>
      <c r="OGT72" s="97"/>
      <c r="OGU72" s="97"/>
      <c r="OGV72" s="97"/>
      <c r="OGW72" s="97"/>
      <c r="OGX72" s="97"/>
      <c r="OGY72" s="97"/>
      <c r="OGZ72" s="97"/>
      <c r="OHA72" s="97"/>
      <c r="OHB72" s="97"/>
      <c r="OHC72" s="97"/>
      <c r="OHD72" s="97"/>
      <c r="OHE72" s="97"/>
      <c r="OHF72" s="97"/>
      <c r="OHG72" s="97"/>
      <c r="OHH72" s="97"/>
      <c r="OHI72" s="97"/>
      <c r="OHJ72" s="97"/>
      <c r="OHK72" s="97"/>
      <c r="OHL72" s="97"/>
      <c r="OHM72" s="97"/>
      <c r="OHN72" s="97"/>
      <c r="OHO72" s="97"/>
      <c r="OHP72" s="97"/>
      <c r="OHQ72" s="97"/>
      <c r="OHR72" s="97"/>
      <c r="OHS72" s="97"/>
      <c r="OHT72" s="97"/>
      <c r="OHU72" s="97"/>
      <c r="OHV72" s="97"/>
      <c r="OHW72" s="97"/>
      <c r="OHX72" s="97"/>
      <c r="OHY72" s="97"/>
      <c r="OHZ72" s="97"/>
      <c r="OIA72" s="97"/>
      <c r="OIB72" s="97"/>
      <c r="OIC72" s="97"/>
      <c r="OID72" s="97"/>
      <c r="OIE72" s="97"/>
      <c r="OIF72" s="97"/>
      <c r="OIG72" s="97"/>
      <c r="OIH72" s="97"/>
      <c r="OII72" s="97"/>
      <c r="OIJ72" s="97"/>
      <c r="OIK72" s="97"/>
      <c r="OIL72" s="97"/>
      <c r="OIM72" s="97"/>
      <c r="OIN72" s="97"/>
      <c r="OIO72" s="97"/>
      <c r="OIP72" s="97"/>
      <c r="OIQ72" s="97"/>
      <c r="OIR72" s="97"/>
      <c r="OIS72" s="97"/>
      <c r="OIT72" s="97"/>
      <c r="OIU72" s="97"/>
      <c r="OIV72" s="97"/>
      <c r="OIW72" s="97"/>
      <c r="OIX72" s="97"/>
      <c r="OIY72" s="97"/>
      <c r="OIZ72" s="97"/>
      <c r="OJA72" s="97"/>
      <c r="OJB72" s="97"/>
      <c r="OJC72" s="97"/>
      <c r="OJD72" s="97"/>
      <c r="OJE72" s="97"/>
      <c r="OJF72" s="97"/>
      <c r="OJG72" s="97"/>
      <c r="OJH72" s="97"/>
      <c r="OJI72" s="97"/>
      <c r="OJJ72" s="97"/>
      <c r="OJK72" s="97"/>
      <c r="OJL72" s="97"/>
      <c r="OJM72" s="97"/>
      <c r="OJN72" s="97"/>
      <c r="OJO72" s="97"/>
      <c r="OJP72" s="97"/>
      <c r="OJQ72" s="97"/>
      <c r="OJR72" s="97"/>
      <c r="OJS72" s="97"/>
      <c r="OJT72" s="97"/>
      <c r="OJU72" s="97"/>
      <c r="OJV72" s="97"/>
      <c r="OJW72" s="97"/>
      <c r="OJX72" s="97"/>
      <c r="OJY72" s="97"/>
      <c r="OJZ72" s="97"/>
      <c r="OKA72" s="97"/>
      <c r="OKB72" s="97"/>
      <c r="OKC72" s="97"/>
      <c r="OKD72" s="97"/>
      <c r="OKE72" s="97"/>
      <c r="OKF72" s="97"/>
      <c r="OKG72" s="97"/>
      <c r="OKH72" s="97"/>
      <c r="OKI72" s="97"/>
      <c r="OKJ72" s="97"/>
      <c r="OKK72" s="97"/>
      <c r="OKL72" s="97"/>
      <c r="OKM72" s="97"/>
      <c r="OKN72" s="97"/>
      <c r="OKO72" s="97"/>
      <c r="OKP72" s="97"/>
      <c r="OKQ72" s="97"/>
      <c r="OKR72" s="97"/>
      <c r="OKS72" s="97"/>
      <c r="OKT72" s="97"/>
      <c r="OKU72" s="97"/>
      <c r="OKV72" s="97"/>
      <c r="OKW72" s="97"/>
      <c r="OKX72" s="97"/>
      <c r="OKY72" s="97"/>
      <c r="OKZ72" s="97"/>
      <c r="OLA72" s="97"/>
      <c r="OLB72" s="97"/>
      <c r="OLC72" s="97"/>
      <c r="OLD72" s="97"/>
      <c r="OLE72" s="97"/>
      <c r="OLF72" s="97"/>
      <c r="OLG72" s="97"/>
      <c r="OLH72" s="97"/>
      <c r="OLI72" s="97"/>
      <c r="OLJ72" s="97"/>
      <c r="OLK72" s="97"/>
      <c r="OLL72" s="97"/>
      <c r="OLM72" s="97"/>
      <c r="OLN72" s="97"/>
      <c r="OLO72" s="97"/>
      <c r="OLP72" s="97"/>
      <c r="OLQ72" s="97"/>
      <c r="OLR72" s="97"/>
      <c r="OLS72" s="97"/>
      <c r="OLT72" s="97"/>
      <c r="OLU72" s="97"/>
      <c r="OLV72" s="97"/>
      <c r="OLW72" s="97"/>
      <c r="OLX72" s="97"/>
      <c r="OLY72" s="97"/>
      <c r="OLZ72" s="97"/>
      <c r="OMA72" s="97"/>
      <c r="OMB72" s="97"/>
      <c r="OMC72" s="97"/>
      <c r="OMD72" s="97"/>
      <c r="OME72" s="97"/>
      <c r="OMF72" s="97"/>
      <c r="OMG72" s="97"/>
      <c r="OMH72" s="97"/>
      <c r="OMI72" s="97"/>
      <c r="OMJ72" s="97"/>
      <c r="OMK72" s="97"/>
      <c r="OML72" s="97"/>
      <c r="OMM72" s="97"/>
      <c r="OMN72" s="97"/>
      <c r="OMO72" s="97"/>
      <c r="OMP72" s="97"/>
      <c r="OMQ72" s="97"/>
      <c r="OMR72" s="97"/>
      <c r="OMS72" s="97"/>
      <c r="OMT72" s="97"/>
      <c r="OMU72" s="97"/>
      <c r="OMV72" s="97"/>
      <c r="OMW72" s="97"/>
      <c r="OMX72" s="97"/>
      <c r="OMY72" s="97"/>
      <c r="OMZ72" s="97"/>
      <c r="ONA72" s="97"/>
      <c r="ONB72" s="97"/>
      <c r="ONC72" s="97"/>
      <c r="OND72" s="97"/>
      <c r="ONE72" s="97"/>
      <c r="ONF72" s="97"/>
      <c r="ONG72" s="97"/>
      <c r="ONH72" s="97"/>
      <c r="ONI72" s="97"/>
      <c r="ONJ72" s="97"/>
      <c r="ONK72" s="97"/>
      <c r="ONL72" s="97"/>
      <c r="ONM72" s="97"/>
      <c r="ONN72" s="97"/>
      <c r="ONO72" s="97"/>
      <c r="ONP72" s="97"/>
      <c r="ONQ72" s="97"/>
      <c r="ONR72" s="97"/>
      <c r="ONS72" s="97"/>
      <c r="ONT72" s="97"/>
      <c r="ONU72" s="97"/>
      <c r="ONV72" s="97"/>
      <c r="ONW72" s="97"/>
      <c r="ONX72" s="97"/>
      <c r="ONY72" s="97"/>
      <c r="ONZ72" s="97"/>
      <c r="OOA72" s="97"/>
      <c r="OOB72" s="97"/>
      <c r="OOC72" s="97"/>
      <c r="OOD72" s="97"/>
      <c r="OOE72" s="97"/>
      <c r="OOF72" s="97"/>
      <c r="OOG72" s="97"/>
      <c r="OOH72" s="97"/>
      <c r="OOI72" s="97"/>
      <c r="OOJ72" s="97"/>
      <c r="OOK72" s="97"/>
      <c r="OOL72" s="97"/>
      <c r="OOM72" s="97"/>
      <c r="OON72" s="97"/>
      <c r="OOO72" s="97"/>
      <c r="OOP72" s="97"/>
      <c r="OOQ72" s="97"/>
      <c r="OOR72" s="97"/>
      <c r="OOS72" s="97"/>
      <c r="OOT72" s="97"/>
      <c r="OOU72" s="97"/>
      <c r="OOV72" s="97"/>
      <c r="OOW72" s="97"/>
      <c r="OOX72" s="97"/>
      <c r="OOY72" s="97"/>
      <c r="OOZ72" s="97"/>
      <c r="OPA72" s="97"/>
      <c r="OPB72" s="97"/>
      <c r="OPC72" s="97"/>
      <c r="OPD72" s="97"/>
      <c r="OPE72" s="97"/>
      <c r="OPF72" s="97"/>
      <c r="OPG72" s="97"/>
      <c r="OPH72" s="97"/>
      <c r="OPI72" s="97"/>
      <c r="OPJ72" s="97"/>
      <c r="OPK72" s="97"/>
      <c r="OPL72" s="97"/>
      <c r="OPM72" s="97"/>
      <c r="OPN72" s="97"/>
      <c r="OPO72" s="97"/>
      <c r="OPP72" s="97"/>
      <c r="OPQ72" s="97"/>
      <c r="OPR72" s="97"/>
      <c r="OPS72" s="97"/>
      <c r="OPT72" s="97"/>
      <c r="OPU72" s="97"/>
      <c r="OPV72" s="97"/>
      <c r="OPW72" s="97"/>
      <c r="OPX72" s="97"/>
      <c r="OPY72" s="97"/>
      <c r="OPZ72" s="97"/>
      <c r="OQA72" s="97"/>
      <c r="OQB72" s="97"/>
      <c r="OQC72" s="97"/>
      <c r="OQD72" s="97"/>
      <c r="OQE72" s="97"/>
      <c r="OQF72" s="97"/>
      <c r="OQG72" s="97"/>
      <c r="OQH72" s="97"/>
      <c r="OQI72" s="97"/>
      <c r="OQJ72" s="97"/>
      <c r="OQK72" s="97"/>
      <c r="OQL72" s="97"/>
      <c r="OQM72" s="97"/>
      <c r="OQN72" s="97"/>
      <c r="OQO72" s="97"/>
      <c r="OQP72" s="97"/>
      <c r="OQQ72" s="97"/>
      <c r="OQR72" s="97"/>
      <c r="OQS72" s="97"/>
      <c r="OQT72" s="97"/>
      <c r="OQU72" s="97"/>
      <c r="OQV72" s="97"/>
      <c r="OQW72" s="97"/>
      <c r="OQX72" s="97"/>
      <c r="OQY72" s="97"/>
      <c r="OQZ72" s="97"/>
      <c r="ORA72" s="97"/>
      <c r="ORB72" s="97"/>
      <c r="ORC72" s="97"/>
      <c r="ORD72" s="97"/>
      <c r="ORE72" s="97"/>
      <c r="ORF72" s="97"/>
      <c r="ORG72" s="97"/>
      <c r="ORH72" s="97"/>
      <c r="ORI72" s="97"/>
      <c r="ORJ72" s="97"/>
      <c r="ORK72" s="97"/>
      <c r="ORL72" s="97"/>
      <c r="ORM72" s="97"/>
      <c r="ORN72" s="97"/>
      <c r="ORO72" s="97"/>
      <c r="ORP72" s="97"/>
      <c r="ORQ72" s="97"/>
      <c r="ORR72" s="97"/>
      <c r="ORS72" s="97"/>
      <c r="ORT72" s="97"/>
      <c r="ORU72" s="97"/>
      <c r="ORV72" s="97"/>
      <c r="ORW72" s="97"/>
      <c r="ORX72" s="97"/>
      <c r="ORY72" s="97"/>
      <c r="ORZ72" s="97"/>
      <c r="OSA72" s="97"/>
      <c r="OSB72" s="97"/>
      <c r="OSC72" s="97"/>
      <c r="OSD72" s="97"/>
      <c r="OSE72" s="97"/>
      <c r="OSF72" s="97"/>
      <c r="OSG72" s="97"/>
      <c r="OSH72" s="97"/>
      <c r="OSI72" s="97"/>
      <c r="OSJ72" s="97"/>
      <c r="OSK72" s="97"/>
      <c r="OSL72" s="97"/>
      <c r="OSM72" s="97"/>
      <c r="OSN72" s="97"/>
      <c r="OSO72" s="97"/>
      <c r="OSP72" s="97"/>
      <c r="OSQ72" s="97"/>
      <c r="OSR72" s="97"/>
      <c r="OSS72" s="97"/>
      <c r="OST72" s="97"/>
      <c r="OSU72" s="97"/>
      <c r="OSV72" s="97"/>
      <c r="OSW72" s="97"/>
      <c r="OSX72" s="97"/>
      <c r="OSY72" s="97"/>
      <c r="OSZ72" s="97"/>
      <c r="OTA72" s="97"/>
      <c r="OTB72" s="97"/>
      <c r="OTC72" s="97"/>
      <c r="OTD72" s="97"/>
      <c r="OTE72" s="97"/>
      <c r="OTF72" s="97"/>
      <c r="OTG72" s="97"/>
      <c r="OTH72" s="97"/>
      <c r="OTI72" s="97"/>
      <c r="OTJ72" s="97"/>
      <c r="OTK72" s="97"/>
      <c r="OTL72" s="97"/>
      <c r="OTM72" s="97"/>
      <c r="OTN72" s="97"/>
      <c r="OTO72" s="97"/>
      <c r="OTP72" s="97"/>
      <c r="OTQ72" s="97"/>
      <c r="OTR72" s="97"/>
      <c r="OTS72" s="97"/>
      <c r="OTT72" s="97"/>
      <c r="OTU72" s="97"/>
      <c r="OTV72" s="97"/>
      <c r="OTW72" s="97"/>
      <c r="OTX72" s="97"/>
      <c r="OTY72" s="97"/>
      <c r="OTZ72" s="97"/>
      <c r="OUA72" s="97"/>
      <c r="OUB72" s="97"/>
      <c r="OUC72" s="97"/>
      <c r="OUD72" s="97"/>
      <c r="OUE72" s="97"/>
      <c r="OUF72" s="97"/>
      <c r="OUG72" s="97"/>
      <c r="OUH72" s="97"/>
      <c r="OUI72" s="97"/>
      <c r="OUJ72" s="97"/>
      <c r="OUK72" s="97"/>
      <c r="OUL72" s="97"/>
      <c r="OUM72" s="97"/>
      <c r="OUN72" s="97"/>
      <c r="OUO72" s="97"/>
      <c r="OUP72" s="97"/>
      <c r="OUQ72" s="97"/>
      <c r="OUR72" s="97"/>
      <c r="OUS72" s="97"/>
      <c r="OUT72" s="97"/>
      <c r="OUU72" s="97"/>
      <c r="OUV72" s="97"/>
      <c r="OUW72" s="97"/>
      <c r="OUX72" s="97"/>
      <c r="OUY72" s="97"/>
      <c r="OUZ72" s="97"/>
      <c r="OVA72" s="97"/>
      <c r="OVB72" s="97"/>
      <c r="OVC72" s="97"/>
      <c r="OVD72" s="97"/>
      <c r="OVE72" s="97"/>
      <c r="OVF72" s="97"/>
      <c r="OVG72" s="97"/>
      <c r="OVH72" s="97"/>
      <c r="OVI72" s="97"/>
      <c r="OVJ72" s="97"/>
      <c r="OVK72" s="97"/>
      <c r="OVL72" s="97"/>
      <c r="OVM72" s="97"/>
      <c r="OVN72" s="97"/>
      <c r="OVO72" s="97"/>
      <c r="OVP72" s="97"/>
      <c r="OVQ72" s="97"/>
      <c r="OVR72" s="97"/>
      <c r="OVS72" s="97"/>
      <c r="OVT72" s="97"/>
      <c r="OVU72" s="97"/>
      <c r="OVV72" s="97"/>
      <c r="OVW72" s="97"/>
      <c r="OVX72" s="97"/>
      <c r="OVY72" s="97"/>
      <c r="OVZ72" s="97"/>
      <c r="OWA72" s="97"/>
      <c r="OWB72" s="97"/>
      <c r="OWC72" s="97"/>
      <c r="OWD72" s="97"/>
      <c r="OWE72" s="97"/>
      <c r="OWF72" s="97"/>
      <c r="OWG72" s="97"/>
      <c r="OWH72" s="97"/>
      <c r="OWI72" s="97"/>
      <c r="OWJ72" s="97"/>
      <c r="OWK72" s="97"/>
      <c r="OWL72" s="97"/>
      <c r="OWM72" s="97"/>
      <c r="OWN72" s="97"/>
      <c r="OWO72" s="97"/>
      <c r="OWP72" s="97"/>
      <c r="OWQ72" s="97"/>
      <c r="OWR72" s="97"/>
      <c r="OWS72" s="97"/>
      <c r="OWT72" s="97"/>
      <c r="OWU72" s="97"/>
      <c r="OWV72" s="97"/>
      <c r="OWW72" s="97"/>
      <c r="OWX72" s="97"/>
      <c r="OWY72" s="97"/>
      <c r="OWZ72" s="97"/>
      <c r="OXA72" s="97"/>
      <c r="OXB72" s="97"/>
      <c r="OXC72" s="97"/>
      <c r="OXD72" s="97"/>
      <c r="OXE72" s="97"/>
      <c r="OXF72" s="97"/>
      <c r="OXG72" s="97"/>
      <c r="OXH72" s="97"/>
      <c r="OXI72" s="97"/>
      <c r="OXJ72" s="97"/>
      <c r="OXK72" s="97"/>
      <c r="OXL72" s="97"/>
      <c r="OXM72" s="97"/>
      <c r="OXN72" s="97"/>
      <c r="OXO72" s="97"/>
      <c r="OXP72" s="97"/>
      <c r="OXQ72" s="97"/>
      <c r="OXR72" s="97"/>
      <c r="OXS72" s="97"/>
      <c r="OXT72" s="97"/>
      <c r="OXU72" s="97"/>
      <c r="OXV72" s="97"/>
      <c r="OXW72" s="97"/>
      <c r="OXX72" s="97"/>
      <c r="OXY72" s="97"/>
      <c r="OXZ72" s="97"/>
      <c r="OYA72" s="97"/>
      <c r="OYB72" s="97"/>
      <c r="OYC72" s="97"/>
      <c r="OYD72" s="97"/>
      <c r="OYE72" s="97"/>
      <c r="OYF72" s="97"/>
      <c r="OYG72" s="97"/>
      <c r="OYH72" s="97"/>
      <c r="OYI72" s="97"/>
      <c r="OYJ72" s="97"/>
      <c r="OYK72" s="97"/>
      <c r="OYL72" s="97"/>
      <c r="OYM72" s="97"/>
      <c r="OYN72" s="97"/>
      <c r="OYO72" s="97"/>
      <c r="OYP72" s="97"/>
      <c r="OYQ72" s="97"/>
      <c r="OYR72" s="97"/>
      <c r="OYS72" s="97"/>
      <c r="OYT72" s="97"/>
      <c r="OYU72" s="97"/>
      <c r="OYV72" s="97"/>
      <c r="OYW72" s="97"/>
      <c r="OYX72" s="97"/>
      <c r="OYY72" s="97"/>
      <c r="OYZ72" s="97"/>
      <c r="OZA72" s="97"/>
      <c r="OZB72" s="97"/>
      <c r="OZC72" s="97"/>
      <c r="OZD72" s="97"/>
      <c r="OZE72" s="97"/>
      <c r="OZF72" s="97"/>
      <c r="OZG72" s="97"/>
      <c r="OZH72" s="97"/>
      <c r="OZI72" s="97"/>
      <c r="OZJ72" s="97"/>
      <c r="OZK72" s="97"/>
      <c r="OZL72" s="97"/>
      <c r="OZM72" s="97"/>
      <c r="OZN72" s="97"/>
      <c r="OZO72" s="97"/>
      <c r="OZP72" s="97"/>
      <c r="OZQ72" s="97"/>
      <c r="OZR72" s="97"/>
      <c r="OZS72" s="97"/>
      <c r="OZT72" s="97"/>
      <c r="OZU72" s="97"/>
      <c r="OZV72" s="97"/>
      <c r="OZW72" s="97"/>
      <c r="OZX72" s="97"/>
      <c r="OZY72" s="97"/>
      <c r="OZZ72" s="97"/>
      <c r="PAA72" s="97"/>
      <c r="PAB72" s="97"/>
      <c r="PAC72" s="97"/>
      <c r="PAD72" s="97"/>
      <c r="PAE72" s="97"/>
      <c r="PAF72" s="97"/>
      <c r="PAG72" s="97"/>
      <c r="PAH72" s="97"/>
      <c r="PAI72" s="97"/>
      <c r="PAJ72" s="97"/>
      <c r="PAK72" s="97"/>
      <c r="PAL72" s="97"/>
      <c r="PAM72" s="97"/>
      <c r="PAN72" s="97"/>
      <c r="PAO72" s="97"/>
      <c r="PAP72" s="97"/>
      <c r="PAQ72" s="97"/>
      <c r="PAR72" s="97"/>
      <c r="PAS72" s="97"/>
      <c r="PAT72" s="97"/>
      <c r="PAU72" s="97"/>
      <c r="PAV72" s="97"/>
      <c r="PAW72" s="97"/>
      <c r="PAX72" s="97"/>
      <c r="PAY72" s="97"/>
      <c r="PAZ72" s="97"/>
      <c r="PBA72" s="97"/>
      <c r="PBB72" s="97"/>
      <c r="PBC72" s="97"/>
      <c r="PBD72" s="97"/>
      <c r="PBE72" s="97"/>
      <c r="PBF72" s="97"/>
      <c r="PBG72" s="97"/>
      <c r="PBH72" s="97"/>
      <c r="PBI72" s="97"/>
      <c r="PBJ72" s="97"/>
      <c r="PBK72" s="97"/>
      <c r="PBL72" s="97"/>
      <c r="PBM72" s="97"/>
      <c r="PBN72" s="97"/>
      <c r="PBO72" s="97"/>
      <c r="PBP72" s="97"/>
      <c r="PBQ72" s="97"/>
      <c r="PBR72" s="97"/>
      <c r="PBS72" s="97"/>
      <c r="PBT72" s="97"/>
      <c r="PBU72" s="97"/>
      <c r="PBV72" s="97"/>
      <c r="PBW72" s="97"/>
      <c r="PBX72" s="97"/>
      <c r="PBY72" s="97"/>
      <c r="PBZ72" s="97"/>
      <c r="PCA72" s="97"/>
      <c r="PCB72" s="97"/>
      <c r="PCC72" s="97"/>
      <c r="PCD72" s="97"/>
      <c r="PCE72" s="97"/>
      <c r="PCF72" s="97"/>
      <c r="PCG72" s="97"/>
      <c r="PCH72" s="97"/>
      <c r="PCI72" s="97"/>
      <c r="PCJ72" s="97"/>
      <c r="PCK72" s="97"/>
      <c r="PCL72" s="97"/>
      <c r="PCM72" s="97"/>
      <c r="PCN72" s="97"/>
      <c r="PCO72" s="97"/>
      <c r="PCP72" s="97"/>
      <c r="PCQ72" s="97"/>
      <c r="PCR72" s="97"/>
      <c r="PCS72" s="97"/>
      <c r="PCT72" s="97"/>
      <c r="PCU72" s="97"/>
      <c r="PCV72" s="97"/>
      <c r="PCW72" s="97"/>
      <c r="PCX72" s="97"/>
      <c r="PCY72" s="97"/>
      <c r="PCZ72" s="97"/>
      <c r="PDA72" s="97"/>
      <c r="PDB72" s="97"/>
      <c r="PDC72" s="97"/>
      <c r="PDD72" s="97"/>
      <c r="PDE72" s="97"/>
      <c r="PDF72" s="97"/>
      <c r="PDG72" s="97"/>
      <c r="PDH72" s="97"/>
      <c r="PDI72" s="97"/>
      <c r="PDJ72" s="97"/>
      <c r="PDK72" s="97"/>
      <c r="PDL72" s="97"/>
      <c r="PDM72" s="97"/>
      <c r="PDN72" s="97"/>
      <c r="PDO72" s="97"/>
      <c r="PDP72" s="97"/>
      <c r="PDQ72" s="97"/>
      <c r="PDR72" s="97"/>
      <c r="PDS72" s="97"/>
      <c r="PDT72" s="97"/>
      <c r="PDU72" s="97"/>
      <c r="PDV72" s="97"/>
      <c r="PDW72" s="97"/>
      <c r="PDX72" s="97"/>
      <c r="PDY72" s="97"/>
      <c r="PDZ72" s="97"/>
      <c r="PEA72" s="97"/>
      <c r="PEB72" s="97"/>
      <c r="PEC72" s="97"/>
      <c r="PED72" s="97"/>
      <c r="PEE72" s="97"/>
      <c r="PEF72" s="97"/>
      <c r="PEG72" s="97"/>
      <c r="PEH72" s="97"/>
      <c r="PEI72" s="97"/>
      <c r="PEJ72" s="97"/>
      <c r="PEK72" s="97"/>
      <c r="PEL72" s="97"/>
      <c r="PEM72" s="97"/>
      <c r="PEN72" s="97"/>
      <c r="PEO72" s="97"/>
      <c r="PEP72" s="97"/>
      <c r="PEQ72" s="97"/>
      <c r="PER72" s="97"/>
      <c r="PES72" s="97"/>
      <c r="PET72" s="97"/>
      <c r="PEU72" s="97"/>
      <c r="PEV72" s="97"/>
      <c r="PEW72" s="97"/>
      <c r="PEX72" s="97"/>
      <c r="PEY72" s="97"/>
      <c r="PEZ72" s="97"/>
      <c r="PFA72" s="97"/>
      <c r="PFB72" s="97"/>
      <c r="PFC72" s="97"/>
      <c r="PFD72" s="97"/>
      <c r="PFE72" s="97"/>
      <c r="PFF72" s="97"/>
      <c r="PFG72" s="97"/>
      <c r="PFH72" s="97"/>
      <c r="PFI72" s="97"/>
      <c r="PFJ72" s="97"/>
      <c r="PFK72" s="97"/>
      <c r="PFL72" s="97"/>
      <c r="PFM72" s="97"/>
      <c r="PFN72" s="97"/>
      <c r="PFO72" s="97"/>
      <c r="PFP72" s="97"/>
      <c r="PFQ72" s="97"/>
      <c r="PFR72" s="97"/>
      <c r="PFS72" s="97"/>
      <c r="PFT72" s="97"/>
      <c r="PFU72" s="97"/>
      <c r="PFV72" s="97"/>
      <c r="PFW72" s="97"/>
      <c r="PFX72" s="97"/>
      <c r="PFY72" s="97"/>
      <c r="PFZ72" s="97"/>
      <c r="PGA72" s="97"/>
      <c r="PGB72" s="97"/>
      <c r="PGC72" s="97"/>
      <c r="PGD72" s="97"/>
      <c r="PGE72" s="97"/>
      <c r="PGF72" s="97"/>
      <c r="PGG72" s="97"/>
      <c r="PGH72" s="97"/>
      <c r="PGI72" s="97"/>
      <c r="PGJ72" s="97"/>
      <c r="PGK72" s="97"/>
      <c r="PGL72" s="97"/>
      <c r="PGM72" s="97"/>
      <c r="PGN72" s="97"/>
      <c r="PGO72" s="97"/>
      <c r="PGP72" s="97"/>
      <c r="PGQ72" s="97"/>
      <c r="PGR72" s="97"/>
      <c r="PGS72" s="97"/>
      <c r="PGT72" s="97"/>
      <c r="PGU72" s="97"/>
      <c r="PGV72" s="97"/>
      <c r="PGW72" s="97"/>
      <c r="PGX72" s="97"/>
      <c r="PGY72" s="97"/>
      <c r="PGZ72" s="97"/>
      <c r="PHA72" s="97"/>
      <c r="PHB72" s="97"/>
      <c r="PHC72" s="97"/>
      <c r="PHD72" s="97"/>
      <c r="PHE72" s="97"/>
      <c r="PHF72" s="97"/>
      <c r="PHG72" s="97"/>
      <c r="PHH72" s="97"/>
      <c r="PHI72" s="97"/>
      <c r="PHJ72" s="97"/>
      <c r="PHK72" s="97"/>
      <c r="PHL72" s="97"/>
      <c r="PHM72" s="97"/>
      <c r="PHN72" s="97"/>
      <c r="PHO72" s="97"/>
      <c r="PHP72" s="97"/>
      <c r="PHQ72" s="97"/>
      <c r="PHR72" s="97"/>
      <c r="PHS72" s="97"/>
      <c r="PHT72" s="97"/>
      <c r="PHU72" s="97"/>
      <c r="PHV72" s="97"/>
      <c r="PHW72" s="97"/>
      <c r="PHX72" s="97"/>
      <c r="PHY72" s="97"/>
      <c r="PHZ72" s="97"/>
      <c r="PIA72" s="97"/>
      <c r="PIB72" s="97"/>
      <c r="PIC72" s="97"/>
      <c r="PID72" s="97"/>
      <c r="PIE72" s="97"/>
      <c r="PIF72" s="97"/>
      <c r="PIG72" s="97"/>
      <c r="PIH72" s="97"/>
      <c r="PII72" s="97"/>
      <c r="PIJ72" s="97"/>
      <c r="PIK72" s="97"/>
      <c r="PIL72" s="97"/>
      <c r="PIM72" s="97"/>
      <c r="PIN72" s="97"/>
      <c r="PIO72" s="97"/>
      <c r="PIP72" s="97"/>
      <c r="PIQ72" s="97"/>
      <c r="PIR72" s="97"/>
      <c r="PIS72" s="97"/>
      <c r="PIT72" s="97"/>
      <c r="PIU72" s="97"/>
      <c r="PIV72" s="97"/>
      <c r="PIW72" s="97"/>
      <c r="PIX72" s="97"/>
      <c r="PIY72" s="97"/>
      <c r="PIZ72" s="97"/>
      <c r="PJA72" s="97"/>
      <c r="PJB72" s="97"/>
      <c r="PJC72" s="97"/>
      <c r="PJD72" s="97"/>
      <c r="PJE72" s="97"/>
      <c r="PJF72" s="97"/>
      <c r="PJG72" s="97"/>
      <c r="PJH72" s="97"/>
      <c r="PJI72" s="97"/>
      <c r="PJJ72" s="97"/>
      <c r="PJK72" s="97"/>
      <c r="PJL72" s="97"/>
      <c r="PJM72" s="97"/>
      <c r="PJN72" s="97"/>
      <c r="PJO72" s="97"/>
      <c r="PJP72" s="97"/>
      <c r="PJQ72" s="97"/>
      <c r="PJR72" s="97"/>
      <c r="PJS72" s="97"/>
      <c r="PJT72" s="97"/>
      <c r="PJU72" s="97"/>
      <c r="PJV72" s="97"/>
      <c r="PJW72" s="97"/>
      <c r="PJX72" s="97"/>
      <c r="PJY72" s="97"/>
      <c r="PJZ72" s="97"/>
      <c r="PKA72" s="97"/>
      <c r="PKB72" s="97"/>
      <c r="PKC72" s="97"/>
      <c r="PKD72" s="97"/>
      <c r="PKE72" s="97"/>
      <c r="PKF72" s="97"/>
      <c r="PKG72" s="97"/>
      <c r="PKH72" s="97"/>
      <c r="PKI72" s="97"/>
      <c r="PKJ72" s="97"/>
      <c r="PKK72" s="97"/>
      <c r="PKL72" s="97"/>
      <c r="PKM72" s="97"/>
      <c r="PKN72" s="97"/>
      <c r="PKO72" s="97"/>
      <c r="PKP72" s="97"/>
      <c r="PKQ72" s="97"/>
      <c r="PKR72" s="97"/>
      <c r="PKS72" s="97"/>
      <c r="PKT72" s="97"/>
      <c r="PKU72" s="97"/>
      <c r="PKV72" s="97"/>
      <c r="PKW72" s="97"/>
      <c r="PKX72" s="97"/>
      <c r="PKY72" s="97"/>
      <c r="PKZ72" s="97"/>
      <c r="PLA72" s="97"/>
      <c r="PLB72" s="97"/>
      <c r="PLC72" s="97"/>
      <c r="PLD72" s="97"/>
      <c r="PLE72" s="97"/>
      <c r="PLF72" s="97"/>
      <c r="PLG72" s="97"/>
      <c r="PLH72" s="97"/>
      <c r="PLI72" s="97"/>
      <c r="PLJ72" s="97"/>
      <c r="PLK72" s="97"/>
      <c r="PLL72" s="97"/>
      <c r="PLM72" s="97"/>
      <c r="PLN72" s="97"/>
      <c r="PLO72" s="97"/>
      <c r="PLP72" s="97"/>
      <c r="PLQ72" s="97"/>
      <c r="PLR72" s="97"/>
      <c r="PLS72" s="97"/>
      <c r="PLT72" s="97"/>
      <c r="PLU72" s="97"/>
      <c r="PLV72" s="97"/>
      <c r="PLW72" s="97"/>
      <c r="PLX72" s="97"/>
      <c r="PLY72" s="97"/>
      <c r="PLZ72" s="97"/>
      <c r="PMA72" s="97"/>
      <c r="PMB72" s="97"/>
      <c r="PMC72" s="97"/>
      <c r="PMD72" s="97"/>
      <c r="PME72" s="97"/>
      <c r="PMF72" s="97"/>
      <c r="PMG72" s="97"/>
      <c r="PMH72" s="97"/>
      <c r="PMI72" s="97"/>
      <c r="PMJ72" s="97"/>
      <c r="PMK72" s="97"/>
      <c r="PML72" s="97"/>
      <c r="PMM72" s="97"/>
      <c r="PMN72" s="97"/>
      <c r="PMO72" s="97"/>
      <c r="PMP72" s="97"/>
      <c r="PMQ72" s="97"/>
      <c r="PMR72" s="97"/>
      <c r="PMS72" s="97"/>
      <c r="PMT72" s="97"/>
      <c r="PMU72" s="97"/>
      <c r="PMV72" s="97"/>
      <c r="PMW72" s="97"/>
      <c r="PMX72" s="97"/>
      <c r="PMY72" s="97"/>
      <c r="PMZ72" s="97"/>
      <c r="PNA72" s="97"/>
      <c r="PNB72" s="97"/>
      <c r="PNC72" s="97"/>
      <c r="PND72" s="97"/>
      <c r="PNE72" s="97"/>
      <c r="PNF72" s="97"/>
      <c r="PNG72" s="97"/>
      <c r="PNH72" s="97"/>
      <c r="PNI72" s="97"/>
      <c r="PNJ72" s="97"/>
      <c r="PNK72" s="97"/>
      <c r="PNL72" s="97"/>
      <c r="PNM72" s="97"/>
      <c r="PNN72" s="97"/>
      <c r="PNO72" s="97"/>
      <c r="PNP72" s="97"/>
      <c r="PNQ72" s="97"/>
      <c r="PNR72" s="97"/>
      <c r="PNS72" s="97"/>
      <c r="PNT72" s="97"/>
      <c r="PNU72" s="97"/>
      <c r="PNV72" s="97"/>
      <c r="PNW72" s="97"/>
      <c r="PNX72" s="97"/>
      <c r="PNY72" s="97"/>
      <c r="PNZ72" s="97"/>
      <c r="POA72" s="97"/>
      <c r="POB72" s="97"/>
      <c r="POC72" s="97"/>
      <c r="POD72" s="97"/>
      <c r="POE72" s="97"/>
      <c r="POF72" s="97"/>
      <c r="POG72" s="97"/>
      <c r="POH72" s="97"/>
      <c r="POI72" s="97"/>
      <c r="POJ72" s="97"/>
      <c r="POK72" s="97"/>
      <c r="POL72" s="97"/>
      <c r="POM72" s="97"/>
      <c r="PON72" s="97"/>
      <c r="POO72" s="97"/>
      <c r="POP72" s="97"/>
      <c r="POQ72" s="97"/>
      <c r="POR72" s="97"/>
      <c r="POS72" s="97"/>
      <c r="POT72" s="97"/>
      <c r="POU72" s="97"/>
      <c r="POV72" s="97"/>
      <c r="POW72" s="97"/>
      <c r="POX72" s="97"/>
      <c r="POY72" s="97"/>
      <c r="POZ72" s="97"/>
      <c r="PPA72" s="97"/>
      <c r="PPB72" s="97"/>
      <c r="PPC72" s="97"/>
      <c r="PPD72" s="97"/>
      <c r="PPE72" s="97"/>
      <c r="PPF72" s="97"/>
      <c r="PPG72" s="97"/>
      <c r="PPH72" s="97"/>
      <c r="PPI72" s="97"/>
      <c r="PPJ72" s="97"/>
      <c r="PPK72" s="97"/>
      <c r="PPL72" s="97"/>
      <c r="PPM72" s="97"/>
      <c r="PPN72" s="97"/>
      <c r="PPO72" s="97"/>
      <c r="PPP72" s="97"/>
      <c r="PPQ72" s="97"/>
      <c r="PPR72" s="97"/>
      <c r="PPS72" s="97"/>
      <c r="PPT72" s="97"/>
      <c r="PPU72" s="97"/>
      <c r="PPV72" s="97"/>
      <c r="PPW72" s="97"/>
      <c r="PPX72" s="97"/>
      <c r="PPY72" s="97"/>
      <c r="PPZ72" s="97"/>
      <c r="PQA72" s="97"/>
      <c r="PQB72" s="97"/>
      <c r="PQC72" s="97"/>
      <c r="PQD72" s="97"/>
      <c r="PQE72" s="97"/>
      <c r="PQF72" s="97"/>
      <c r="PQG72" s="97"/>
      <c r="PQH72" s="97"/>
      <c r="PQI72" s="97"/>
      <c r="PQJ72" s="97"/>
      <c r="PQK72" s="97"/>
      <c r="PQL72" s="97"/>
      <c r="PQM72" s="97"/>
      <c r="PQN72" s="97"/>
      <c r="PQO72" s="97"/>
      <c r="PQP72" s="97"/>
      <c r="PQQ72" s="97"/>
      <c r="PQR72" s="97"/>
      <c r="PQS72" s="97"/>
      <c r="PQT72" s="97"/>
      <c r="PQU72" s="97"/>
      <c r="PQV72" s="97"/>
      <c r="PQW72" s="97"/>
      <c r="PQX72" s="97"/>
      <c r="PQY72" s="97"/>
      <c r="PQZ72" s="97"/>
      <c r="PRA72" s="97"/>
      <c r="PRB72" s="97"/>
      <c r="PRC72" s="97"/>
      <c r="PRD72" s="97"/>
      <c r="PRE72" s="97"/>
      <c r="PRF72" s="97"/>
      <c r="PRG72" s="97"/>
      <c r="PRH72" s="97"/>
      <c r="PRI72" s="97"/>
      <c r="PRJ72" s="97"/>
      <c r="PRK72" s="97"/>
      <c r="PRL72" s="97"/>
      <c r="PRM72" s="97"/>
      <c r="PRN72" s="97"/>
      <c r="PRO72" s="97"/>
      <c r="PRP72" s="97"/>
      <c r="PRQ72" s="97"/>
      <c r="PRR72" s="97"/>
      <c r="PRS72" s="97"/>
      <c r="PRT72" s="97"/>
      <c r="PRU72" s="97"/>
      <c r="PRV72" s="97"/>
      <c r="PRW72" s="97"/>
      <c r="PRX72" s="97"/>
      <c r="PRY72" s="97"/>
      <c r="PRZ72" s="97"/>
      <c r="PSA72" s="97"/>
      <c r="PSB72" s="97"/>
      <c r="PSC72" s="97"/>
      <c r="PSD72" s="97"/>
      <c r="PSE72" s="97"/>
      <c r="PSF72" s="97"/>
      <c r="PSG72" s="97"/>
      <c r="PSH72" s="97"/>
      <c r="PSI72" s="97"/>
      <c r="PSJ72" s="97"/>
      <c r="PSK72" s="97"/>
      <c r="PSL72" s="97"/>
      <c r="PSM72" s="97"/>
      <c r="PSN72" s="97"/>
      <c r="PSO72" s="97"/>
      <c r="PSP72" s="97"/>
      <c r="PSQ72" s="97"/>
      <c r="PSR72" s="97"/>
      <c r="PSS72" s="97"/>
      <c r="PST72" s="97"/>
      <c r="PSU72" s="97"/>
      <c r="PSV72" s="97"/>
      <c r="PSW72" s="97"/>
      <c r="PSX72" s="97"/>
      <c r="PSY72" s="97"/>
      <c r="PSZ72" s="97"/>
      <c r="PTA72" s="97"/>
      <c r="PTB72" s="97"/>
      <c r="PTC72" s="97"/>
      <c r="PTD72" s="97"/>
      <c r="PTE72" s="97"/>
      <c r="PTF72" s="97"/>
      <c r="PTG72" s="97"/>
      <c r="PTH72" s="97"/>
      <c r="PTI72" s="97"/>
      <c r="PTJ72" s="97"/>
      <c r="PTK72" s="97"/>
      <c r="PTL72" s="97"/>
      <c r="PTM72" s="97"/>
      <c r="PTN72" s="97"/>
      <c r="PTO72" s="97"/>
      <c r="PTP72" s="97"/>
      <c r="PTQ72" s="97"/>
      <c r="PTR72" s="97"/>
      <c r="PTS72" s="97"/>
      <c r="PTT72" s="97"/>
      <c r="PTU72" s="97"/>
      <c r="PTV72" s="97"/>
      <c r="PTW72" s="97"/>
      <c r="PTX72" s="97"/>
      <c r="PTY72" s="97"/>
      <c r="PTZ72" s="97"/>
      <c r="PUA72" s="97"/>
      <c r="PUB72" s="97"/>
      <c r="PUC72" s="97"/>
      <c r="PUD72" s="97"/>
      <c r="PUE72" s="97"/>
      <c r="PUF72" s="97"/>
      <c r="PUG72" s="97"/>
      <c r="PUH72" s="97"/>
      <c r="PUI72" s="97"/>
      <c r="PUJ72" s="97"/>
      <c r="PUK72" s="97"/>
      <c r="PUL72" s="97"/>
      <c r="PUM72" s="97"/>
      <c r="PUN72" s="97"/>
      <c r="PUO72" s="97"/>
      <c r="PUP72" s="97"/>
      <c r="PUQ72" s="97"/>
      <c r="PUR72" s="97"/>
      <c r="PUS72" s="97"/>
      <c r="PUT72" s="97"/>
      <c r="PUU72" s="97"/>
      <c r="PUV72" s="97"/>
      <c r="PUW72" s="97"/>
      <c r="PUX72" s="97"/>
      <c r="PUY72" s="97"/>
      <c r="PUZ72" s="97"/>
      <c r="PVA72" s="97"/>
      <c r="PVB72" s="97"/>
      <c r="PVC72" s="97"/>
      <c r="PVD72" s="97"/>
      <c r="PVE72" s="97"/>
      <c r="PVF72" s="97"/>
      <c r="PVG72" s="97"/>
      <c r="PVH72" s="97"/>
      <c r="PVI72" s="97"/>
      <c r="PVJ72" s="97"/>
      <c r="PVK72" s="97"/>
      <c r="PVL72" s="97"/>
      <c r="PVM72" s="97"/>
      <c r="PVN72" s="97"/>
      <c r="PVO72" s="97"/>
      <c r="PVP72" s="97"/>
      <c r="PVQ72" s="97"/>
      <c r="PVR72" s="97"/>
      <c r="PVS72" s="97"/>
      <c r="PVT72" s="97"/>
      <c r="PVU72" s="97"/>
      <c r="PVV72" s="97"/>
      <c r="PVW72" s="97"/>
      <c r="PVX72" s="97"/>
      <c r="PVY72" s="97"/>
      <c r="PVZ72" s="97"/>
      <c r="PWA72" s="97"/>
      <c r="PWB72" s="97"/>
      <c r="PWC72" s="97"/>
      <c r="PWD72" s="97"/>
      <c r="PWE72" s="97"/>
      <c r="PWF72" s="97"/>
      <c r="PWG72" s="97"/>
      <c r="PWH72" s="97"/>
      <c r="PWI72" s="97"/>
      <c r="PWJ72" s="97"/>
      <c r="PWK72" s="97"/>
      <c r="PWL72" s="97"/>
      <c r="PWM72" s="97"/>
      <c r="PWN72" s="97"/>
      <c r="PWO72" s="97"/>
      <c r="PWP72" s="97"/>
      <c r="PWQ72" s="97"/>
      <c r="PWR72" s="97"/>
      <c r="PWS72" s="97"/>
      <c r="PWT72" s="97"/>
      <c r="PWU72" s="97"/>
      <c r="PWV72" s="97"/>
      <c r="PWW72" s="97"/>
      <c r="PWX72" s="97"/>
      <c r="PWY72" s="97"/>
      <c r="PWZ72" s="97"/>
      <c r="PXA72" s="97"/>
      <c r="PXB72" s="97"/>
      <c r="PXC72" s="97"/>
      <c r="PXD72" s="97"/>
      <c r="PXE72" s="97"/>
      <c r="PXF72" s="97"/>
      <c r="PXG72" s="97"/>
      <c r="PXH72" s="97"/>
      <c r="PXI72" s="97"/>
      <c r="PXJ72" s="97"/>
      <c r="PXK72" s="97"/>
      <c r="PXL72" s="97"/>
      <c r="PXM72" s="97"/>
      <c r="PXN72" s="97"/>
      <c r="PXO72" s="97"/>
      <c r="PXP72" s="97"/>
      <c r="PXQ72" s="97"/>
      <c r="PXR72" s="97"/>
      <c r="PXS72" s="97"/>
      <c r="PXT72" s="97"/>
      <c r="PXU72" s="97"/>
      <c r="PXV72" s="97"/>
      <c r="PXW72" s="97"/>
      <c r="PXX72" s="97"/>
      <c r="PXY72" s="97"/>
      <c r="PXZ72" s="97"/>
      <c r="PYA72" s="97"/>
      <c r="PYB72" s="97"/>
      <c r="PYC72" s="97"/>
      <c r="PYD72" s="97"/>
      <c r="PYE72" s="97"/>
      <c r="PYF72" s="97"/>
      <c r="PYG72" s="97"/>
      <c r="PYH72" s="97"/>
      <c r="PYI72" s="97"/>
      <c r="PYJ72" s="97"/>
      <c r="PYK72" s="97"/>
      <c r="PYL72" s="97"/>
      <c r="PYM72" s="97"/>
      <c r="PYN72" s="97"/>
      <c r="PYO72" s="97"/>
      <c r="PYP72" s="97"/>
      <c r="PYQ72" s="97"/>
      <c r="PYR72" s="97"/>
      <c r="PYS72" s="97"/>
      <c r="PYT72" s="97"/>
      <c r="PYU72" s="97"/>
      <c r="PYV72" s="97"/>
      <c r="PYW72" s="97"/>
      <c r="PYX72" s="97"/>
      <c r="PYY72" s="97"/>
      <c r="PYZ72" s="97"/>
      <c r="PZA72" s="97"/>
      <c r="PZB72" s="97"/>
      <c r="PZC72" s="97"/>
      <c r="PZD72" s="97"/>
      <c r="PZE72" s="97"/>
      <c r="PZF72" s="97"/>
      <c r="PZG72" s="97"/>
      <c r="PZH72" s="97"/>
      <c r="PZI72" s="97"/>
      <c r="PZJ72" s="97"/>
      <c r="PZK72" s="97"/>
      <c r="PZL72" s="97"/>
      <c r="PZM72" s="97"/>
      <c r="PZN72" s="97"/>
      <c r="PZO72" s="97"/>
      <c r="PZP72" s="97"/>
      <c r="PZQ72" s="97"/>
      <c r="PZR72" s="97"/>
      <c r="PZS72" s="97"/>
      <c r="PZT72" s="97"/>
      <c r="PZU72" s="97"/>
      <c r="PZV72" s="97"/>
      <c r="PZW72" s="97"/>
      <c r="PZX72" s="97"/>
      <c r="PZY72" s="97"/>
      <c r="PZZ72" s="97"/>
      <c r="QAA72" s="97"/>
      <c r="QAB72" s="97"/>
      <c r="QAC72" s="97"/>
      <c r="QAD72" s="97"/>
      <c r="QAE72" s="97"/>
      <c r="QAF72" s="97"/>
      <c r="QAG72" s="97"/>
      <c r="QAH72" s="97"/>
      <c r="QAI72" s="97"/>
      <c r="QAJ72" s="97"/>
      <c r="QAK72" s="97"/>
      <c r="QAL72" s="97"/>
      <c r="QAM72" s="97"/>
      <c r="QAN72" s="97"/>
      <c r="QAO72" s="97"/>
      <c r="QAP72" s="97"/>
      <c r="QAQ72" s="97"/>
      <c r="QAR72" s="97"/>
      <c r="QAS72" s="97"/>
      <c r="QAT72" s="97"/>
      <c r="QAU72" s="97"/>
      <c r="QAV72" s="97"/>
      <c r="QAW72" s="97"/>
      <c r="QAX72" s="97"/>
      <c r="QAY72" s="97"/>
      <c r="QAZ72" s="97"/>
      <c r="QBA72" s="97"/>
      <c r="QBB72" s="97"/>
      <c r="QBC72" s="97"/>
      <c r="QBD72" s="97"/>
      <c r="QBE72" s="97"/>
      <c r="QBF72" s="97"/>
      <c r="QBG72" s="97"/>
      <c r="QBH72" s="97"/>
      <c r="QBI72" s="97"/>
      <c r="QBJ72" s="97"/>
      <c r="QBK72" s="97"/>
      <c r="QBL72" s="97"/>
      <c r="QBM72" s="97"/>
      <c r="QBN72" s="97"/>
      <c r="QBO72" s="97"/>
      <c r="QBP72" s="97"/>
      <c r="QBQ72" s="97"/>
      <c r="QBR72" s="97"/>
      <c r="QBS72" s="97"/>
      <c r="QBT72" s="97"/>
      <c r="QBU72" s="97"/>
      <c r="QBV72" s="97"/>
      <c r="QBW72" s="97"/>
      <c r="QBX72" s="97"/>
      <c r="QBY72" s="97"/>
      <c r="QBZ72" s="97"/>
      <c r="QCA72" s="97"/>
      <c r="QCB72" s="97"/>
      <c r="QCC72" s="97"/>
      <c r="QCD72" s="97"/>
      <c r="QCE72" s="97"/>
      <c r="QCF72" s="97"/>
      <c r="QCG72" s="97"/>
      <c r="QCH72" s="97"/>
      <c r="QCI72" s="97"/>
      <c r="QCJ72" s="97"/>
      <c r="QCK72" s="97"/>
      <c r="QCL72" s="97"/>
      <c r="QCM72" s="97"/>
      <c r="QCN72" s="97"/>
      <c r="QCO72" s="97"/>
      <c r="QCP72" s="97"/>
      <c r="QCQ72" s="97"/>
      <c r="QCR72" s="97"/>
      <c r="QCS72" s="97"/>
      <c r="QCT72" s="97"/>
      <c r="QCU72" s="97"/>
      <c r="QCV72" s="97"/>
      <c r="QCW72" s="97"/>
      <c r="QCX72" s="97"/>
      <c r="QCY72" s="97"/>
      <c r="QCZ72" s="97"/>
      <c r="QDA72" s="97"/>
      <c r="QDB72" s="97"/>
      <c r="QDC72" s="97"/>
      <c r="QDD72" s="97"/>
      <c r="QDE72" s="97"/>
      <c r="QDF72" s="97"/>
      <c r="QDG72" s="97"/>
      <c r="QDH72" s="97"/>
      <c r="QDI72" s="97"/>
      <c r="QDJ72" s="97"/>
      <c r="QDK72" s="97"/>
      <c r="QDL72" s="97"/>
      <c r="QDM72" s="97"/>
      <c r="QDN72" s="97"/>
      <c r="QDO72" s="97"/>
      <c r="QDP72" s="97"/>
      <c r="QDQ72" s="97"/>
      <c r="QDR72" s="97"/>
      <c r="QDS72" s="97"/>
      <c r="QDT72" s="97"/>
      <c r="QDU72" s="97"/>
      <c r="QDV72" s="97"/>
      <c r="QDW72" s="97"/>
      <c r="QDX72" s="97"/>
      <c r="QDY72" s="97"/>
      <c r="QDZ72" s="97"/>
      <c r="QEA72" s="97"/>
      <c r="QEB72" s="97"/>
      <c r="QEC72" s="97"/>
      <c r="QED72" s="97"/>
      <c r="QEE72" s="97"/>
      <c r="QEF72" s="97"/>
      <c r="QEG72" s="97"/>
      <c r="QEH72" s="97"/>
      <c r="QEI72" s="97"/>
      <c r="QEJ72" s="97"/>
      <c r="QEK72" s="97"/>
      <c r="QEL72" s="97"/>
      <c r="QEM72" s="97"/>
      <c r="QEN72" s="97"/>
      <c r="QEO72" s="97"/>
      <c r="QEP72" s="97"/>
      <c r="QEQ72" s="97"/>
      <c r="QER72" s="97"/>
      <c r="QES72" s="97"/>
      <c r="QET72" s="97"/>
      <c r="QEU72" s="97"/>
      <c r="QEV72" s="97"/>
      <c r="QEW72" s="97"/>
      <c r="QEX72" s="97"/>
      <c r="QEY72" s="97"/>
      <c r="QEZ72" s="97"/>
      <c r="QFA72" s="97"/>
      <c r="QFB72" s="97"/>
      <c r="QFC72" s="97"/>
      <c r="QFD72" s="97"/>
      <c r="QFE72" s="97"/>
      <c r="QFF72" s="97"/>
      <c r="QFG72" s="97"/>
      <c r="QFH72" s="97"/>
      <c r="QFI72" s="97"/>
      <c r="QFJ72" s="97"/>
      <c r="QFK72" s="97"/>
      <c r="QFL72" s="97"/>
      <c r="QFM72" s="97"/>
      <c r="QFN72" s="97"/>
      <c r="QFO72" s="97"/>
      <c r="QFP72" s="97"/>
      <c r="QFQ72" s="97"/>
      <c r="QFR72" s="97"/>
      <c r="QFS72" s="97"/>
      <c r="QFT72" s="97"/>
      <c r="QFU72" s="97"/>
      <c r="QFV72" s="97"/>
      <c r="QFW72" s="97"/>
      <c r="QFX72" s="97"/>
      <c r="QFY72" s="97"/>
      <c r="QFZ72" s="97"/>
      <c r="QGA72" s="97"/>
      <c r="QGB72" s="97"/>
      <c r="QGC72" s="97"/>
      <c r="QGD72" s="97"/>
      <c r="QGE72" s="97"/>
      <c r="QGF72" s="97"/>
      <c r="QGG72" s="97"/>
      <c r="QGH72" s="97"/>
      <c r="QGI72" s="97"/>
      <c r="QGJ72" s="97"/>
      <c r="QGK72" s="97"/>
      <c r="QGL72" s="97"/>
      <c r="QGM72" s="97"/>
      <c r="QGN72" s="97"/>
      <c r="QGO72" s="97"/>
      <c r="QGP72" s="97"/>
      <c r="QGQ72" s="97"/>
      <c r="QGR72" s="97"/>
      <c r="QGS72" s="97"/>
      <c r="QGT72" s="97"/>
      <c r="QGU72" s="97"/>
      <c r="QGV72" s="97"/>
      <c r="QGW72" s="97"/>
      <c r="QGX72" s="97"/>
      <c r="QGY72" s="97"/>
      <c r="QGZ72" s="97"/>
      <c r="QHA72" s="97"/>
      <c r="QHB72" s="97"/>
      <c r="QHC72" s="97"/>
      <c r="QHD72" s="97"/>
      <c r="QHE72" s="97"/>
      <c r="QHF72" s="97"/>
      <c r="QHG72" s="97"/>
      <c r="QHH72" s="97"/>
      <c r="QHI72" s="97"/>
      <c r="QHJ72" s="97"/>
      <c r="QHK72" s="97"/>
      <c r="QHL72" s="97"/>
      <c r="QHM72" s="97"/>
      <c r="QHN72" s="97"/>
      <c r="QHO72" s="97"/>
      <c r="QHP72" s="97"/>
      <c r="QHQ72" s="97"/>
      <c r="QHR72" s="97"/>
      <c r="QHS72" s="97"/>
      <c r="QHT72" s="97"/>
      <c r="QHU72" s="97"/>
      <c r="QHV72" s="97"/>
      <c r="QHW72" s="97"/>
      <c r="QHX72" s="97"/>
      <c r="QHY72" s="97"/>
      <c r="QHZ72" s="97"/>
      <c r="QIA72" s="97"/>
      <c r="QIB72" s="97"/>
      <c r="QIC72" s="97"/>
      <c r="QID72" s="97"/>
      <c r="QIE72" s="97"/>
      <c r="QIF72" s="97"/>
      <c r="QIG72" s="97"/>
      <c r="QIH72" s="97"/>
      <c r="QII72" s="97"/>
      <c r="QIJ72" s="97"/>
      <c r="QIK72" s="97"/>
      <c r="QIL72" s="97"/>
      <c r="QIM72" s="97"/>
      <c r="QIN72" s="97"/>
      <c r="QIO72" s="97"/>
      <c r="QIP72" s="97"/>
      <c r="QIQ72" s="97"/>
      <c r="QIR72" s="97"/>
      <c r="QIS72" s="97"/>
      <c r="QIT72" s="97"/>
      <c r="QIU72" s="97"/>
      <c r="QIV72" s="97"/>
      <c r="QIW72" s="97"/>
      <c r="QIX72" s="97"/>
      <c r="QIY72" s="97"/>
      <c r="QIZ72" s="97"/>
      <c r="QJA72" s="97"/>
      <c r="QJB72" s="97"/>
      <c r="QJC72" s="97"/>
      <c r="QJD72" s="97"/>
      <c r="QJE72" s="97"/>
      <c r="QJF72" s="97"/>
      <c r="QJG72" s="97"/>
      <c r="QJH72" s="97"/>
      <c r="QJI72" s="97"/>
      <c r="QJJ72" s="97"/>
      <c r="QJK72" s="97"/>
      <c r="QJL72" s="97"/>
      <c r="QJM72" s="97"/>
      <c r="QJN72" s="97"/>
      <c r="QJO72" s="97"/>
      <c r="QJP72" s="97"/>
      <c r="QJQ72" s="97"/>
      <c r="QJR72" s="97"/>
      <c r="QJS72" s="97"/>
      <c r="QJT72" s="97"/>
      <c r="QJU72" s="97"/>
      <c r="QJV72" s="97"/>
      <c r="QJW72" s="97"/>
      <c r="QJX72" s="97"/>
      <c r="QJY72" s="97"/>
      <c r="QJZ72" s="97"/>
      <c r="QKA72" s="97"/>
      <c r="QKB72" s="97"/>
      <c r="QKC72" s="97"/>
      <c r="QKD72" s="97"/>
      <c r="QKE72" s="97"/>
      <c r="QKF72" s="97"/>
      <c r="QKG72" s="97"/>
      <c r="QKH72" s="97"/>
      <c r="QKI72" s="97"/>
      <c r="QKJ72" s="97"/>
      <c r="QKK72" s="97"/>
      <c r="QKL72" s="97"/>
      <c r="QKM72" s="97"/>
      <c r="QKN72" s="97"/>
      <c r="QKO72" s="97"/>
      <c r="QKP72" s="97"/>
      <c r="QKQ72" s="97"/>
      <c r="QKR72" s="97"/>
      <c r="QKS72" s="97"/>
      <c r="QKT72" s="97"/>
      <c r="QKU72" s="97"/>
      <c r="QKV72" s="97"/>
      <c r="QKW72" s="97"/>
      <c r="QKX72" s="97"/>
      <c r="QKY72" s="97"/>
      <c r="QKZ72" s="97"/>
      <c r="QLA72" s="97"/>
      <c r="QLB72" s="97"/>
      <c r="QLC72" s="97"/>
      <c r="QLD72" s="97"/>
      <c r="QLE72" s="97"/>
      <c r="QLF72" s="97"/>
      <c r="QLG72" s="97"/>
      <c r="QLH72" s="97"/>
      <c r="QLI72" s="97"/>
      <c r="QLJ72" s="97"/>
      <c r="QLK72" s="97"/>
      <c r="QLL72" s="97"/>
      <c r="QLM72" s="97"/>
      <c r="QLN72" s="97"/>
      <c r="QLO72" s="97"/>
      <c r="QLP72" s="97"/>
      <c r="QLQ72" s="97"/>
      <c r="QLR72" s="97"/>
      <c r="QLS72" s="97"/>
      <c r="QLT72" s="97"/>
      <c r="QLU72" s="97"/>
      <c r="QLV72" s="97"/>
      <c r="QLW72" s="97"/>
      <c r="QLX72" s="97"/>
      <c r="QLY72" s="97"/>
      <c r="QLZ72" s="97"/>
      <c r="QMA72" s="97"/>
      <c r="QMB72" s="97"/>
      <c r="QMC72" s="97"/>
      <c r="QMD72" s="97"/>
      <c r="QME72" s="97"/>
      <c r="QMF72" s="97"/>
      <c r="QMG72" s="97"/>
      <c r="QMH72" s="97"/>
      <c r="QMI72" s="97"/>
      <c r="QMJ72" s="97"/>
      <c r="QMK72" s="97"/>
      <c r="QML72" s="97"/>
      <c r="QMM72" s="97"/>
      <c r="QMN72" s="97"/>
      <c r="QMO72" s="97"/>
      <c r="QMP72" s="97"/>
      <c r="QMQ72" s="97"/>
      <c r="QMR72" s="97"/>
      <c r="QMS72" s="97"/>
      <c r="QMT72" s="97"/>
      <c r="QMU72" s="97"/>
      <c r="QMV72" s="97"/>
      <c r="QMW72" s="97"/>
      <c r="QMX72" s="97"/>
      <c r="QMY72" s="97"/>
      <c r="QMZ72" s="97"/>
      <c r="QNA72" s="97"/>
      <c r="QNB72" s="97"/>
      <c r="QNC72" s="97"/>
      <c r="QND72" s="97"/>
      <c r="QNE72" s="97"/>
      <c r="QNF72" s="97"/>
      <c r="QNG72" s="97"/>
      <c r="QNH72" s="97"/>
      <c r="QNI72" s="97"/>
      <c r="QNJ72" s="97"/>
      <c r="QNK72" s="97"/>
      <c r="QNL72" s="97"/>
      <c r="QNM72" s="97"/>
      <c r="QNN72" s="97"/>
      <c r="QNO72" s="97"/>
      <c r="QNP72" s="97"/>
      <c r="QNQ72" s="97"/>
      <c r="QNR72" s="97"/>
      <c r="QNS72" s="97"/>
      <c r="QNT72" s="97"/>
      <c r="QNU72" s="97"/>
      <c r="QNV72" s="97"/>
      <c r="QNW72" s="97"/>
      <c r="QNX72" s="97"/>
      <c r="QNY72" s="97"/>
      <c r="QNZ72" s="97"/>
      <c r="QOA72" s="97"/>
      <c r="QOB72" s="97"/>
      <c r="QOC72" s="97"/>
      <c r="QOD72" s="97"/>
      <c r="QOE72" s="97"/>
      <c r="QOF72" s="97"/>
      <c r="QOG72" s="97"/>
      <c r="QOH72" s="97"/>
      <c r="QOI72" s="97"/>
      <c r="QOJ72" s="97"/>
      <c r="QOK72" s="97"/>
      <c r="QOL72" s="97"/>
      <c r="QOM72" s="97"/>
      <c r="QON72" s="97"/>
      <c r="QOO72" s="97"/>
      <c r="QOP72" s="97"/>
      <c r="QOQ72" s="97"/>
      <c r="QOR72" s="97"/>
      <c r="QOS72" s="97"/>
      <c r="QOT72" s="97"/>
      <c r="QOU72" s="97"/>
      <c r="QOV72" s="97"/>
      <c r="QOW72" s="97"/>
      <c r="QOX72" s="97"/>
      <c r="QOY72" s="97"/>
      <c r="QOZ72" s="97"/>
      <c r="QPA72" s="97"/>
      <c r="QPB72" s="97"/>
      <c r="QPC72" s="97"/>
      <c r="QPD72" s="97"/>
      <c r="QPE72" s="97"/>
      <c r="QPF72" s="97"/>
      <c r="QPG72" s="97"/>
      <c r="QPH72" s="97"/>
      <c r="QPI72" s="97"/>
      <c r="QPJ72" s="97"/>
      <c r="QPK72" s="97"/>
      <c r="QPL72" s="97"/>
      <c r="QPM72" s="97"/>
      <c r="QPN72" s="97"/>
      <c r="QPO72" s="97"/>
      <c r="QPP72" s="97"/>
      <c r="QPQ72" s="97"/>
      <c r="QPR72" s="97"/>
      <c r="QPS72" s="97"/>
      <c r="QPT72" s="97"/>
      <c r="QPU72" s="97"/>
      <c r="QPV72" s="97"/>
      <c r="QPW72" s="97"/>
      <c r="QPX72" s="97"/>
      <c r="QPY72" s="97"/>
      <c r="QPZ72" s="97"/>
      <c r="QQA72" s="97"/>
      <c r="QQB72" s="97"/>
      <c r="QQC72" s="97"/>
      <c r="QQD72" s="97"/>
      <c r="QQE72" s="97"/>
      <c r="QQF72" s="97"/>
      <c r="QQG72" s="97"/>
      <c r="QQH72" s="97"/>
      <c r="QQI72" s="97"/>
      <c r="QQJ72" s="97"/>
      <c r="QQK72" s="97"/>
      <c r="QQL72" s="97"/>
      <c r="QQM72" s="97"/>
      <c r="QQN72" s="97"/>
      <c r="QQO72" s="97"/>
      <c r="QQP72" s="97"/>
      <c r="QQQ72" s="97"/>
      <c r="QQR72" s="97"/>
      <c r="QQS72" s="97"/>
      <c r="QQT72" s="97"/>
      <c r="QQU72" s="97"/>
      <c r="QQV72" s="97"/>
      <c r="QQW72" s="97"/>
      <c r="QQX72" s="97"/>
      <c r="QQY72" s="97"/>
      <c r="QQZ72" s="97"/>
      <c r="QRA72" s="97"/>
      <c r="QRB72" s="97"/>
      <c r="QRC72" s="97"/>
      <c r="QRD72" s="97"/>
      <c r="QRE72" s="97"/>
      <c r="QRF72" s="97"/>
      <c r="QRG72" s="97"/>
      <c r="QRH72" s="97"/>
      <c r="QRI72" s="97"/>
      <c r="QRJ72" s="97"/>
      <c r="QRK72" s="97"/>
      <c r="QRL72" s="97"/>
      <c r="QRM72" s="97"/>
      <c r="QRN72" s="97"/>
      <c r="QRO72" s="97"/>
      <c r="QRP72" s="97"/>
      <c r="QRQ72" s="97"/>
      <c r="QRR72" s="97"/>
      <c r="QRS72" s="97"/>
      <c r="QRT72" s="97"/>
      <c r="QRU72" s="97"/>
      <c r="QRV72" s="97"/>
      <c r="QRW72" s="97"/>
      <c r="QRX72" s="97"/>
      <c r="QRY72" s="97"/>
      <c r="QRZ72" s="97"/>
      <c r="QSA72" s="97"/>
      <c r="QSB72" s="97"/>
      <c r="QSC72" s="97"/>
      <c r="QSD72" s="97"/>
      <c r="QSE72" s="97"/>
      <c r="QSF72" s="97"/>
      <c r="QSG72" s="97"/>
      <c r="QSH72" s="97"/>
      <c r="QSI72" s="97"/>
      <c r="QSJ72" s="97"/>
      <c r="QSK72" s="97"/>
      <c r="QSL72" s="97"/>
      <c r="QSM72" s="97"/>
      <c r="QSN72" s="97"/>
      <c r="QSO72" s="97"/>
      <c r="QSP72" s="97"/>
      <c r="QSQ72" s="97"/>
      <c r="QSR72" s="97"/>
      <c r="QSS72" s="97"/>
      <c r="QST72" s="97"/>
      <c r="QSU72" s="97"/>
      <c r="QSV72" s="97"/>
      <c r="QSW72" s="97"/>
      <c r="QSX72" s="97"/>
      <c r="QSY72" s="97"/>
      <c r="QSZ72" s="97"/>
      <c r="QTA72" s="97"/>
      <c r="QTB72" s="97"/>
      <c r="QTC72" s="97"/>
      <c r="QTD72" s="97"/>
      <c r="QTE72" s="97"/>
      <c r="QTF72" s="97"/>
      <c r="QTG72" s="97"/>
      <c r="QTH72" s="97"/>
      <c r="QTI72" s="97"/>
      <c r="QTJ72" s="97"/>
      <c r="QTK72" s="97"/>
      <c r="QTL72" s="97"/>
      <c r="QTM72" s="97"/>
      <c r="QTN72" s="97"/>
      <c r="QTO72" s="97"/>
      <c r="QTP72" s="97"/>
      <c r="QTQ72" s="97"/>
      <c r="QTR72" s="97"/>
      <c r="QTS72" s="97"/>
      <c r="QTT72" s="97"/>
      <c r="QTU72" s="97"/>
      <c r="QTV72" s="97"/>
      <c r="QTW72" s="97"/>
      <c r="QTX72" s="97"/>
      <c r="QTY72" s="97"/>
      <c r="QTZ72" s="97"/>
      <c r="QUA72" s="97"/>
      <c r="QUB72" s="97"/>
      <c r="QUC72" s="97"/>
      <c r="QUD72" s="97"/>
      <c r="QUE72" s="97"/>
      <c r="QUF72" s="97"/>
      <c r="QUG72" s="97"/>
      <c r="QUH72" s="97"/>
      <c r="QUI72" s="97"/>
      <c r="QUJ72" s="97"/>
      <c r="QUK72" s="97"/>
      <c r="QUL72" s="97"/>
      <c r="QUM72" s="97"/>
      <c r="QUN72" s="97"/>
      <c r="QUO72" s="97"/>
      <c r="QUP72" s="97"/>
      <c r="QUQ72" s="97"/>
      <c r="QUR72" s="97"/>
      <c r="QUS72" s="97"/>
      <c r="QUT72" s="97"/>
      <c r="QUU72" s="97"/>
      <c r="QUV72" s="97"/>
      <c r="QUW72" s="97"/>
      <c r="QUX72" s="97"/>
      <c r="QUY72" s="97"/>
      <c r="QUZ72" s="97"/>
      <c r="QVA72" s="97"/>
      <c r="QVB72" s="97"/>
      <c r="QVC72" s="97"/>
      <c r="QVD72" s="97"/>
      <c r="QVE72" s="97"/>
      <c r="QVF72" s="97"/>
      <c r="QVG72" s="97"/>
      <c r="QVH72" s="97"/>
      <c r="QVI72" s="97"/>
      <c r="QVJ72" s="97"/>
      <c r="QVK72" s="97"/>
      <c r="QVL72" s="97"/>
      <c r="QVM72" s="97"/>
      <c r="QVN72" s="97"/>
      <c r="QVO72" s="97"/>
      <c r="QVP72" s="97"/>
      <c r="QVQ72" s="97"/>
      <c r="QVR72" s="97"/>
      <c r="QVS72" s="97"/>
      <c r="QVT72" s="97"/>
      <c r="QVU72" s="97"/>
      <c r="QVV72" s="97"/>
      <c r="QVW72" s="97"/>
      <c r="QVX72" s="97"/>
      <c r="QVY72" s="97"/>
      <c r="QVZ72" s="97"/>
      <c r="QWA72" s="97"/>
      <c r="QWB72" s="97"/>
      <c r="QWC72" s="97"/>
      <c r="QWD72" s="97"/>
      <c r="QWE72" s="97"/>
      <c r="QWF72" s="97"/>
      <c r="QWG72" s="97"/>
      <c r="QWH72" s="97"/>
      <c r="QWI72" s="97"/>
      <c r="QWJ72" s="97"/>
      <c r="QWK72" s="97"/>
      <c r="QWL72" s="97"/>
      <c r="QWM72" s="97"/>
      <c r="QWN72" s="97"/>
      <c r="QWO72" s="97"/>
      <c r="QWP72" s="97"/>
      <c r="QWQ72" s="97"/>
      <c r="QWR72" s="97"/>
      <c r="QWS72" s="97"/>
      <c r="QWT72" s="97"/>
      <c r="QWU72" s="97"/>
      <c r="QWV72" s="97"/>
      <c r="QWW72" s="97"/>
      <c r="QWX72" s="97"/>
      <c r="QWY72" s="97"/>
      <c r="QWZ72" s="97"/>
      <c r="QXA72" s="97"/>
      <c r="QXB72" s="97"/>
      <c r="QXC72" s="97"/>
      <c r="QXD72" s="97"/>
      <c r="QXE72" s="97"/>
      <c r="QXF72" s="97"/>
      <c r="QXG72" s="97"/>
      <c r="QXH72" s="97"/>
      <c r="QXI72" s="97"/>
      <c r="QXJ72" s="97"/>
      <c r="QXK72" s="97"/>
      <c r="QXL72" s="97"/>
      <c r="QXM72" s="97"/>
      <c r="QXN72" s="97"/>
      <c r="QXO72" s="97"/>
      <c r="QXP72" s="97"/>
      <c r="QXQ72" s="97"/>
      <c r="QXR72" s="97"/>
      <c r="QXS72" s="97"/>
      <c r="QXT72" s="97"/>
      <c r="QXU72" s="97"/>
      <c r="QXV72" s="97"/>
      <c r="QXW72" s="97"/>
      <c r="QXX72" s="97"/>
      <c r="QXY72" s="97"/>
      <c r="QXZ72" s="97"/>
      <c r="QYA72" s="97"/>
      <c r="QYB72" s="97"/>
      <c r="QYC72" s="97"/>
      <c r="QYD72" s="97"/>
      <c r="QYE72" s="97"/>
      <c r="QYF72" s="97"/>
      <c r="QYG72" s="97"/>
      <c r="QYH72" s="97"/>
      <c r="QYI72" s="97"/>
      <c r="QYJ72" s="97"/>
      <c r="QYK72" s="97"/>
      <c r="QYL72" s="97"/>
      <c r="QYM72" s="97"/>
      <c r="QYN72" s="97"/>
      <c r="QYO72" s="97"/>
      <c r="QYP72" s="97"/>
      <c r="QYQ72" s="97"/>
      <c r="QYR72" s="97"/>
      <c r="QYS72" s="97"/>
      <c r="QYT72" s="97"/>
      <c r="QYU72" s="97"/>
      <c r="QYV72" s="97"/>
      <c r="QYW72" s="97"/>
      <c r="QYX72" s="97"/>
      <c r="QYY72" s="97"/>
      <c r="QYZ72" s="97"/>
      <c r="QZA72" s="97"/>
      <c r="QZB72" s="97"/>
      <c r="QZC72" s="97"/>
      <c r="QZD72" s="97"/>
      <c r="QZE72" s="97"/>
      <c r="QZF72" s="97"/>
      <c r="QZG72" s="97"/>
      <c r="QZH72" s="97"/>
      <c r="QZI72" s="97"/>
      <c r="QZJ72" s="97"/>
      <c r="QZK72" s="97"/>
      <c r="QZL72" s="97"/>
      <c r="QZM72" s="97"/>
      <c r="QZN72" s="97"/>
      <c r="QZO72" s="97"/>
      <c r="QZP72" s="97"/>
      <c r="QZQ72" s="97"/>
      <c r="QZR72" s="97"/>
      <c r="QZS72" s="97"/>
      <c r="QZT72" s="97"/>
      <c r="QZU72" s="97"/>
      <c r="QZV72" s="97"/>
      <c r="QZW72" s="97"/>
      <c r="QZX72" s="97"/>
      <c r="QZY72" s="97"/>
      <c r="QZZ72" s="97"/>
      <c r="RAA72" s="97"/>
      <c r="RAB72" s="97"/>
      <c r="RAC72" s="97"/>
      <c r="RAD72" s="97"/>
      <c r="RAE72" s="97"/>
      <c r="RAF72" s="97"/>
      <c r="RAG72" s="97"/>
      <c r="RAH72" s="97"/>
      <c r="RAI72" s="97"/>
      <c r="RAJ72" s="97"/>
      <c r="RAK72" s="97"/>
      <c r="RAL72" s="97"/>
      <c r="RAM72" s="97"/>
      <c r="RAN72" s="97"/>
      <c r="RAO72" s="97"/>
      <c r="RAP72" s="97"/>
      <c r="RAQ72" s="97"/>
      <c r="RAR72" s="97"/>
      <c r="RAS72" s="97"/>
      <c r="RAT72" s="97"/>
      <c r="RAU72" s="97"/>
      <c r="RAV72" s="97"/>
      <c r="RAW72" s="97"/>
      <c r="RAX72" s="97"/>
      <c r="RAY72" s="97"/>
      <c r="RAZ72" s="97"/>
      <c r="RBA72" s="97"/>
      <c r="RBB72" s="97"/>
      <c r="RBC72" s="97"/>
      <c r="RBD72" s="97"/>
      <c r="RBE72" s="97"/>
      <c r="RBF72" s="97"/>
      <c r="RBG72" s="97"/>
      <c r="RBH72" s="97"/>
      <c r="RBI72" s="97"/>
      <c r="RBJ72" s="97"/>
      <c r="RBK72" s="97"/>
      <c r="RBL72" s="97"/>
      <c r="RBM72" s="97"/>
      <c r="RBN72" s="97"/>
      <c r="RBO72" s="97"/>
      <c r="RBP72" s="97"/>
      <c r="RBQ72" s="97"/>
      <c r="RBR72" s="97"/>
      <c r="RBS72" s="97"/>
      <c r="RBT72" s="97"/>
      <c r="RBU72" s="97"/>
      <c r="RBV72" s="97"/>
      <c r="RBW72" s="97"/>
      <c r="RBX72" s="97"/>
      <c r="RBY72" s="97"/>
      <c r="RBZ72" s="97"/>
      <c r="RCA72" s="97"/>
      <c r="RCB72" s="97"/>
      <c r="RCC72" s="97"/>
      <c r="RCD72" s="97"/>
      <c r="RCE72" s="97"/>
      <c r="RCF72" s="97"/>
      <c r="RCG72" s="97"/>
      <c r="RCH72" s="97"/>
      <c r="RCI72" s="97"/>
      <c r="RCJ72" s="97"/>
      <c r="RCK72" s="97"/>
      <c r="RCL72" s="97"/>
      <c r="RCM72" s="97"/>
      <c r="RCN72" s="97"/>
      <c r="RCO72" s="97"/>
      <c r="RCP72" s="97"/>
      <c r="RCQ72" s="97"/>
      <c r="RCR72" s="97"/>
      <c r="RCS72" s="97"/>
      <c r="RCT72" s="97"/>
      <c r="RCU72" s="97"/>
      <c r="RCV72" s="97"/>
      <c r="RCW72" s="97"/>
      <c r="RCX72" s="97"/>
      <c r="RCY72" s="97"/>
      <c r="RCZ72" s="97"/>
      <c r="RDA72" s="97"/>
      <c r="RDB72" s="97"/>
      <c r="RDC72" s="97"/>
      <c r="RDD72" s="97"/>
      <c r="RDE72" s="97"/>
      <c r="RDF72" s="97"/>
      <c r="RDG72" s="97"/>
      <c r="RDH72" s="97"/>
      <c r="RDI72" s="97"/>
      <c r="RDJ72" s="97"/>
      <c r="RDK72" s="97"/>
      <c r="RDL72" s="97"/>
      <c r="RDM72" s="97"/>
      <c r="RDN72" s="97"/>
      <c r="RDO72" s="97"/>
      <c r="RDP72" s="97"/>
      <c r="RDQ72" s="97"/>
      <c r="RDR72" s="97"/>
      <c r="RDS72" s="97"/>
      <c r="RDT72" s="97"/>
      <c r="RDU72" s="97"/>
      <c r="RDV72" s="97"/>
      <c r="RDW72" s="97"/>
      <c r="RDX72" s="97"/>
      <c r="RDY72" s="97"/>
      <c r="RDZ72" s="97"/>
      <c r="REA72" s="97"/>
      <c r="REB72" s="97"/>
      <c r="REC72" s="97"/>
      <c r="RED72" s="97"/>
      <c r="REE72" s="97"/>
      <c r="REF72" s="97"/>
      <c r="REG72" s="97"/>
      <c r="REH72" s="97"/>
      <c r="REI72" s="97"/>
      <c r="REJ72" s="97"/>
      <c r="REK72" s="97"/>
      <c r="REL72" s="97"/>
      <c r="REM72" s="97"/>
      <c r="REN72" s="97"/>
      <c r="REO72" s="97"/>
      <c r="REP72" s="97"/>
      <c r="REQ72" s="97"/>
      <c r="RER72" s="97"/>
      <c r="RES72" s="97"/>
      <c r="RET72" s="97"/>
      <c r="REU72" s="97"/>
      <c r="REV72" s="97"/>
      <c r="REW72" s="97"/>
      <c r="REX72" s="97"/>
      <c r="REY72" s="97"/>
      <c r="REZ72" s="97"/>
      <c r="RFA72" s="97"/>
      <c r="RFB72" s="97"/>
      <c r="RFC72" s="97"/>
      <c r="RFD72" s="97"/>
      <c r="RFE72" s="97"/>
      <c r="RFF72" s="97"/>
      <c r="RFG72" s="97"/>
      <c r="RFH72" s="97"/>
      <c r="RFI72" s="97"/>
      <c r="RFJ72" s="97"/>
      <c r="RFK72" s="97"/>
      <c r="RFL72" s="97"/>
      <c r="RFM72" s="97"/>
      <c r="RFN72" s="97"/>
      <c r="RFO72" s="97"/>
      <c r="RFP72" s="97"/>
      <c r="RFQ72" s="97"/>
      <c r="RFR72" s="97"/>
      <c r="RFS72" s="97"/>
      <c r="RFT72" s="97"/>
      <c r="RFU72" s="97"/>
      <c r="RFV72" s="97"/>
      <c r="RFW72" s="97"/>
      <c r="RFX72" s="97"/>
      <c r="RFY72" s="97"/>
      <c r="RFZ72" s="97"/>
      <c r="RGA72" s="97"/>
      <c r="RGB72" s="97"/>
      <c r="RGC72" s="97"/>
      <c r="RGD72" s="97"/>
      <c r="RGE72" s="97"/>
      <c r="RGF72" s="97"/>
      <c r="RGG72" s="97"/>
      <c r="RGH72" s="97"/>
      <c r="RGI72" s="97"/>
      <c r="RGJ72" s="97"/>
      <c r="RGK72" s="97"/>
      <c r="RGL72" s="97"/>
      <c r="RGM72" s="97"/>
      <c r="RGN72" s="97"/>
      <c r="RGO72" s="97"/>
      <c r="RGP72" s="97"/>
      <c r="RGQ72" s="97"/>
      <c r="RGR72" s="97"/>
      <c r="RGS72" s="97"/>
      <c r="RGT72" s="97"/>
      <c r="RGU72" s="97"/>
      <c r="RGV72" s="97"/>
      <c r="RGW72" s="97"/>
      <c r="RGX72" s="97"/>
      <c r="RGY72" s="97"/>
      <c r="RGZ72" s="97"/>
      <c r="RHA72" s="97"/>
      <c r="RHB72" s="97"/>
      <c r="RHC72" s="97"/>
      <c r="RHD72" s="97"/>
      <c r="RHE72" s="97"/>
      <c r="RHF72" s="97"/>
      <c r="RHG72" s="97"/>
      <c r="RHH72" s="97"/>
      <c r="RHI72" s="97"/>
      <c r="RHJ72" s="97"/>
      <c r="RHK72" s="97"/>
      <c r="RHL72" s="97"/>
      <c r="RHM72" s="97"/>
      <c r="RHN72" s="97"/>
      <c r="RHO72" s="97"/>
      <c r="RHP72" s="97"/>
      <c r="RHQ72" s="97"/>
      <c r="RHR72" s="97"/>
      <c r="RHS72" s="97"/>
      <c r="RHT72" s="97"/>
      <c r="RHU72" s="97"/>
      <c r="RHV72" s="97"/>
      <c r="RHW72" s="97"/>
      <c r="RHX72" s="97"/>
      <c r="RHY72" s="97"/>
      <c r="RHZ72" s="97"/>
      <c r="RIA72" s="97"/>
      <c r="RIB72" s="97"/>
      <c r="RIC72" s="97"/>
      <c r="RID72" s="97"/>
      <c r="RIE72" s="97"/>
      <c r="RIF72" s="97"/>
      <c r="RIG72" s="97"/>
      <c r="RIH72" s="97"/>
      <c r="RII72" s="97"/>
      <c r="RIJ72" s="97"/>
      <c r="RIK72" s="97"/>
      <c r="RIL72" s="97"/>
      <c r="RIM72" s="97"/>
      <c r="RIN72" s="97"/>
      <c r="RIO72" s="97"/>
      <c r="RIP72" s="97"/>
      <c r="RIQ72" s="97"/>
      <c r="RIR72" s="97"/>
      <c r="RIS72" s="97"/>
      <c r="RIT72" s="97"/>
      <c r="RIU72" s="97"/>
      <c r="RIV72" s="97"/>
      <c r="RIW72" s="97"/>
      <c r="RIX72" s="97"/>
      <c r="RIY72" s="97"/>
      <c r="RIZ72" s="97"/>
      <c r="RJA72" s="97"/>
      <c r="RJB72" s="97"/>
      <c r="RJC72" s="97"/>
      <c r="RJD72" s="97"/>
      <c r="RJE72" s="97"/>
      <c r="RJF72" s="97"/>
      <c r="RJG72" s="97"/>
      <c r="RJH72" s="97"/>
      <c r="RJI72" s="97"/>
      <c r="RJJ72" s="97"/>
      <c r="RJK72" s="97"/>
      <c r="RJL72" s="97"/>
      <c r="RJM72" s="97"/>
      <c r="RJN72" s="97"/>
      <c r="RJO72" s="97"/>
      <c r="RJP72" s="97"/>
      <c r="RJQ72" s="97"/>
      <c r="RJR72" s="97"/>
      <c r="RJS72" s="97"/>
      <c r="RJT72" s="97"/>
      <c r="RJU72" s="97"/>
      <c r="RJV72" s="97"/>
      <c r="RJW72" s="97"/>
      <c r="RJX72" s="97"/>
      <c r="RJY72" s="97"/>
      <c r="RJZ72" s="97"/>
      <c r="RKA72" s="97"/>
      <c r="RKB72" s="97"/>
      <c r="RKC72" s="97"/>
      <c r="RKD72" s="97"/>
      <c r="RKE72" s="97"/>
      <c r="RKF72" s="97"/>
      <c r="RKG72" s="97"/>
      <c r="RKH72" s="97"/>
      <c r="RKI72" s="97"/>
      <c r="RKJ72" s="97"/>
      <c r="RKK72" s="97"/>
      <c r="RKL72" s="97"/>
      <c r="RKM72" s="97"/>
      <c r="RKN72" s="97"/>
      <c r="RKO72" s="97"/>
      <c r="RKP72" s="97"/>
      <c r="RKQ72" s="97"/>
      <c r="RKR72" s="97"/>
      <c r="RKS72" s="97"/>
      <c r="RKT72" s="97"/>
      <c r="RKU72" s="97"/>
      <c r="RKV72" s="97"/>
      <c r="RKW72" s="97"/>
      <c r="RKX72" s="97"/>
      <c r="RKY72" s="97"/>
      <c r="RKZ72" s="97"/>
      <c r="RLA72" s="97"/>
      <c r="RLB72" s="97"/>
      <c r="RLC72" s="97"/>
      <c r="RLD72" s="97"/>
      <c r="RLE72" s="97"/>
      <c r="RLF72" s="97"/>
      <c r="RLG72" s="97"/>
      <c r="RLH72" s="97"/>
      <c r="RLI72" s="97"/>
      <c r="RLJ72" s="97"/>
      <c r="RLK72" s="97"/>
      <c r="RLL72" s="97"/>
      <c r="RLM72" s="97"/>
      <c r="RLN72" s="97"/>
      <c r="RLO72" s="97"/>
      <c r="RLP72" s="97"/>
      <c r="RLQ72" s="97"/>
      <c r="RLR72" s="97"/>
      <c r="RLS72" s="97"/>
      <c r="RLT72" s="97"/>
      <c r="RLU72" s="97"/>
      <c r="RLV72" s="97"/>
      <c r="RLW72" s="97"/>
      <c r="RLX72" s="97"/>
      <c r="RLY72" s="97"/>
      <c r="RLZ72" s="97"/>
      <c r="RMA72" s="97"/>
      <c r="RMB72" s="97"/>
      <c r="RMC72" s="97"/>
      <c r="RMD72" s="97"/>
      <c r="RME72" s="97"/>
      <c r="RMF72" s="97"/>
      <c r="RMG72" s="97"/>
      <c r="RMH72" s="97"/>
      <c r="RMI72" s="97"/>
      <c r="RMJ72" s="97"/>
      <c r="RMK72" s="97"/>
      <c r="RML72" s="97"/>
      <c r="RMM72" s="97"/>
      <c r="RMN72" s="97"/>
      <c r="RMO72" s="97"/>
      <c r="RMP72" s="97"/>
      <c r="RMQ72" s="97"/>
      <c r="RMR72" s="97"/>
      <c r="RMS72" s="97"/>
      <c r="RMT72" s="97"/>
      <c r="RMU72" s="97"/>
      <c r="RMV72" s="97"/>
      <c r="RMW72" s="97"/>
      <c r="RMX72" s="97"/>
      <c r="RMY72" s="97"/>
      <c r="RMZ72" s="97"/>
      <c r="RNA72" s="97"/>
      <c r="RNB72" s="97"/>
      <c r="RNC72" s="97"/>
      <c r="RND72" s="97"/>
      <c r="RNE72" s="97"/>
      <c r="RNF72" s="97"/>
      <c r="RNG72" s="97"/>
      <c r="RNH72" s="97"/>
      <c r="RNI72" s="97"/>
      <c r="RNJ72" s="97"/>
      <c r="RNK72" s="97"/>
      <c r="RNL72" s="97"/>
      <c r="RNM72" s="97"/>
      <c r="RNN72" s="97"/>
      <c r="RNO72" s="97"/>
      <c r="RNP72" s="97"/>
      <c r="RNQ72" s="97"/>
      <c r="RNR72" s="97"/>
      <c r="RNS72" s="97"/>
      <c r="RNT72" s="97"/>
      <c r="RNU72" s="97"/>
      <c r="RNV72" s="97"/>
      <c r="RNW72" s="97"/>
      <c r="RNX72" s="97"/>
      <c r="RNY72" s="97"/>
      <c r="RNZ72" s="97"/>
      <c r="ROA72" s="97"/>
      <c r="ROB72" s="97"/>
      <c r="ROC72" s="97"/>
      <c r="ROD72" s="97"/>
      <c r="ROE72" s="97"/>
      <c r="ROF72" s="97"/>
      <c r="ROG72" s="97"/>
      <c r="ROH72" s="97"/>
      <c r="ROI72" s="97"/>
      <c r="ROJ72" s="97"/>
      <c r="ROK72" s="97"/>
      <c r="ROL72" s="97"/>
      <c r="ROM72" s="97"/>
      <c r="RON72" s="97"/>
      <c r="ROO72" s="97"/>
      <c r="ROP72" s="97"/>
      <c r="ROQ72" s="97"/>
      <c r="ROR72" s="97"/>
      <c r="ROS72" s="97"/>
      <c r="ROT72" s="97"/>
      <c r="ROU72" s="97"/>
      <c r="ROV72" s="97"/>
      <c r="ROW72" s="97"/>
      <c r="ROX72" s="97"/>
      <c r="ROY72" s="97"/>
      <c r="ROZ72" s="97"/>
      <c r="RPA72" s="97"/>
      <c r="RPB72" s="97"/>
      <c r="RPC72" s="97"/>
      <c r="RPD72" s="97"/>
      <c r="RPE72" s="97"/>
      <c r="RPF72" s="97"/>
      <c r="RPG72" s="97"/>
      <c r="RPH72" s="97"/>
      <c r="RPI72" s="97"/>
      <c r="RPJ72" s="97"/>
      <c r="RPK72" s="97"/>
      <c r="RPL72" s="97"/>
      <c r="RPM72" s="97"/>
      <c r="RPN72" s="97"/>
      <c r="RPO72" s="97"/>
      <c r="RPP72" s="97"/>
      <c r="RPQ72" s="97"/>
      <c r="RPR72" s="97"/>
      <c r="RPS72" s="97"/>
      <c r="RPT72" s="97"/>
      <c r="RPU72" s="97"/>
      <c r="RPV72" s="97"/>
      <c r="RPW72" s="97"/>
      <c r="RPX72" s="97"/>
      <c r="RPY72" s="97"/>
      <c r="RPZ72" s="97"/>
      <c r="RQA72" s="97"/>
      <c r="RQB72" s="97"/>
      <c r="RQC72" s="97"/>
      <c r="RQD72" s="97"/>
      <c r="RQE72" s="97"/>
      <c r="RQF72" s="97"/>
      <c r="RQG72" s="97"/>
      <c r="RQH72" s="97"/>
      <c r="RQI72" s="97"/>
      <c r="RQJ72" s="97"/>
      <c r="RQK72" s="97"/>
      <c r="RQL72" s="97"/>
      <c r="RQM72" s="97"/>
      <c r="RQN72" s="97"/>
      <c r="RQO72" s="97"/>
      <c r="RQP72" s="97"/>
      <c r="RQQ72" s="97"/>
      <c r="RQR72" s="97"/>
      <c r="RQS72" s="97"/>
      <c r="RQT72" s="97"/>
      <c r="RQU72" s="97"/>
      <c r="RQV72" s="97"/>
      <c r="RQW72" s="97"/>
      <c r="RQX72" s="97"/>
      <c r="RQY72" s="97"/>
      <c r="RQZ72" s="97"/>
      <c r="RRA72" s="97"/>
      <c r="RRB72" s="97"/>
      <c r="RRC72" s="97"/>
      <c r="RRD72" s="97"/>
      <c r="RRE72" s="97"/>
      <c r="RRF72" s="97"/>
      <c r="RRG72" s="97"/>
      <c r="RRH72" s="97"/>
      <c r="RRI72" s="97"/>
      <c r="RRJ72" s="97"/>
      <c r="RRK72" s="97"/>
      <c r="RRL72" s="97"/>
      <c r="RRM72" s="97"/>
      <c r="RRN72" s="97"/>
      <c r="RRO72" s="97"/>
      <c r="RRP72" s="97"/>
      <c r="RRQ72" s="97"/>
      <c r="RRR72" s="97"/>
      <c r="RRS72" s="97"/>
      <c r="RRT72" s="97"/>
      <c r="RRU72" s="97"/>
      <c r="RRV72" s="97"/>
      <c r="RRW72" s="97"/>
      <c r="RRX72" s="97"/>
      <c r="RRY72" s="97"/>
      <c r="RRZ72" s="97"/>
      <c r="RSA72" s="97"/>
      <c r="RSB72" s="97"/>
      <c r="RSC72" s="97"/>
      <c r="RSD72" s="97"/>
      <c r="RSE72" s="97"/>
      <c r="RSF72" s="97"/>
      <c r="RSG72" s="97"/>
      <c r="RSH72" s="97"/>
      <c r="RSI72" s="97"/>
      <c r="RSJ72" s="97"/>
      <c r="RSK72" s="97"/>
      <c r="RSL72" s="97"/>
      <c r="RSM72" s="97"/>
      <c r="RSN72" s="97"/>
      <c r="RSO72" s="97"/>
      <c r="RSP72" s="97"/>
      <c r="RSQ72" s="97"/>
      <c r="RSR72" s="97"/>
      <c r="RSS72" s="97"/>
      <c r="RST72" s="97"/>
      <c r="RSU72" s="97"/>
      <c r="RSV72" s="97"/>
      <c r="RSW72" s="97"/>
      <c r="RSX72" s="97"/>
      <c r="RSY72" s="97"/>
      <c r="RSZ72" s="97"/>
      <c r="RTA72" s="97"/>
      <c r="RTB72" s="97"/>
      <c r="RTC72" s="97"/>
      <c r="RTD72" s="97"/>
      <c r="RTE72" s="97"/>
      <c r="RTF72" s="97"/>
      <c r="RTG72" s="97"/>
      <c r="RTH72" s="97"/>
      <c r="RTI72" s="97"/>
      <c r="RTJ72" s="97"/>
      <c r="RTK72" s="97"/>
      <c r="RTL72" s="97"/>
      <c r="RTM72" s="97"/>
      <c r="RTN72" s="97"/>
      <c r="RTO72" s="97"/>
      <c r="RTP72" s="97"/>
      <c r="RTQ72" s="97"/>
      <c r="RTR72" s="97"/>
      <c r="RTS72" s="97"/>
      <c r="RTT72" s="97"/>
      <c r="RTU72" s="97"/>
      <c r="RTV72" s="97"/>
      <c r="RTW72" s="97"/>
      <c r="RTX72" s="97"/>
      <c r="RTY72" s="97"/>
      <c r="RTZ72" s="97"/>
      <c r="RUA72" s="97"/>
      <c r="RUB72" s="97"/>
      <c r="RUC72" s="97"/>
      <c r="RUD72" s="97"/>
      <c r="RUE72" s="97"/>
      <c r="RUF72" s="97"/>
      <c r="RUG72" s="97"/>
      <c r="RUH72" s="97"/>
      <c r="RUI72" s="97"/>
      <c r="RUJ72" s="97"/>
      <c r="RUK72" s="97"/>
      <c r="RUL72" s="97"/>
      <c r="RUM72" s="97"/>
      <c r="RUN72" s="97"/>
      <c r="RUO72" s="97"/>
      <c r="RUP72" s="97"/>
      <c r="RUQ72" s="97"/>
      <c r="RUR72" s="97"/>
      <c r="RUS72" s="97"/>
      <c r="RUT72" s="97"/>
      <c r="RUU72" s="97"/>
      <c r="RUV72" s="97"/>
      <c r="RUW72" s="97"/>
      <c r="RUX72" s="97"/>
      <c r="RUY72" s="97"/>
      <c r="RUZ72" s="97"/>
      <c r="RVA72" s="97"/>
      <c r="RVB72" s="97"/>
      <c r="RVC72" s="97"/>
      <c r="RVD72" s="97"/>
      <c r="RVE72" s="97"/>
      <c r="RVF72" s="97"/>
      <c r="RVG72" s="97"/>
      <c r="RVH72" s="97"/>
      <c r="RVI72" s="97"/>
      <c r="RVJ72" s="97"/>
      <c r="RVK72" s="97"/>
      <c r="RVL72" s="97"/>
      <c r="RVM72" s="97"/>
      <c r="RVN72" s="97"/>
      <c r="RVO72" s="97"/>
      <c r="RVP72" s="97"/>
      <c r="RVQ72" s="97"/>
      <c r="RVR72" s="97"/>
      <c r="RVS72" s="97"/>
      <c r="RVT72" s="97"/>
      <c r="RVU72" s="97"/>
      <c r="RVV72" s="97"/>
      <c r="RVW72" s="97"/>
      <c r="RVX72" s="97"/>
      <c r="RVY72" s="97"/>
      <c r="RVZ72" s="97"/>
      <c r="RWA72" s="97"/>
      <c r="RWB72" s="97"/>
      <c r="RWC72" s="97"/>
      <c r="RWD72" s="97"/>
      <c r="RWE72" s="97"/>
      <c r="RWF72" s="97"/>
      <c r="RWG72" s="97"/>
      <c r="RWH72" s="97"/>
      <c r="RWI72" s="97"/>
      <c r="RWJ72" s="97"/>
      <c r="RWK72" s="97"/>
      <c r="RWL72" s="97"/>
      <c r="RWM72" s="97"/>
      <c r="RWN72" s="97"/>
      <c r="RWO72" s="97"/>
      <c r="RWP72" s="97"/>
      <c r="RWQ72" s="97"/>
      <c r="RWR72" s="97"/>
      <c r="RWS72" s="97"/>
      <c r="RWT72" s="97"/>
      <c r="RWU72" s="97"/>
      <c r="RWV72" s="97"/>
      <c r="RWW72" s="97"/>
      <c r="RWX72" s="97"/>
      <c r="RWY72" s="97"/>
      <c r="RWZ72" s="97"/>
      <c r="RXA72" s="97"/>
      <c r="RXB72" s="97"/>
      <c r="RXC72" s="97"/>
      <c r="RXD72" s="97"/>
      <c r="RXE72" s="97"/>
      <c r="RXF72" s="97"/>
      <c r="RXG72" s="97"/>
      <c r="RXH72" s="97"/>
      <c r="RXI72" s="97"/>
      <c r="RXJ72" s="97"/>
      <c r="RXK72" s="97"/>
      <c r="RXL72" s="97"/>
      <c r="RXM72" s="97"/>
      <c r="RXN72" s="97"/>
      <c r="RXO72" s="97"/>
      <c r="RXP72" s="97"/>
      <c r="RXQ72" s="97"/>
      <c r="RXR72" s="97"/>
      <c r="RXS72" s="97"/>
      <c r="RXT72" s="97"/>
      <c r="RXU72" s="97"/>
      <c r="RXV72" s="97"/>
      <c r="RXW72" s="97"/>
      <c r="RXX72" s="97"/>
      <c r="RXY72" s="97"/>
      <c r="RXZ72" s="97"/>
      <c r="RYA72" s="97"/>
      <c r="RYB72" s="97"/>
      <c r="RYC72" s="97"/>
      <c r="RYD72" s="97"/>
      <c r="RYE72" s="97"/>
      <c r="RYF72" s="97"/>
      <c r="RYG72" s="97"/>
      <c r="RYH72" s="97"/>
      <c r="RYI72" s="97"/>
      <c r="RYJ72" s="97"/>
      <c r="RYK72" s="97"/>
      <c r="RYL72" s="97"/>
      <c r="RYM72" s="97"/>
      <c r="RYN72" s="97"/>
      <c r="RYO72" s="97"/>
      <c r="RYP72" s="97"/>
      <c r="RYQ72" s="97"/>
      <c r="RYR72" s="97"/>
      <c r="RYS72" s="97"/>
      <c r="RYT72" s="97"/>
      <c r="RYU72" s="97"/>
      <c r="RYV72" s="97"/>
      <c r="RYW72" s="97"/>
      <c r="RYX72" s="97"/>
      <c r="RYY72" s="97"/>
      <c r="RYZ72" s="97"/>
      <c r="RZA72" s="97"/>
      <c r="RZB72" s="97"/>
      <c r="RZC72" s="97"/>
      <c r="RZD72" s="97"/>
      <c r="RZE72" s="97"/>
      <c r="RZF72" s="97"/>
      <c r="RZG72" s="97"/>
      <c r="RZH72" s="97"/>
      <c r="RZI72" s="97"/>
      <c r="RZJ72" s="97"/>
      <c r="RZK72" s="97"/>
      <c r="RZL72" s="97"/>
      <c r="RZM72" s="97"/>
      <c r="RZN72" s="97"/>
      <c r="RZO72" s="97"/>
      <c r="RZP72" s="97"/>
      <c r="RZQ72" s="97"/>
      <c r="RZR72" s="97"/>
      <c r="RZS72" s="97"/>
      <c r="RZT72" s="97"/>
      <c r="RZU72" s="97"/>
      <c r="RZV72" s="97"/>
      <c r="RZW72" s="97"/>
      <c r="RZX72" s="97"/>
      <c r="RZY72" s="97"/>
      <c r="RZZ72" s="97"/>
      <c r="SAA72" s="97"/>
      <c r="SAB72" s="97"/>
      <c r="SAC72" s="97"/>
      <c r="SAD72" s="97"/>
      <c r="SAE72" s="97"/>
      <c r="SAF72" s="97"/>
      <c r="SAG72" s="97"/>
      <c r="SAH72" s="97"/>
      <c r="SAI72" s="97"/>
      <c r="SAJ72" s="97"/>
      <c r="SAK72" s="97"/>
      <c r="SAL72" s="97"/>
      <c r="SAM72" s="97"/>
      <c r="SAN72" s="97"/>
      <c r="SAO72" s="97"/>
      <c r="SAP72" s="97"/>
      <c r="SAQ72" s="97"/>
      <c r="SAR72" s="97"/>
      <c r="SAS72" s="97"/>
      <c r="SAT72" s="97"/>
      <c r="SAU72" s="97"/>
      <c r="SAV72" s="97"/>
      <c r="SAW72" s="97"/>
      <c r="SAX72" s="97"/>
      <c r="SAY72" s="97"/>
      <c r="SAZ72" s="97"/>
      <c r="SBA72" s="97"/>
      <c r="SBB72" s="97"/>
      <c r="SBC72" s="97"/>
      <c r="SBD72" s="97"/>
      <c r="SBE72" s="97"/>
      <c r="SBF72" s="97"/>
      <c r="SBG72" s="97"/>
      <c r="SBH72" s="97"/>
      <c r="SBI72" s="97"/>
      <c r="SBJ72" s="97"/>
      <c r="SBK72" s="97"/>
      <c r="SBL72" s="97"/>
      <c r="SBM72" s="97"/>
      <c r="SBN72" s="97"/>
      <c r="SBO72" s="97"/>
      <c r="SBP72" s="97"/>
      <c r="SBQ72" s="97"/>
      <c r="SBR72" s="97"/>
      <c r="SBS72" s="97"/>
      <c r="SBT72" s="97"/>
      <c r="SBU72" s="97"/>
      <c r="SBV72" s="97"/>
      <c r="SBW72" s="97"/>
      <c r="SBX72" s="97"/>
      <c r="SBY72" s="97"/>
      <c r="SBZ72" s="97"/>
      <c r="SCA72" s="97"/>
      <c r="SCB72" s="97"/>
      <c r="SCC72" s="97"/>
      <c r="SCD72" s="97"/>
      <c r="SCE72" s="97"/>
      <c r="SCF72" s="97"/>
      <c r="SCG72" s="97"/>
      <c r="SCH72" s="97"/>
      <c r="SCI72" s="97"/>
      <c r="SCJ72" s="97"/>
      <c r="SCK72" s="97"/>
      <c r="SCL72" s="97"/>
      <c r="SCM72" s="97"/>
      <c r="SCN72" s="97"/>
      <c r="SCO72" s="97"/>
      <c r="SCP72" s="97"/>
      <c r="SCQ72" s="97"/>
      <c r="SCR72" s="97"/>
      <c r="SCS72" s="97"/>
      <c r="SCT72" s="97"/>
      <c r="SCU72" s="97"/>
      <c r="SCV72" s="97"/>
      <c r="SCW72" s="97"/>
      <c r="SCX72" s="97"/>
      <c r="SCY72" s="97"/>
      <c r="SCZ72" s="97"/>
      <c r="SDA72" s="97"/>
      <c r="SDB72" s="97"/>
      <c r="SDC72" s="97"/>
      <c r="SDD72" s="97"/>
      <c r="SDE72" s="97"/>
      <c r="SDF72" s="97"/>
      <c r="SDG72" s="97"/>
      <c r="SDH72" s="97"/>
      <c r="SDI72" s="97"/>
      <c r="SDJ72" s="97"/>
      <c r="SDK72" s="97"/>
      <c r="SDL72" s="97"/>
      <c r="SDM72" s="97"/>
      <c r="SDN72" s="97"/>
      <c r="SDO72" s="97"/>
      <c r="SDP72" s="97"/>
      <c r="SDQ72" s="97"/>
      <c r="SDR72" s="97"/>
      <c r="SDS72" s="97"/>
      <c r="SDT72" s="97"/>
      <c r="SDU72" s="97"/>
      <c r="SDV72" s="97"/>
      <c r="SDW72" s="97"/>
      <c r="SDX72" s="97"/>
      <c r="SDY72" s="97"/>
      <c r="SDZ72" s="97"/>
      <c r="SEA72" s="97"/>
      <c r="SEB72" s="97"/>
      <c r="SEC72" s="97"/>
      <c r="SED72" s="97"/>
      <c r="SEE72" s="97"/>
      <c r="SEF72" s="97"/>
      <c r="SEG72" s="97"/>
      <c r="SEH72" s="97"/>
      <c r="SEI72" s="97"/>
      <c r="SEJ72" s="97"/>
      <c r="SEK72" s="97"/>
      <c r="SEL72" s="97"/>
      <c r="SEM72" s="97"/>
      <c r="SEN72" s="97"/>
      <c r="SEO72" s="97"/>
      <c r="SEP72" s="97"/>
      <c r="SEQ72" s="97"/>
      <c r="SER72" s="97"/>
      <c r="SES72" s="97"/>
      <c r="SET72" s="97"/>
      <c r="SEU72" s="97"/>
      <c r="SEV72" s="97"/>
      <c r="SEW72" s="97"/>
      <c r="SEX72" s="97"/>
      <c r="SEY72" s="97"/>
      <c r="SEZ72" s="97"/>
      <c r="SFA72" s="97"/>
      <c r="SFB72" s="97"/>
      <c r="SFC72" s="97"/>
      <c r="SFD72" s="97"/>
      <c r="SFE72" s="97"/>
      <c r="SFF72" s="97"/>
      <c r="SFG72" s="97"/>
      <c r="SFH72" s="97"/>
      <c r="SFI72" s="97"/>
      <c r="SFJ72" s="97"/>
      <c r="SFK72" s="97"/>
      <c r="SFL72" s="97"/>
      <c r="SFM72" s="97"/>
      <c r="SFN72" s="97"/>
      <c r="SFO72" s="97"/>
      <c r="SFP72" s="97"/>
      <c r="SFQ72" s="97"/>
      <c r="SFR72" s="97"/>
      <c r="SFS72" s="97"/>
      <c r="SFT72" s="97"/>
      <c r="SFU72" s="97"/>
      <c r="SFV72" s="97"/>
      <c r="SFW72" s="97"/>
      <c r="SFX72" s="97"/>
      <c r="SFY72" s="97"/>
      <c r="SFZ72" s="97"/>
      <c r="SGA72" s="97"/>
      <c r="SGB72" s="97"/>
      <c r="SGC72" s="97"/>
      <c r="SGD72" s="97"/>
      <c r="SGE72" s="97"/>
      <c r="SGF72" s="97"/>
      <c r="SGG72" s="97"/>
      <c r="SGH72" s="97"/>
      <c r="SGI72" s="97"/>
      <c r="SGJ72" s="97"/>
      <c r="SGK72" s="97"/>
      <c r="SGL72" s="97"/>
      <c r="SGM72" s="97"/>
      <c r="SGN72" s="97"/>
      <c r="SGO72" s="97"/>
      <c r="SGP72" s="97"/>
      <c r="SGQ72" s="97"/>
      <c r="SGR72" s="97"/>
      <c r="SGS72" s="97"/>
      <c r="SGT72" s="97"/>
      <c r="SGU72" s="97"/>
      <c r="SGV72" s="97"/>
      <c r="SGW72" s="97"/>
      <c r="SGX72" s="97"/>
      <c r="SGY72" s="97"/>
      <c r="SGZ72" s="97"/>
      <c r="SHA72" s="97"/>
      <c r="SHB72" s="97"/>
      <c r="SHC72" s="97"/>
      <c r="SHD72" s="97"/>
      <c r="SHE72" s="97"/>
      <c r="SHF72" s="97"/>
      <c r="SHG72" s="97"/>
      <c r="SHH72" s="97"/>
      <c r="SHI72" s="97"/>
      <c r="SHJ72" s="97"/>
      <c r="SHK72" s="97"/>
      <c r="SHL72" s="97"/>
      <c r="SHM72" s="97"/>
      <c r="SHN72" s="97"/>
      <c r="SHO72" s="97"/>
      <c r="SHP72" s="97"/>
      <c r="SHQ72" s="97"/>
      <c r="SHR72" s="97"/>
      <c r="SHS72" s="97"/>
      <c r="SHT72" s="97"/>
      <c r="SHU72" s="97"/>
      <c r="SHV72" s="97"/>
      <c r="SHW72" s="97"/>
      <c r="SHX72" s="97"/>
      <c r="SHY72" s="97"/>
      <c r="SHZ72" s="97"/>
      <c r="SIA72" s="97"/>
      <c r="SIB72" s="97"/>
      <c r="SIC72" s="97"/>
      <c r="SID72" s="97"/>
      <c r="SIE72" s="97"/>
      <c r="SIF72" s="97"/>
      <c r="SIG72" s="97"/>
      <c r="SIH72" s="97"/>
      <c r="SII72" s="97"/>
      <c r="SIJ72" s="97"/>
      <c r="SIK72" s="97"/>
      <c r="SIL72" s="97"/>
      <c r="SIM72" s="97"/>
      <c r="SIN72" s="97"/>
      <c r="SIO72" s="97"/>
      <c r="SIP72" s="97"/>
      <c r="SIQ72" s="97"/>
      <c r="SIR72" s="97"/>
      <c r="SIS72" s="97"/>
      <c r="SIT72" s="97"/>
      <c r="SIU72" s="97"/>
      <c r="SIV72" s="97"/>
      <c r="SIW72" s="97"/>
      <c r="SIX72" s="97"/>
      <c r="SIY72" s="97"/>
      <c r="SIZ72" s="97"/>
      <c r="SJA72" s="97"/>
      <c r="SJB72" s="97"/>
      <c r="SJC72" s="97"/>
      <c r="SJD72" s="97"/>
      <c r="SJE72" s="97"/>
      <c r="SJF72" s="97"/>
      <c r="SJG72" s="97"/>
      <c r="SJH72" s="97"/>
      <c r="SJI72" s="97"/>
      <c r="SJJ72" s="97"/>
      <c r="SJK72" s="97"/>
      <c r="SJL72" s="97"/>
      <c r="SJM72" s="97"/>
      <c r="SJN72" s="97"/>
      <c r="SJO72" s="97"/>
      <c r="SJP72" s="97"/>
      <c r="SJQ72" s="97"/>
      <c r="SJR72" s="97"/>
      <c r="SJS72" s="97"/>
      <c r="SJT72" s="97"/>
      <c r="SJU72" s="97"/>
      <c r="SJV72" s="97"/>
      <c r="SJW72" s="97"/>
      <c r="SJX72" s="97"/>
      <c r="SJY72" s="97"/>
      <c r="SJZ72" s="97"/>
      <c r="SKA72" s="97"/>
      <c r="SKB72" s="97"/>
      <c r="SKC72" s="97"/>
      <c r="SKD72" s="97"/>
      <c r="SKE72" s="97"/>
      <c r="SKF72" s="97"/>
      <c r="SKG72" s="97"/>
      <c r="SKH72" s="97"/>
      <c r="SKI72" s="97"/>
      <c r="SKJ72" s="97"/>
      <c r="SKK72" s="97"/>
      <c r="SKL72" s="97"/>
      <c r="SKM72" s="97"/>
      <c r="SKN72" s="97"/>
      <c r="SKO72" s="97"/>
      <c r="SKP72" s="97"/>
      <c r="SKQ72" s="97"/>
      <c r="SKR72" s="97"/>
      <c r="SKS72" s="97"/>
      <c r="SKT72" s="97"/>
      <c r="SKU72" s="97"/>
      <c r="SKV72" s="97"/>
      <c r="SKW72" s="97"/>
      <c r="SKX72" s="97"/>
      <c r="SKY72" s="97"/>
      <c r="SKZ72" s="97"/>
      <c r="SLA72" s="97"/>
      <c r="SLB72" s="97"/>
      <c r="SLC72" s="97"/>
      <c r="SLD72" s="97"/>
      <c r="SLE72" s="97"/>
      <c r="SLF72" s="97"/>
      <c r="SLG72" s="97"/>
      <c r="SLH72" s="97"/>
      <c r="SLI72" s="97"/>
      <c r="SLJ72" s="97"/>
      <c r="SLK72" s="97"/>
      <c r="SLL72" s="97"/>
      <c r="SLM72" s="97"/>
      <c r="SLN72" s="97"/>
      <c r="SLO72" s="97"/>
      <c r="SLP72" s="97"/>
      <c r="SLQ72" s="97"/>
      <c r="SLR72" s="97"/>
      <c r="SLS72" s="97"/>
      <c r="SLT72" s="97"/>
      <c r="SLU72" s="97"/>
      <c r="SLV72" s="97"/>
      <c r="SLW72" s="97"/>
      <c r="SLX72" s="97"/>
      <c r="SLY72" s="97"/>
      <c r="SLZ72" s="97"/>
      <c r="SMA72" s="97"/>
      <c r="SMB72" s="97"/>
      <c r="SMC72" s="97"/>
      <c r="SMD72" s="97"/>
      <c r="SME72" s="97"/>
      <c r="SMF72" s="97"/>
      <c r="SMG72" s="97"/>
      <c r="SMH72" s="97"/>
      <c r="SMI72" s="97"/>
      <c r="SMJ72" s="97"/>
      <c r="SMK72" s="97"/>
      <c r="SML72" s="97"/>
      <c r="SMM72" s="97"/>
      <c r="SMN72" s="97"/>
      <c r="SMO72" s="97"/>
      <c r="SMP72" s="97"/>
      <c r="SMQ72" s="97"/>
      <c r="SMR72" s="97"/>
      <c r="SMS72" s="97"/>
      <c r="SMT72" s="97"/>
      <c r="SMU72" s="97"/>
      <c r="SMV72" s="97"/>
      <c r="SMW72" s="97"/>
      <c r="SMX72" s="97"/>
      <c r="SMY72" s="97"/>
      <c r="SMZ72" s="97"/>
      <c r="SNA72" s="97"/>
      <c r="SNB72" s="97"/>
      <c r="SNC72" s="97"/>
      <c r="SND72" s="97"/>
      <c r="SNE72" s="97"/>
      <c r="SNF72" s="97"/>
      <c r="SNG72" s="97"/>
      <c r="SNH72" s="97"/>
      <c r="SNI72" s="97"/>
      <c r="SNJ72" s="97"/>
      <c r="SNK72" s="97"/>
      <c r="SNL72" s="97"/>
      <c r="SNM72" s="97"/>
      <c r="SNN72" s="97"/>
      <c r="SNO72" s="97"/>
      <c r="SNP72" s="97"/>
      <c r="SNQ72" s="97"/>
      <c r="SNR72" s="97"/>
      <c r="SNS72" s="97"/>
      <c r="SNT72" s="97"/>
      <c r="SNU72" s="97"/>
      <c r="SNV72" s="97"/>
      <c r="SNW72" s="97"/>
      <c r="SNX72" s="97"/>
      <c r="SNY72" s="97"/>
      <c r="SNZ72" s="97"/>
      <c r="SOA72" s="97"/>
      <c r="SOB72" s="97"/>
      <c r="SOC72" s="97"/>
      <c r="SOD72" s="97"/>
      <c r="SOE72" s="97"/>
      <c r="SOF72" s="97"/>
      <c r="SOG72" s="97"/>
      <c r="SOH72" s="97"/>
      <c r="SOI72" s="97"/>
      <c r="SOJ72" s="97"/>
      <c r="SOK72" s="97"/>
      <c r="SOL72" s="97"/>
      <c r="SOM72" s="97"/>
      <c r="SON72" s="97"/>
      <c r="SOO72" s="97"/>
      <c r="SOP72" s="97"/>
      <c r="SOQ72" s="97"/>
      <c r="SOR72" s="97"/>
      <c r="SOS72" s="97"/>
      <c r="SOT72" s="97"/>
      <c r="SOU72" s="97"/>
      <c r="SOV72" s="97"/>
      <c r="SOW72" s="97"/>
      <c r="SOX72" s="97"/>
      <c r="SOY72" s="97"/>
      <c r="SOZ72" s="97"/>
      <c r="SPA72" s="97"/>
      <c r="SPB72" s="97"/>
      <c r="SPC72" s="97"/>
      <c r="SPD72" s="97"/>
      <c r="SPE72" s="97"/>
      <c r="SPF72" s="97"/>
      <c r="SPG72" s="97"/>
      <c r="SPH72" s="97"/>
      <c r="SPI72" s="97"/>
      <c r="SPJ72" s="97"/>
      <c r="SPK72" s="97"/>
      <c r="SPL72" s="97"/>
      <c r="SPM72" s="97"/>
      <c r="SPN72" s="97"/>
      <c r="SPO72" s="97"/>
      <c r="SPP72" s="97"/>
      <c r="SPQ72" s="97"/>
      <c r="SPR72" s="97"/>
      <c r="SPS72" s="97"/>
      <c r="SPT72" s="97"/>
      <c r="SPU72" s="97"/>
      <c r="SPV72" s="97"/>
      <c r="SPW72" s="97"/>
      <c r="SPX72" s="97"/>
      <c r="SPY72" s="97"/>
      <c r="SPZ72" s="97"/>
      <c r="SQA72" s="97"/>
      <c r="SQB72" s="97"/>
      <c r="SQC72" s="97"/>
      <c r="SQD72" s="97"/>
      <c r="SQE72" s="97"/>
      <c r="SQF72" s="97"/>
      <c r="SQG72" s="97"/>
      <c r="SQH72" s="97"/>
      <c r="SQI72" s="97"/>
      <c r="SQJ72" s="97"/>
      <c r="SQK72" s="97"/>
      <c r="SQL72" s="97"/>
      <c r="SQM72" s="97"/>
      <c r="SQN72" s="97"/>
      <c r="SQO72" s="97"/>
      <c r="SQP72" s="97"/>
      <c r="SQQ72" s="97"/>
      <c r="SQR72" s="97"/>
      <c r="SQS72" s="97"/>
      <c r="SQT72" s="97"/>
      <c r="SQU72" s="97"/>
      <c r="SQV72" s="97"/>
      <c r="SQW72" s="97"/>
      <c r="SQX72" s="97"/>
      <c r="SQY72" s="97"/>
      <c r="SQZ72" s="97"/>
      <c r="SRA72" s="97"/>
      <c r="SRB72" s="97"/>
      <c r="SRC72" s="97"/>
      <c r="SRD72" s="97"/>
      <c r="SRE72" s="97"/>
      <c r="SRF72" s="97"/>
      <c r="SRG72" s="97"/>
      <c r="SRH72" s="97"/>
      <c r="SRI72" s="97"/>
      <c r="SRJ72" s="97"/>
      <c r="SRK72" s="97"/>
      <c r="SRL72" s="97"/>
      <c r="SRM72" s="97"/>
      <c r="SRN72" s="97"/>
      <c r="SRO72" s="97"/>
      <c r="SRP72" s="97"/>
      <c r="SRQ72" s="97"/>
      <c r="SRR72" s="97"/>
      <c r="SRS72" s="97"/>
      <c r="SRT72" s="97"/>
      <c r="SRU72" s="97"/>
      <c r="SRV72" s="97"/>
      <c r="SRW72" s="97"/>
      <c r="SRX72" s="97"/>
      <c r="SRY72" s="97"/>
      <c r="SRZ72" s="97"/>
      <c r="SSA72" s="97"/>
      <c r="SSB72" s="97"/>
      <c r="SSC72" s="97"/>
      <c r="SSD72" s="97"/>
      <c r="SSE72" s="97"/>
      <c r="SSF72" s="97"/>
      <c r="SSG72" s="97"/>
      <c r="SSH72" s="97"/>
      <c r="SSI72" s="97"/>
      <c r="SSJ72" s="97"/>
      <c r="SSK72" s="97"/>
      <c r="SSL72" s="97"/>
      <c r="SSM72" s="97"/>
      <c r="SSN72" s="97"/>
      <c r="SSO72" s="97"/>
      <c r="SSP72" s="97"/>
      <c r="SSQ72" s="97"/>
      <c r="SSR72" s="97"/>
      <c r="SSS72" s="97"/>
      <c r="SST72" s="97"/>
      <c r="SSU72" s="97"/>
      <c r="SSV72" s="97"/>
      <c r="SSW72" s="97"/>
      <c r="SSX72" s="97"/>
      <c r="SSY72" s="97"/>
      <c r="SSZ72" s="97"/>
      <c r="STA72" s="97"/>
      <c r="STB72" s="97"/>
      <c r="STC72" s="97"/>
      <c r="STD72" s="97"/>
      <c r="STE72" s="97"/>
      <c r="STF72" s="97"/>
      <c r="STG72" s="97"/>
      <c r="STH72" s="97"/>
      <c r="STI72" s="97"/>
      <c r="STJ72" s="97"/>
      <c r="STK72" s="97"/>
      <c r="STL72" s="97"/>
      <c r="STM72" s="97"/>
      <c r="STN72" s="97"/>
      <c r="STO72" s="97"/>
      <c r="STP72" s="97"/>
      <c r="STQ72" s="97"/>
      <c r="STR72" s="97"/>
      <c r="STS72" s="97"/>
      <c r="STT72" s="97"/>
      <c r="STU72" s="97"/>
      <c r="STV72" s="97"/>
      <c r="STW72" s="97"/>
      <c r="STX72" s="97"/>
      <c r="STY72" s="97"/>
      <c r="STZ72" s="97"/>
      <c r="SUA72" s="97"/>
      <c r="SUB72" s="97"/>
      <c r="SUC72" s="97"/>
      <c r="SUD72" s="97"/>
      <c r="SUE72" s="97"/>
      <c r="SUF72" s="97"/>
      <c r="SUG72" s="97"/>
      <c r="SUH72" s="97"/>
      <c r="SUI72" s="97"/>
      <c r="SUJ72" s="97"/>
      <c r="SUK72" s="97"/>
      <c r="SUL72" s="97"/>
      <c r="SUM72" s="97"/>
      <c r="SUN72" s="97"/>
      <c r="SUO72" s="97"/>
      <c r="SUP72" s="97"/>
      <c r="SUQ72" s="97"/>
      <c r="SUR72" s="97"/>
      <c r="SUS72" s="97"/>
      <c r="SUT72" s="97"/>
      <c r="SUU72" s="97"/>
      <c r="SUV72" s="97"/>
      <c r="SUW72" s="97"/>
      <c r="SUX72" s="97"/>
      <c r="SUY72" s="97"/>
      <c r="SUZ72" s="97"/>
      <c r="SVA72" s="97"/>
      <c r="SVB72" s="97"/>
      <c r="SVC72" s="97"/>
      <c r="SVD72" s="97"/>
      <c r="SVE72" s="97"/>
      <c r="SVF72" s="97"/>
      <c r="SVG72" s="97"/>
      <c r="SVH72" s="97"/>
      <c r="SVI72" s="97"/>
      <c r="SVJ72" s="97"/>
      <c r="SVK72" s="97"/>
      <c r="SVL72" s="97"/>
      <c r="SVM72" s="97"/>
      <c r="SVN72" s="97"/>
      <c r="SVO72" s="97"/>
      <c r="SVP72" s="97"/>
      <c r="SVQ72" s="97"/>
      <c r="SVR72" s="97"/>
      <c r="SVS72" s="97"/>
      <c r="SVT72" s="97"/>
      <c r="SVU72" s="97"/>
      <c r="SVV72" s="97"/>
      <c r="SVW72" s="97"/>
      <c r="SVX72" s="97"/>
      <c r="SVY72" s="97"/>
      <c r="SVZ72" s="97"/>
      <c r="SWA72" s="97"/>
      <c r="SWB72" s="97"/>
      <c r="SWC72" s="97"/>
      <c r="SWD72" s="97"/>
      <c r="SWE72" s="97"/>
      <c r="SWF72" s="97"/>
      <c r="SWG72" s="97"/>
      <c r="SWH72" s="97"/>
      <c r="SWI72" s="97"/>
      <c r="SWJ72" s="97"/>
      <c r="SWK72" s="97"/>
      <c r="SWL72" s="97"/>
      <c r="SWM72" s="97"/>
      <c r="SWN72" s="97"/>
      <c r="SWO72" s="97"/>
      <c r="SWP72" s="97"/>
      <c r="SWQ72" s="97"/>
      <c r="SWR72" s="97"/>
      <c r="SWS72" s="97"/>
      <c r="SWT72" s="97"/>
      <c r="SWU72" s="97"/>
      <c r="SWV72" s="97"/>
      <c r="SWW72" s="97"/>
      <c r="SWX72" s="97"/>
      <c r="SWY72" s="97"/>
      <c r="SWZ72" s="97"/>
      <c r="SXA72" s="97"/>
      <c r="SXB72" s="97"/>
      <c r="SXC72" s="97"/>
      <c r="SXD72" s="97"/>
      <c r="SXE72" s="97"/>
      <c r="SXF72" s="97"/>
      <c r="SXG72" s="97"/>
      <c r="SXH72" s="97"/>
      <c r="SXI72" s="97"/>
      <c r="SXJ72" s="97"/>
      <c r="SXK72" s="97"/>
      <c r="SXL72" s="97"/>
      <c r="SXM72" s="97"/>
      <c r="SXN72" s="97"/>
      <c r="SXO72" s="97"/>
      <c r="SXP72" s="97"/>
      <c r="SXQ72" s="97"/>
      <c r="SXR72" s="97"/>
      <c r="SXS72" s="97"/>
      <c r="SXT72" s="97"/>
      <c r="SXU72" s="97"/>
      <c r="SXV72" s="97"/>
      <c r="SXW72" s="97"/>
      <c r="SXX72" s="97"/>
      <c r="SXY72" s="97"/>
      <c r="SXZ72" s="97"/>
      <c r="SYA72" s="97"/>
      <c r="SYB72" s="97"/>
      <c r="SYC72" s="97"/>
      <c r="SYD72" s="97"/>
      <c r="SYE72" s="97"/>
      <c r="SYF72" s="97"/>
      <c r="SYG72" s="97"/>
      <c r="SYH72" s="97"/>
      <c r="SYI72" s="97"/>
      <c r="SYJ72" s="97"/>
      <c r="SYK72" s="97"/>
      <c r="SYL72" s="97"/>
      <c r="SYM72" s="97"/>
      <c r="SYN72" s="97"/>
      <c r="SYO72" s="97"/>
      <c r="SYP72" s="97"/>
      <c r="SYQ72" s="97"/>
      <c r="SYR72" s="97"/>
      <c r="SYS72" s="97"/>
      <c r="SYT72" s="97"/>
      <c r="SYU72" s="97"/>
      <c r="SYV72" s="97"/>
      <c r="SYW72" s="97"/>
      <c r="SYX72" s="97"/>
      <c r="SYY72" s="97"/>
      <c r="SYZ72" s="97"/>
      <c r="SZA72" s="97"/>
      <c r="SZB72" s="97"/>
      <c r="SZC72" s="97"/>
      <c r="SZD72" s="97"/>
      <c r="SZE72" s="97"/>
      <c r="SZF72" s="97"/>
      <c r="SZG72" s="97"/>
      <c r="SZH72" s="97"/>
      <c r="SZI72" s="97"/>
      <c r="SZJ72" s="97"/>
      <c r="SZK72" s="97"/>
      <c r="SZL72" s="97"/>
      <c r="SZM72" s="97"/>
      <c r="SZN72" s="97"/>
      <c r="SZO72" s="97"/>
      <c r="SZP72" s="97"/>
      <c r="SZQ72" s="97"/>
      <c r="SZR72" s="97"/>
      <c r="SZS72" s="97"/>
      <c r="SZT72" s="97"/>
      <c r="SZU72" s="97"/>
      <c r="SZV72" s="97"/>
      <c r="SZW72" s="97"/>
      <c r="SZX72" s="97"/>
      <c r="SZY72" s="97"/>
      <c r="SZZ72" s="97"/>
      <c r="TAA72" s="97"/>
      <c r="TAB72" s="97"/>
      <c r="TAC72" s="97"/>
      <c r="TAD72" s="97"/>
      <c r="TAE72" s="97"/>
      <c r="TAF72" s="97"/>
      <c r="TAG72" s="97"/>
      <c r="TAH72" s="97"/>
      <c r="TAI72" s="97"/>
      <c r="TAJ72" s="97"/>
      <c r="TAK72" s="97"/>
      <c r="TAL72" s="97"/>
      <c r="TAM72" s="97"/>
      <c r="TAN72" s="97"/>
      <c r="TAO72" s="97"/>
      <c r="TAP72" s="97"/>
      <c r="TAQ72" s="97"/>
      <c r="TAR72" s="97"/>
      <c r="TAS72" s="97"/>
      <c r="TAT72" s="97"/>
      <c r="TAU72" s="97"/>
      <c r="TAV72" s="97"/>
      <c r="TAW72" s="97"/>
      <c r="TAX72" s="97"/>
      <c r="TAY72" s="97"/>
      <c r="TAZ72" s="97"/>
      <c r="TBA72" s="97"/>
      <c r="TBB72" s="97"/>
      <c r="TBC72" s="97"/>
      <c r="TBD72" s="97"/>
      <c r="TBE72" s="97"/>
      <c r="TBF72" s="97"/>
      <c r="TBG72" s="97"/>
      <c r="TBH72" s="97"/>
      <c r="TBI72" s="97"/>
      <c r="TBJ72" s="97"/>
      <c r="TBK72" s="97"/>
      <c r="TBL72" s="97"/>
      <c r="TBM72" s="97"/>
      <c r="TBN72" s="97"/>
      <c r="TBO72" s="97"/>
      <c r="TBP72" s="97"/>
      <c r="TBQ72" s="97"/>
      <c r="TBR72" s="97"/>
      <c r="TBS72" s="97"/>
      <c r="TBT72" s="97"/>
      <c r="TBU72" s="97"/>
      <c r="TBV72" s="97"/>
      <c r="TBW72" s="97"/>
      <c r="TBX72" s="97"/>
      <c r="TBY72" s="97"/>
      <c r="TBZ72" s="97"/>
      <c r="TCA72" s="97"/>
      <c r="TCB72" s="97"/>
      <c r="TCC72" s="97"/>
      <c r="TCD72" s="97"/>
      <c r="TCE72" s="97"/>
      <c r="TCF72" s="97"/>
      <c r="TCG72" s="97"/>
      <c r="TCH72" s="97"/>
      <c r="TCI72" s="97"/>
      <c r="TCJ72" s="97"/>
      <c r="TCK72" s="97"/>
      <c r="TCL72" s="97"/>
      <c r="TCM72" s="97"/>
      <c r="TCN72" s="97"/>
      <c r="TCO72" s="97"/>
      <c r="TCP72" s="97"/>
      <c r="TCQ72" s="97"/>
      <c r="TCR72" s="97"/>
      <c r="TCS72" s="97"/>
      <c r="TCT72" s="97"/>
      <c r="TCU72" s="97"/>
      <c r="TCV72" s="97"/>
      <c r="TCW72" s="97"/>
      <c r="TCX72" s="97"/>
      <c r="TCY72" s="97"/>
      <c r="TCZ72" s="97"/>
      <c r="TDA72" s="97"/>
      <c r="TDB72" s="97"/>
      <c r="TDC72" s="97"/>
      <c r="TDD72" s="97"/>
      <c r="TDE72" s="97"/>
      <c r="TDF72" s="97"/>
      <c r="TDG72" s="97"/>
      <c r="TDH72" s="97"/>
      <c r="TDI72" s="97"/>
      <c r="TDJ72" s="97"/>
      <c r="TDK72" s="97"/>
      <c r="TDL72" s="97"/>
      <c r="TDM72" s="97"/>
      <c r="TDN72" s="97"/>
      <c r="TDO72" s="97"/>
      <c r="TDP72" s="97"/>
      <c r="TDQ72" s="97"/>
      <c r="TDR72" s="97"/>
      <c r="TDS72" s="97"/>
      <c r="TDT72" s="97"/>
      <c r="TDU72" s="97"/>
      <c r="TDV72" s="97"/>
      <c r="TDW72" s="97"/>
      <c r="TDX72" s="97"/>
      <c r="TDY72" s="97"/>
      <c r="TDZ72" s="97"/>
      <c r="TEA72" s="97"/>
      <c r="TEB72" s="97"/>
      <c r="TEC72" s="97"/>
      <c r="TED72" s="97"/>
      <c r="TEE72" s="97"/>
      <c r="TEF72" s="97"/>
      <c r="TEG72" s="97"/>
      <c r="TEH72" s="97"/>
      <c r="TEI72" s="97"/>
      <c r="TEJ72" s="97"/>
      <c r="TEK72" s="97"/>
      <c r="TEL72" s="97"/>
      <c r="TEM72" s="97"/>
      <c r="TEN72" s="97"/>
      <c r="TEO72" s="97"/>
      <c r="TEP72" s="97"/>
      <c r="TEQ72" s="97"/>
      <c r="TER72" s="97"/>
      <c r="TES72" s="97"/>
      <c r="TET72" s="97"/>
      <c r="TEU72" s="97"/>
      <c r="TEV72" s="97"/>
      <c r="TEW72" s="97"/>
      <c r="TEX72" s="97"/>
      <c r="TEY72" s="97"/>
      <c r="TEZ72" s="97"/>
      <c r="TFA72" s="97"/>
      <c r="TFB72" s="97"/>
      <c r="TFC72" s="97"/>
      <c r="TFD72" s="97"/>
      <c r="TFE72" s="97"/>
      <c r="TFF72" s="97"/>
      <c r="TFG72" s="97"/>
      <c r="TFH72" s="97"/>
      <c r="TFI72" s="97"/>
      <c r="TFJ72" s="97"/>
      <c r="TFK72" s="97"/>
      <c r="TFL72" s="97"/>
      <c r="TFM72" s="97"/>
      <c r="TFN72" s="97"/>
      <c r="TFO72" s="97"/>
      <c r="TFP72" s="97"/>
      <c r="TFQ72" s="97"/>
      <c r="TFR72" s="97"/>
      <c r="TFS72" s="97"/>
      <c r="TFT72" s="97"/>
      <c r="TFU72" s="97"/>
      <c r="TFV72" s="97"/>
      <c r="TFW72" s="97"/>
      <c r="TFX72" s="97"/>
      <c r="TFY72" s="97"/>
      <c r="TFZ72" s="97"/>
      <c r="TGA72" s="97"/>
      <c r="TGB72" s="97"/>
      <c r="TGC72" s="97"/>
      <c r="TGD72" s="97"/>
      <c r="TGE72" s="97"/>
      <c r="TGF72" s="97"/>
      <c r="TGG72" s="97"/>
      <c r="TGH72" s="97"/>
      <c r="TGI72" s="97"/>
      <c r="TGJ72" s="97"/>
      <c r="TGK72" s="97"/>
      <c r="TGL72" s="97"/>
      <c r="TGM72" s="97"/>
      <c r="TGN72" s="97"/>
      <c r="TGO72" s="97"/>
      <c r="TGP72" s="97"/>
      <c r="TGQ72" s="97"/>
      <c r="TGR72" s="97"/>
      <c r="TGS72" s="97"/>
      <c r="TGT72" s="97"/>
      <c r="TGU72" s="97"/>
      <c r="TGV72" s="97"/>
      <c r="TGW72" s="97"/>
      <c r="TGX72" s="97"/>
      <c r="TGY72" s="97"/>
      <c r="TGZ72" s="97"/>
      <c r="THA72" s="97"/>
      <c r="THB72" s="97"/>
      <c r="THC72" s="97"/>
      <c r="THD72" s="97"/>
      <c r="THE72" s="97"/>
      <c r="THF72" s="97"/>
      <c r="THG72" s="97"/>
      <c r="THH72" s="97"/>
      <c r="THI72" s="97"/>
      <c r="THJ72" s="97"/>
      <c r="THK72" s="97"/>
      <c r="THL72" s="97"/>
      <c r="THM72" s="97"/>
      <c r="THN72" s="97"/>
      <c r="THO72" s="97"/>
      <c r="THP72" s="97"/>
      <c r="THQ72" s="97"/>
      <c r="THR72" s="97"/>
      <c r="THS72" s="97"/>
      <c r="THT72" s="97"/>
      <c r="THU72" s="97"/>
      <c r="THV72" s="97"/>
      <c r="THW72" s="97"/>
      <c r="THX72" s="97"/>
      <c r="THY72" s="97"/>
      <c r="THZ72" s="97"/>
      <c r="TIA72" s="97"/>
      <c r="TIB72" s="97"/>
      <c r="TIC72" s="97"/>
      <c r="TID72" s="97"/>
      <c r="TIE72" s="97"/>
      <c r="TIF72" s="97"/>
      <c r="TIG72" s="97"/>
      <c r="TIH72" s="97"/>
      <c r="TII72" s="97"/>
      <c r="TIJ72" s="97"/>
      <c r="TIK72" s="97"/>
      <c r="TIL72" s="97"/>
      <c r="TIM72" s="97"/>
      <c r="TIN72" s="97"/>
      <c r="TIO72" s="97"/>
      <c r="TIP72" s="97"/>
      <c r="TIQ72" s="97"/>
      <c r="TIR72" s="97"/>
      <c r="TIS72" s="97"/>
      <c r="TIT72" s="97"/>
      <c r="TIU72" s="97"/>
      <c r="TIV72" s="97"/>
      <c r="TIW72" s="97"/>
      <c r="TIX72" s="97"/>
      <c r="TIY72" s="97"/>
      <c r="TIZ72" s="97"/>
      <c r="TJA72" s="97"/>
      <c r="TJB72" s="97"/>
      <c r="TJC72" s="97"/>
      <c r="TJD72" s="97"/>
      <c r="TJE72" s="97"/>
      <c r="TJF72" s="97"/>
      <c r="TJG72" s="97"/>
      <c r="TJH72" s="97"/>
      <c r="TJI72" s="97"/>
      <c r="TJJ72" s="97"/>
      <c r="TJK72" s="97"/>
      <c r="TJL72" s="97"/>
      <c r="TJM72" s="97"/>
      <c r="TJN72" s="97"/>
      <c r="TJO72" s="97"/>
      <c r="TJP72" s="97"/>
      <c r="TJQ72" s="97"/>
      <c r="TJR72" s="97"/>
      <c r="TJS72" s="97"/>
      <c r="TJT72" s="97"/>
      <c r="TJU72" s="97"/>
      <c r="TJV72" s="97"/>
      <c r="TJW72" s="97"/>
      <c r="TJX72" s="97"/>
      <c r="TJY72" s="97"/>
      <c r="TJZ72" s="97"/>
      <c r="TKA72" s="97"/>
      <c r="TKB72" s="97"/>
      <c r="TKC72" s="97"/>
      <c r="TKD72" s="97"/>
      <c r="TKE72" s="97"/>
      <c r="TKF72" s="97"/>
      <c r="TKG72" s="97"/>
      <c r="TKH72" s="97"/>
      <c r="TKI72" s="97"/>
      <c r="TKJ72" s="97"/>
      <c r="TKK72" s="97"/>
      <c r="TKL72" s="97"/>
      <c r="TKM72" s="97"/>
      <c r="TKN72" s="97"/>
      <c r="TKO72" s="97"/>
      <c r="TKP72" s="97"/>
      <c r="TKQ72" s="97"/>
      <c r="TKR72" s="97"/>
      <c r="TKS72" s="97"/>
      <c r="TKT72" s="97"/>
      <c r="TKU72" s="97"/>
      <c r="TKV72" s="97"/>
      <c r="TKW72" s="97"/>
      <c r="TKX72" s="97"/>
      <c r="TKY72" s="97"/>
      <c r="TKZ72" s="97"/>
      <c r="TLA72" s="97"/>
      <c r="TLB72" s="97"/>
      <c r="TLC72" s="97"/>
      <c r="TLD72" s="97"/>
      <c r="TLE72" s="97"/>
      <c r="TLF72" s="97"/>
      <c r="TLG72" s="97"/>
      <c r="TLH72" s="97"/>
      <c r="TLI72" s="97"/>
      <c r="TLJ72" s="97"/>
      <c r="TLK72" s="97"/>
      <c r="TLL72" s="97"/>
      <c r="TLM72" s="97"/>
      <c r="TLN72" s="97"/>
      <c r="TLO72" s="97"/>
      <c r="TLP72" s="97"/>
      <c r="TLQ72" s="97"/>
      <c r="TLR72" s="97"/>
      <c r="TLS72" s="97"/>
      <c r="TLT72" s="97"/>
      <c r="TLU72" s="97"/>
      <c r="TLV72" s="97"/>
      <c r="TLW72" s="97"/>
      <c r="TLX72" s="97"/>
      <c r="TLY72" s="97"/>
      <c r="TLZ72" s="97"/>
      <c r="TMA72" s="97"/>
      <c r="TMB72" s="97"/>
      <c r="TMC72" s="97"/>
      <c r="TMD72" s="97"/>
      <c r="TME72" s="97"/>
      <c r="TMF72" s="97"/>
      <c r="TMG72" s="97"/>
      <c r="TMH72" s="97"/>
      <c r="TMI72" s="97"/>
      <c r="TMJ72" s="97"/>
      <c r="TMK72" s="97"/>
      <c r="TML72" s="97"/>
      <c r="TMM72" s="97"/>
      <c r="TMN72" s="97"/>
      <c r="TMO72" s="97"/>
      <c r="TMP72" s="97"/>
      <c r="TMQ72" s="97"/>
      <c r="TMR72" s="97"/>
      <c r="TMS72" s="97"/>
      <c r="TMT72" s="97"/>
      <c r="TMU72" s="97"/>
      <c r="TMV72" s="97"/>
      <c r="TMW72" s="97"/>
      <c r="TMX72" s="97"/>
      <c r="TMY72" s="97"/>
      <c r="TMZ72" s="97"/>
      <c r="TNA72" s="97"/>
      <c r="TNB72" s="97"/>
      <c r="TNC72" s="97"/>
      <c r="TND72" s="97"/>
      <c r="TNE72" s="97"/>
      <c r="TNF72" s="97"/>
      <c r="TNG72" s="97"/>
      <c r="TNH72" s="97"/>
      <c r="TNI72" s="97"/>
      <c r="TNJ72" s="97"/>
      <c r="TNK72" s="97"/>
      <c r="TNL72" s="97"/>
      <c r="TNM72" s="97"/>
      <c r="TNN72" s="97"/>
      <c r="TNO72" s="97"/>
      <c r="TNP72" s="97"/>
      <c r="TNQ72" s="97"/>
      <c r="TNR72" s="97"/>
      <c r="TNS72" s="97"/>
      <c r="TNT72" s="97"/>
      <c r="TNU72" s="97"/>
      <c r="TNV72" s="97"/>
      <c r="TNW72" s="97"/>
      <c r="TNX72" s="97"/>
      <c r="TNY72" s="97"/>
      <c r="TNZ72" s="97"/>
      <c r="TOA72" s="97"/>
      <c r="TOB72" s="97"/>
      <c r="TOC72" s="97"/>
      <c r="TOD72" s="97"/>
      <c r="TOE72" s="97"/>
      <c r="TOF72" s="97"/>
      <c r="TOG72" s="97"/>
      <c r="TOH72" s="97"/>
      <c r="TOI72" s="97"/>
      <c r="TOJ72" s="97"/>
      <c r="TOK72" s="97"/>
      <c r="TOL72" s="97"/>
      <c r="TOM72" s="97"/>
      <c r="TON72" s="97"/>
      <c r="TOO72" s="97"/>
      <c r="TOP72" s="97"/>
      <c r="TOQ72" s="97"/>
      <c r="TOR72" s="97"/>
      <c r="TOS72" s="97"/>
      <c r="TOT72" s="97"/>
      <c r="TOU72" s="97"/>
      <c r="TOV72" s="97"/>
      <c r="TOW72" s="97"/>
      <c r="TOX72" s="97"/>
      <c r="TOY72" s="97"/>
      <c r="TOZ72" s="97"/>
      <c r="TPA72" s="97"/>
      <c r="TPB72" s="97"/>
      <c r="TPC72" s="97"/>
      <c r="TPD72" s="97"/>
      <c r="TPE72" s="97"/>
      <c r="TPF72" s="97"/>
      <c r="TPG72" s="97"/>
      <c r="TPH72" s="97"/>
      <c r="TPI72" s="97"/>
      <c r="TPJ72" s="97"/>
      <c r="TPK72" s="97"/>
      <c r="TPL72" s="97"/>
      <c r="TPM72" s="97"/>
      <c r="TPN72" s="97"/>
      <c r="TPO72" s="97"/>
      <c r="TPP72" s="97"/>
      <c r="TPQ72" s="97"/>
      <c r="TPR72" s="97"/>
      <c r="TPS72" s="97"/>
      <c r="TPT72" s="97"/>
      <c r="TPU72" s="97"/>
      <c r="TPV72" s="97"/>
      <c r="TPW72" s="97"/>
      <c r="TPX72" s="97"/>
      <c r="TPY72" s="97"/>
      <c r="TPZ72" s="97"/>
      <c r="TQA72" s="97"/>
      <c r="TQB72" s="97"/>
      <c r="TQC72" s="97"/>
      <c r="TQD72" s="97"/>
      <c r="TQE72" s="97"/>
      <c r="TQF72" s="97"/>
      <c r="TQG72" s="97"/>
      <c r="TQH72" s="97"/>
      <c r="TQI72" s="97"/>
      <c r="TQJ72" s="97"/>
      <c r="TQK72" s="97"/>
      <c r="TQL72" s="97"/>
      <c r="TQM72" s="97"/>
      <c r="TQN72" s="97"/>
      <c r="TQO72" s="97"/>
      <c r="TQP72" s="97"/>
      <c r="TQQ72" s="97"/>
      <c r="TQR72" s="97"/>
      <c r="TQS72" s="97"/>
      <c r="TQT72" s="97"/>
      <c r="TQU72" s="97"/>
      <c r="TQV72" s="97"/>
      <c r="TQW72" s="97"/>
      <c r="TQX72" s="97"/>
      <c r="TQY72" s="97"/>
      <c r="TQZ72" s="97"/>
      <c r="TRA72" s="97"/>
      <c r="TRB72" s="97"/>
      <c r="TRC72" s="97"/>
      <c r="TRD72" s="97"/>
      <c r="TRE72" s="97"/>
      <c r="TRF72" s="97"/>
      <c r="TRG72" s="97"/>
      <c r="TRH72" s="97"/>
      <c r="TRI72" s="97"/>
      <c r="TRJ72" s="97"/>
      <c r="TRK72" s="97"/>
      <c r="TRL72" s="97"/>
      <c r="TRM72" s="97"/>
      <c r="TRN72" s="97"/>
      <c r="TRO72" s="97"/>
      <c r="TRP72" s="97"/>
      <c r="TRQ72" s="97"/>
      <c r="TRR72" s="97"/>
      <c r="TRS72" s="97"/>
      <c r="TRT72" s="97"/>
      <c r="TRU72" s="97"/>
      <c r="TRV72" s="97"/>
      <c r="TRW72" s="97"/>
      <c r="TRX72" s="97"/>
      <c r="TRY72" s="97"/>
      <c r="TRZ72" s="97"/>
      <c r="TSA72" s="97"/>
      <c r="TSB72" s="97"/>
      <c r="TSC72" s="97"/>
      <c r="TSD72" s="97"/>
      <c r="TSE72" s="97"/>
      <c r="TSF72" s="97"/>
      <c r="TSG72" s="97"/>
      <c r="TSH72" s="97"/>
      <c r="TSI72" s="97"/>
      <c r="TSJ72" s="97"/>
      <c r="TSK72" s="97"/>
      <c r="TSL72" s="97"/>
      <c r="TSM72" s="97"/>
      <c r="TSN72" s="97"/>
      <c r="TSO72" s="97"/>
      <c r="TSP72" s="97"/>
      <c r="TSQ72" s="97"/>
      <c r="TSR72" s="97"/>
      <c r="TSS72" s="97"/>
      <c r="TST72" s="97"/>
      <c r="TSU72" s="97"/>
      <c r="TSV72" s="97"/>
      <c r="TSW72" s="97"/>
      <c r="TSX72" s="97"/>
      <c r="TSY72" s="97"/>
      <c r="TSZ72" s="97"/>
      <c r="TTA72" s="97"/>
      <c r="TTB72" s="97"/>
      <c r="TTC72" s="97"/>
      <c r="TTD72" s="97"/>
      <c r="TTE72" s="97"/>
      <c r="TTF72" s="97"/>
      <c r="TTG72" s="97"/>
      <c r="TTH72" s="97"/>
      <c r="TTI72" s="97"/>
      <c r="TTJ72" s="97"/>
      <c r="TTK72" s="97"/>
      <c r="TTL72" s="97"/>
      <c r="TTM72" s="97"/>
      <c r="TTN72" s="97"/>
      <c r="TTO72" s="97"/>
      <c r="TTP72" s="97"/>
      <c r="TTQ72" s="97"/>
      <c r="TTR72" s="97"/>
      <c r="TTS72" s="97"/>
      <c r="TTT72" s="97"/>
      <c r="TTU72" s="97"/>
      <c r="TTV72" s="97"/>
      <c r="TTW72" s="97"/>
      <c r="TTX72" s="97"/>
      <c r="TTY72" s="97"/>
      <c r="TTZ72" s="97"/>
      <c r="TUA72" s="97"/>
      <c r="TUB72" s="97"/>
      <c r="TUC72" s="97"/>
      <c r="TUD72" s="97"/>
      <c r="TUE72" s="97"/>
      <c r="TUF72" s="97"/>
      <c r="TUG72" s="97"/>
      <c r="TUH72" s="97"/>
      <c r="TUI72" s="97"/>
      <c r="TUJ72" s="97"/>
      <c r="TUK72" s="97"/>
      <c r="TUL72" s="97"/>
      <c r="TUM72" s="97"/>
      <c r="TUN72" s="97"/>
      <c r="TUO72" s="97"/>
      <c r="TUP72" s="97"/>
      <c r="TUQ72" s="97"/>
      <c r="TUR72" s="97"/>
      <c r="TUS72" s="97"/>
      <c r="TUT72" s="97"/>
      <c r="TUU72" s="97"/>
      <c r="TUV72" s="97"/>
      <c r="TUW72" s="97"/>
      <c r="TUX72" s="97"/>
      <c r="TUY72" s="97"/>
      <c r="TUZ72" s="97"/>
      <c r="TVA72" s="97"/>
      <c r="TVB72" s="97"/>
      <c r="TVC72" s="97"/>
      <c r="TVD72" s="97"/>
      <c r="TVE72" s="97"/>
      <c r="TVF72" s="97"/>
      <c r="TVG72" s="97"/>
      <c r="TVH72" s="97"/>
      <c r="TVI72" s="97"/>
      <c r="TVJ72" s="97"/>
      <c r="TVK72" s="97"/>
      <c r="TVL72" s="97"/>
      <c r="TVM72" s="97"/>
      <c r="TVN72" s="97"/>
      <c r="TVO72" s="97"/>
      <c r="TVP72" s="97"/>
      <c r="TVQ72" s="97"/>
      <c r="TVR72" s="97"/>
      <c r="TVS72" s="97"/>
      <c r="TVT72" s="97"/>
      <c r="TVU72" s="97"/>
      <c r="TVV72" s="97"/>
      <c r="TVW72" s="97"/>
      <c r="TVX72" s="97"/>
      <c r="TVY72" s="97"/>
      <c r="TVZ72" s="97"/>
      <c r="TWA72" s="97"/>
      <c r="TWB72" s="97"/>
      <c r="TWC72" s="97"/>
      <c r="TWD72" s="97"/>
      <c r="TWE72" s="97"/>
      <c r="TWF72" s="97"/>
      <c r="TWG72" s="97"/>
      <c r="TWH72" s="97"/>
      <c r="TWI72" s="97"/>
      <c r="TWJ72" s="97"/>
      <c r="TWK72" s="97"/>
      <c r="TWL72" s="97"/>
      <c r="TWM72" s="97"/>
      <c r="TWN72" s="97"/>
      <c r="TWO72" s="97"/>
      <c r="TWP72" s="97"/>
      <c r="TWQ72" s="97"/>
      <c r="TWR72" s="97"/>
      <c r="TWS72" s="97"/>
      <c r="TWT72" s="97"/>
      <c r="TWU72" s="97"/>
      <c r="TWV72" s="97"/>
      <c r="TWW72" s="97"/>
      <c r="TWX72" s="97"/>
      <c r="TWY72" s="97"/>
      <c r="TWZ72" s="97"/>
      <c r="TXA72" s="97"/>
      <c r="TXB72" s="97"/>
      <c r="TXC72" s="97"/>
      <c r="TXD72" s="97"/>
      <c r="TXE72" s="97"/>
      <c r="TXF72" s="97"/>
      <c r="TXG72" s="97"/>
      <c r="TXH72" s="97"/>
      <c r="TXI72" s="97"/>
      <c r="TXJ72" s="97"/>
      <c r="TXK72" s="97"/>
      <c r="TXL72" s="97"/>
      <c r="TXM72" s="97"/>
      <c r="TXN72" s="97"/>
      <c r="TXO72" s="97"/>
      <c r="TXP72" s="97"/>
      <c r="TXQ72" s="97"/>
      <c r="TXR72" s="97"/>
      <c r="TXS72" s="97"/>
      <c r="TXT72" s="97"/>
      <c r="TXU72" s="97"/>
      <c r="TXV72" s="97"/>
      <c r="TXW72" s="97"/>
      <c r="TXX72" s="97"/>
      <c r="TXY72" s="97"/>
      <c r="TXZ72" s="97"/>
      <c r="TYA72" s="97"/>
      <c r="TYB72" s="97"/>
      <c r="TYC72" s="97"/>
      <c r="TYD72" s="97"/>
      <c r="TYE72" s="97"/>
      <c r="TYF72" s="97"/>
      <c r="TYG72" s="97"/>
      <c r="TYH72" s="97"/>
      <c r="TYI72" s="97"/>
      <c r="TYJ72" s="97"/>
      <c r="TYK72" s="97"/>
      <c r="TYL72" s="97"/>
      <c r="TYM72" s="97"/>
      <c r="TYN72" s="97"/>
      <c r="TYO72" s="97"/>
      <c r="TYP72" s="97"/>
      <c r="TYQ72" s="97"/>
      <c r="TYR72" s="97"/>
      <c r="TYS72" s="97"/>
      <c r="TYT72" s="97"/>
      <c r="TYU72" s="97"/>
      <c r="TYV72" s="97"/>
      <c r="TYW72" s="97"/>
      <c r="TYX72" s="97"/>
      <c r="TYY72" s="97"/>
      <c r="TYZ72" s="97"/>
      <c r="TZA72" s="97"/>
      <c r="TZB72" s="97"/>
      <c r="TZC72" s="97"/>
      <c r="TZD72" s="97"/>
      <c r="TZE72" s="97"/>
      <c r="TZF72" s="97"/>
      <c r="TZG72" s="97"/>
      <c r="TZH72" s="97"/>
      <c r="TZI72" s="97"/>
      <c r="TZJ72" s="97"/>
      <c r="TZK72" s="97"/>
      <c r="TZL72" s="97"/>
      <c r="TZM72" s="97"/>
      <c r="TZN72" s="97"/>
      <c r="TZO72" s="97"/>
      <c r="TZP72" s="97"/>
      <c r="TZQ72" s="97"/>
      <c r="TZR72" s="97"/>
      <c r="TZS72" s="97"/>
      <c r="TZT72" s="97"/>
      <c r="TZU72" s="97"/>
      <c r="TZV72" s="97"/>
      <c r="TZW72" s="97"/>
      <c r="TZX72" s="97"/>
      <c r="TZY72" s="97"/>
      <c r="TZZ72" s="97"/>
      <c r="UAA72" s="97"/>
      <c r="UAB72" s="97"/>
      <c r="UAC72" s="97"/>
      <c r="UAD72" s="97"/>
      <c r="UAE72" s="97"/>
      <c r="UAF72" s="97"/>
      <c r="UAG72" s="97"/>
      <c r="UAH72" s="97"/>
      <c r="UAI72" s="97"/>
      <c r="UAJ72" s="97"/>
      <c r="UAK72" s="97"/>
      <c r="UAL72" s="97"/>
      <c r="UAM72" s="97"/>
      <c r="UAN72" s="97"/>
      <c r="UAO72" s="97"/>
      <c r="UAP72" s="97"/>
      <c r="UAQ72" s="97"/>
      <c r="UAR72" s="97"/>
      <c r="UAS72" s="97"/>
      <c r="UAT72" s="97"/>
      <c r="UAU72" s="97"/>
      <c r="UAV72" s="97"/>
      <c r="UAW72" s="97"/>
      <c r="UAX72" s="97"/>
      <c r="UAY72" s="97"/>
      <c r="UAZ72" s="97"/>
      <c r="UBA72" s="97"/>
      <c r="UBB72" s="97"/>
      <c r="UBC72" s="97"/>
      <c r="UBD72" s="97"/>
      <c r="UBE72" s="97"/>
      <c r="UBF72" s="97"/>
      <c r="UBG72" s="97"/>
      <c r="UBH72" s="97"/>
      <c r="UBI72" s="97"/>
      <c r="UBJ72" s="97"/>
      <c r="UBK72" s="97"/>
      <c r="UBL72" s="97"/>
      <c r="UBM72" s="97"/>
      <c r="UBN72" s="97"/>
      <c r="UBO72" s="97"/>
      <c r="UBP72" s="97"/>
      <c r="UBQ72" s="97"/>
      <c r="UBR72" s="97"/>
      <c r="UBS72" s="97"/>
      <c r="UBT72" s="97"/>
      <c r="UBU72" s="97"/>
      <c r="UBV72" s="97"/>
      <c r="UBW72" s="97"/>
      <c r="UBX72" s="97"/>
      <c r="UBY72" s="97"/>
      <c r="UBZ72" s="97"/>
      <c r="UCA72" s="97"/>
      <c r="UCB72" s="97"/>
      <c r="UCC72" s="97"/>
      <c r="UCD72" s="97"/>
      <c r="UCE72" s="97"/>
      <c r="UCF72" s="97"/>
      <c r="UCG72" s="97"/>
      <c r="UCH72" s="97"/>
      <c r="UCI72" s="97"/>
      <c r="UCJ72" s="97"/>
      <c r="UCK72" s="97"/>
      <c r="UCL72" s="97"/>
      <c r="UCM72" s="97"/>
      <c r="UCN72" s="97"/>
      <c r="UCO72" s="97"/>
      <c r="UCP72" s="97"/>
      <c r="UCQ72" s="97"/>
      <c r="UCR72" s="97"/>
      <c r="UCS72" s="97"/>
      <c r="UCT72" s="97"/>
      <c r="UCU72" s="97"/>
      <c r="UCV72" s="97"/>
      <c r="UCW72" s="97"/>
      <c r="UCX72" s="97"/>
      <c r="UCY72" s="97"/>
      <c r="UCZ72" s="97"/>
      <c r="UDA72" s="97"/>
      <c r="UDB72" s="97"/>
      <c r="UDC72" s="97"/>
      <c r="UDD72" s="97"/>
      <c r="UDE72" s="97"/>
      <c r="UDF72" s="97"/>
      <c r="UDG72" s="97"/>
      <c r="UDH72" s="97"/>
      <c r="UDI72" s="97"/>
      <c r="UDJ72" s="97"/>
      <c r="UDK72" s="97"/>
      <c r="UDL72" s="97"/>
      <c r="UDM72" s="97"/>
      <c r="UDN72" s="97"/>
      <c r="UDO72" s="97"/>
      <c r="UDP72" s="97"/>
      <c r="UDQ72" s="97"/>
      <c r="UDR72" s="97"/>
      <c r="UDS72" s="97"/>
      <c r="UDT72" s="97"/>
      <c r="UDU72" s="97"/>
      <c r="UDV72" s="97"/>
      <c r="UDW72" s="97"/>
      <c r="UDX72" s="97"/>
      <c r="UDY72" s="97"/>
      <c r="UDZ72" s="97"/>
      <c r="UEA72" s="97"/>
      <c r="UEB72" s="97"/>
      <c r="UEC72" s="97"/>
      <c r="UED72" s="97"/>
      <c r="UEE72" s="97"/>
      <c r="UEF72" s="97"/>
      <c r="UEG72" s="97"/>
      <c r="UEH72" s="97"/>
      <c r="UEI72" s="97"/>
      <c r="UEJ72" s="97"/>
      <c r="UEK72" s="97"/>
      <c r="UEL72" s="97"/>
      <c r="UEM72" s="97"/>
      <c r="UEN72" s="97"/>
      <c r="UEO72" s="97"/>
      <c r="UEP72" s="97"/>
      <c r="UEQ72" s="97"/>
      <c r="UER72" s="97"/>
      <c r="UES72" s="97"/>
      <c r="UET72" s="97"/>
      <c r="UEU72" s="97"/>
      <c r="UEV72" s="97"/>
      <c r="UEW72" s="97"/>
      <c r="UEX72" s="97"/>
      <c r="UEY72" s="97"/>
      <c r="UEZ72" s="97"/>
      <c r="UFA72" s="97"/>
      <c r="UFB72" s="97"/>
      <c r="UFC72" s="97"/>
      <c r="UFD72" s="97"/>
      <c r="UFE72" s="97"/>
      <c r="UFF72" s="97"/>
      <c r="UFG72" s="97"/>
      <c r="UFH72" s="97"/>
      <c r="UFI72" s="97"/>
      <c r="UFJ72" s="97"/>
      <c r="UFK72" s="97"/>
      <c r="UFL72" s="97"/>
      <c r="UFM72" s="97"/>
      <c r="UFN72" s="97"/>
      <c r="UFO72" s="97"/>
      <c r="UFP72" s="97"/>
      <c r="UFQ72" s="97"/>
      <c r="UFR72" s="97"/>
      <c r="UFS72" s="97"/>
      <c r="UFT72" s="97"/>
      <c r="UFU72" s="97"/>
      <c r="UFV72" s="97"/>
      <c r="UFW72" s="97"/>
      <c r="UFX72" s="97"/>
      <c r="UFY72" s="97"/>
      <c r="UFZ72" s="97"/>
      <c r="UGA72" s="97"/>
      <c r="UGB72" s="97"/>
      <c r="UGC72" s="97"/>
      <c r="UGD72" s="97"/>
      <c r="UGE72" s="97"/>
      <c r="UGF72" s="97"/>
      <c r="UGG72" s="97"/>
      <c r="UGH72" s="97"/>
      <c r="UGI72" s="97"/>
      <c r="UGJ72" s="97"/>
      <c r="UGK72" s="97"/>
      <c r="UGL72" s="97"/>
      <c r="UGM72" s="97"/>
      <c r="UGN72" s="97"/>
      <c r="UGO72" s="97"/>
      <c r="UGP72" s="97"/>
      <c r="UGQ72" s="97"/>
      <c r="UGR72" s="97"/>
      <c r="UGS72" s="97"/>
      <c r="UGT72" s="97"/>
      <c r="UGU72" s="97"/>
      <c r="UGV72" s="97"/>
      <c r="UGW72" s="97"/>
      <c r="UGX72" s="97"/>
      <c r="UGY72" s="97"/>
      <c r="UGZ72" s="97"/>
      <c r="UHA72" s="97"/>
      <c r="UHB72" s="97"/>
      <c r="UHC72" s="97"/>
      <c r="UHD72" s="97"/>
      <c r="UHE72" s="97"/>
      <c r="UHF72" s="97"/>
      <c r="UHG72" s="97"/>
      <c r="UHH72" s="97"/>
      <c r="UHI72" s="97"/>
      <c r="UHJ72" s="97"/>
      <c r="UHK72" s="97"/>
      <c r="UHL72" s="97"/>
      <c r="UHM72" s="97"/>
      <c r="UHN72" s="97"/>
      <c r="UHO72" s="97"/>
      <c r="UHP72" s="97"/>
      <c r="UHQ72" s="97"/>
      <c r="UHR72" s="97"/>
      <c r="UHS72" s="97"/>
      <c r="UHT72" s="97"/>
      <c r="UHU72" s="97"/>
      <c r="UHV72" s="97"/>
      <c r="UHW72" s="97"/>
      <c r="UHX72" s="97"/>
      <c r="UHY72" s="97"/>
      <c r="UHZ72" s="97"/>
      <c r="UIA72" s="97"/>
      <c r="UIB72" s="97"/>
      <c r="UIC72" s="97"/>
      <c r="UID72" s="97"/>
      <c r="UIE72" s="97"/>
      <c r="UIF72" s="97"/>
      <c r="UIG72" s="97"/>
      <c r="UIH72" s="97"/>
      <c r="UII72" s="97"/>
      <c r="UIJ72" s="97"/>
      <c r="UIK72" s="97"/>
      <c r="UIL72" s="97"/>
      <c r="UIM72" s="97"/>
      <c r="UIN72" s="97"/>
      <c r="UIO72" s="97"/>
      <c r="UIP72" s="97"/>
      <c r="UIQ72" s="97"/>
      <c r="UIR72" s="97"/>
      <c r="UIS72" s="97"/>
      <c r="UIT72" s="97"/>
      <c r="UIU72" s="97"/>
      <c r="UIV72" s="97"/>
      <c r="UIW72" s="97"/>
      <c r="UIX72" s="97"/>
      <c r="UIY72" s="97"/>
      <c r="UIZ72" s="97"/>
      <c r="UJA72" s="97"/>
      <c r="UJB72" s="97"/>
      <c r="UJC72" s="97"/>
      <c r="UJD72" s="97"/>
      <c r="UJE72" s="97"/>
      <c r="UJF72" s="97"/>
      <c r="UJG72" s="97"/>
      <c r="UJH72" s="97"/>
      <c r="UJI72" s="97"/>
      <c r="UJJ72" s="97"/>
      <c r="UJK72" s="97"/>
      <c r="UJL72" s="97"/>
      <c r="UJM72" s="97"/>
      <c r="UJN72" s="97"/>
      <c r="UJO72" s="97"/>
      <c r="UJP72" s="97"/>
      <c r="UJQ72" s="97"/>
      <c r="UJR72" s="97"/>
      <c r="UJS72" s="97"/>
      <c r="UJT72" s="97"/>
      <c r="UJU72" s="97"/>
      <c r="UJV72" s="97"/>
      <c r="UJW72" s="97"/>
      <c r="UJX72" s="97"/>
      <c r="UJY72" s="97"/>
      <c r="UJZ72" s="97"/>
      <c r="UKA72" s="97"/>
      <c r="UKB72" s="97"/>
      <c r="UKC72" s="97"/>
      <c r="UKD72" s="97"/>
      <c r="UKE72" s="97"/>
      <c r="UKF72" s="97"/>
      <c r="UKG72" s="97"/>
      <c r="UKH72" s="97"/>
      <c r="UKI72" s="97"/>
      <c r="UKJ72" s="97"/>
      <c r="UKK72" s="97"/>
      <c r="UKL72" s="97"/>
      <c r="UKM72" s="97"/>
      <c r="UKN72" s="97"/>
      <c r="UKO72" s="97"/>
      <c r="UKP72" s="97"/>
      <c r="UKQ72" s="97"/>
      <c r="UKR72" s="97"/>
      <c r="UKS72" s="97"/>
      <c r="UKT72" s="97"/>
      <c r="UKU72" s="97"/>
      <c r="UKV72" s="97"/>
      <c r="UKW72" s="97"/>
      <c r="UKX72" s="97"/>
      <c r="UKY72" s="97"/>
      <c r="UKZ72" s="97"/>
      <c r="ULA72" s="97"/>
      <c r="ULB72" s="97"/>
      <c r="ULC72" s="97"/>
      <c r="ULD72" s="97"/>
      <c r="ULE72" s="97"/>
      <c r="ULF72" s="97"/>
      <c r="ULG72" s="97"/>
      <c r="ULH72" s="97"/>
      <c r="ULI72" s="97"/>
      <c r="ULJ72" s="97"/>
      <c r="ULK72" s="97"/>
      <c r="ULL72" s="97"/>
      <c r="ULM72" s="97"/>
      <c r="ULN72" s="97"/>
      <c r="ULO72" s="97"/>
      <c r="ULP72" s="97"/>
      <c r="ULQ72" s="97"/>
      <c r="ULR72" s="97"/>
      <c r="ULS72" s="97"/>
      <c r="ULT72" s="97"/>
      <c r="ULU72" s="97"/>
      <c r="ULV72" s="97"/>
      <c r="ULW72" s="97"/>
      <c r="ULX72" s="97"/>
      <c r="ULY72" s="97"/>
      <c r="ULZ72" s="97"/>
      <c r="UMA72" s="97"/>
      <c r="UMB72" s="97"/>
      <c r="UMC72" s="97"/>
      <c r="UMD72" s="97"/>
      <c r="UME72" s="97"/>
      <c r="UMF72" s="97"/>
      <c r="UMG72" s="97"/>
      <c r="UMH72" s="97"/>
      <c r="UMI72" s="97"/>
      <c r="UMJ72" s="97"/>
      <c r="UMK72" s="97"/>
      <c r="UML72" s="97"/>
      <c r="UMM72" s="97"/>
      <c r="UMN72" s="97"/>
      <c r="UMO72" s="97"/>
      <c r="UMP72" s="97"/>
      <c r="UMQ72" s="97"/>
      <c r="UMR72" s="97"/>
      <c r="UMS72" s="97"/>
      <c r="UMT72" s="97"/>
      <c r="UMU72" s="97"/>
      <c r="UMV72" s="97"/>
      <c r="UMW72" s="97"/>
      <c r="UMX72" s="97"/>
      <c r="UMY72" s="97"/>
      <c r="UMZ72" s="97"/>
      <c r="UNA72" s="97"/>
      <c r="UNB72" s="97"/>
      <c r="UNC72" s="97"/>
      <c r="UND72" s="97"/>
      <c r="UNE72" s="97"/>
      <c r="UNF72" s="97"/>
      <c r="UNG72" s="97"/>
      <c r="UNH72" s="97"/>
      <c r="UNI72" s="97"/>
      <c r="UNJ72" s="97"/>
      <c r="UNK72" s="97"/>
      <c r="UNL72" s="97"/>
      <c r="UNM72" s="97"/>
      <c r="UNN72" s="97"/>
      <c r="UNO72" s="97"/>
      <c r="UNP72" s="97"/>
      <c r="UNQ72" s="97"/>
      <c r="UNR72" s="97"/>
      <c r="UNS72" s="97"/>
      <c r="UNT72" s="97"/>
      <c r="UNU72" s="97"/>
      <c r="UNV72" s="97"/>
      <c r="UNW72" s="97"/>
      <c r="UNX72" s="97"/>
      <c r="UNY72" s="97"/>
      <c r="UNZ72" s="97"/>
      <c r="UOA72" s="97"/>
      <c r="UOB72" s="97"/>
      <c r="UOC72" s="97"/>
      <c r="UOD72" s="97"/>
      <c r="UOE72" s="97"/>
      <c r="UOF72" s="97"/>
      <c r="UOG72" s="97"/>
      <c r="UOH72" s="97"/>
      <c r="UOI72" s="97"/>
      <c r="UOJ72" s="97"/>
      <c r="UOK72" s="97"/>
      <c r="UOL72" s="97"/>
      <c r="UOM72" s="97"/>
      <c r="UON72" s="97"/>
      <c r="UOO72" s="97"/>
      <c r="UOP72" s="97"/>
      <c r="UOQ72" s="97"/>
      <c r="UOR72" s="97"/>
      <c r="UOS72" s="97"/>
      <c r="UOT72" s="97"/>
      <c r="UOU72" s="97"/>
      <c r="UOV72" s="97"/>
      <c r="UOW72" s="97"/>
      <c r="UOX72" s="97"/>
      <c r="UOY72" s="97"/>
      <c r="UOZ72" s="97"/>
      <c r="UPA72" s="97"/>
      <c r="UPB72" s="97"/>
      <c r="UPC72" s="97"/>
      <c r="UPD72" s="97"/>
      <c r="UPE72" s="97"/>
      <c r="UPF72" s="97"/>
      <c r="UPG72" s="97"/>
      <c r="UPH72" s="97"/>
      <c r="UPI72" s="97"/>
      <c r="UPJ72" s="97"/>
      <c r="UPK72" s="97"/>
      <c r="UPL72" s="97"/>
      <c r="UPM72" s="97"/>
      <c r="UPN72" s="97"/>
      <c r="UPO72" s="97"/>
      <c r="UPP72" s="97"/>
      <c r="UPQ72" s="97"/>
      <c r="UPR72" s="97"/>
      <c r="UPS72" s="97"/>
      <c r="UPT72" s="97"/>
      <c r="UPU72" s="97"/>
      <c r="UPV72" s="97"/>
      <c r="UPW72" s="97"/>
      <c r="UPX72" s="97"/>
      <c r="UPY72" s="97"/>
      <c r="UPZ72" s="97"/>
      <c r="UQA72" s="97"/>
      <c r="UQB72" s="97"/>
      <c r="UQC72" s="97"/>
      <c r="UQD72" s="97"/>
      <c r="UQE72" s="97"/>
      <c r="UQF72" s="97"/>
      <c r="UQG72" s="97"/>
      <c r="UQH72" s="97"/>
      <c r="UQI72" s="97"/>
      <c r="UQJ72" s="97"/>
      <c r="UQK72" s="97"/>
      <c r="UQL72" s="97"/>
      <c r="UQM72" s="97"/>
      <c r="UQN72" s="97"/>
      <c r="UQO72" s="97"/>
      <c r="UQP72" s="97"/>
      <c r="UQQ72" s="97"/>
      <c r="UQR72" s="97"/>
      <c r="UQS72" s="97"/>
      <c r="UQT72" s="97"/>
      <c r="UQU72" s="97"/>
      <c r="UQV72" s="97"/>
      <c r="UQW72" s="97"/>
      <c r="UQX72" s="97"/>
      <c r="UQY72" s="97"/>
      <c r="UQZ72" s="97"/>
      <c r="URA72" s="97"/>
      <c r="URB72" s="97"/>
      <c r="URC72" s="97"/>
      <c r="URD72" s="97"/>
      <c r="URE72" s="97"/>
      <c r="URF72" s="97"/>
      <c r="URG72" s="97"/>
      <c r="URH72" s="97"/>
      <c r="URI72" s="97"/>
      <c r="URJ72" s="97"/>
      <c r="URK72" s="97"/>
      <c r="URL72" s="97"/>
      <c r="URM72" s="97"/>
      <c r="URN72" s="97"/>
      <c r="URO72" s="97"/>
      <c r="URP72" s="97"/>
      <c r="URQ72" s="97"/>
      <c r="URR72" s="97"/>
      <c r="URS72" s="97"/>
      <c r="URT72" s="97"/>
      <c r="URU72" s="97"/>
      <c r="URV72" s="97"/>
      <c r="URW72" s="97"/>
      <c r="URX72" s="97"/>
      <c r="URY72" s="97"/>
      <c r="URZ72" s="97"/>
      <c r="USA72" s="97"/>
      <c r="USB72" s="97"/>
      <c r="USC72" s="97"/>
      <c r="USD72" s="97"/>
      <c r="USE72" s="97"/>
      <c r="USF72" s="97"/>
      <c r="USG72" s="97"/>
      <c r="USH72" s="97"/>
      <c r="USI72" s="97"/>
      <c r="USJ72" s="97"/>
      <c r="USK72" s="97"/>
      <c r="USL72" s="97"/>
      <c r="USM72" s="97"/>
      <c r="USN72" s="97"/>
      <c r="USO72" s="97"/>
      <c r="USP72" s="97"/>
      <c r="USQ72" s="97"/>
      <c r="USR72" s="97"/>
      <c r="USS72" s="97"/>
      <c r="UST72" s="97"/>
      <c r="USU72" s="97"/>
      <c r="USV72" s="97"/>
      <c r="USW72" s="97"/>
      <c r="USX72" s="97"/>
      <c r="USY72" s="97"/>
      <c r="USZ72" s="97"/>
      <c r="UTA72" s="97"/>
      <c r="UTB72" s="97"/>
      <c r="UTC72" s="97"/>
      <c r="UTD72" s="97"/>
      <c r="UTE72" s="97"/>
      <c r="UTF72" s="97"/>
      <c r="UTG72" s="97"/>
      <c r="UTH72" s="97"/>
      <c r="UTI72" s="97"/>
      <c r="UTJ72" s="97"/>
      <c r="UTK72" s="97"/>
      <c r="UTL72" s="97"/>
      <c r="UTM72" s="97"/>
      <c r="UTN72" s="97"/>
      <c r="UTO72" s="97"/>
      <c r="UTP72" s="97"/>
      <c r="UTQ72" s="97"/>
      <c r="UTR72" s="97"/>
      <c r="UTS72" s="97"/>
      <c r="UTT72" s="97"/>
      <c r="UTU72" s="97"/>
      <c r="UTV72" s="97"/>
      <c r="UTW72" s="97"/>
      <c r="UTX72" s="97"/>
      <c r="UTY72" s="97"/>
      <c r="UTZ72" s="97"/>
      <c r="UUA72" s="97"/>
      <c r="UUB72" s="97"/>
      <c r="UUC72" s="97"/>
      <c r="UUD72" s="97"/>
      <c r="UUE72" s="97"/>
      <c r="UUF72" s="97"/>
      <c r="UUG72" s="97"/>
      <c r="UUH72" s="97"/>
      <c r="UUI72" s="97"/>
      <c r="UUJ72" s="97"/>
      <c r="UUK72" s="97"/>
      <c r="UUL72" s="97"/>
      <c r="UUM72" s="97"/>
      <c r="UUN72" s="97"/>
      <c r="UUO72" s="97"/>
      <c r="UUP72" s="97"/>
      <c r="UUQ72" s="97"/>
      <c r="UUR72" s="97"/>
      <c r="UUS72" s="97"/>
      <c r="UUT72" s="97"/>
      <c r="UUU72" s="97"/>
      <c r="UUV72" s="97"/>
      <c r="UUW72" s="97"/>
      <c r="UUX72" s="97"/>
      <c r="UUY72" s="97"/>
      <c r="UUZ72" s="97"/>
      <c r="UVA72" s="97"/>
      <c r="UVB72" s="97"/>
      <c r="UVC72" s="97"/>
      <c r="UVD72" s="97"/>
      <c r="UVE72" s="97"/>
      <c r="UVF72" s="97"/>
      <c r="UVG72" s="97"/>
      <c r="UVH72" s="97"/>
      <c r="UVI72" s="97"/>
      <c r="UVJ72" s="97"/>
      <c r="UVK72" s="97"/>
      <c r="UVL72" s="97"/>
      <c r="UVM72" s="97"/>
      <c r="UVN72" s="97"/>
      <c r="UVO72" s="97"/>
      <c r="UVP72" s="97"/>
      <c r="UVQ72" s="97"/>
      <c r="UVR72" s="97"/>
      <c r="UVS72" s="97"/>
      <c r="UVT72" s="97"/>
      <c r="UVU72" s="97"/>
      <c r="UVV72" s="97"/>
      <c r="UVW72" s="97"/>
      <c r="UVX72" s="97"/>
      <c r="UVY72" s="97"/>
      <c r="UVZ72" s="97"/>
      <c r="UWA72" s="97"/>
      <c r="UWB72" s="97"/>
      <c r="UWC72" s="97"/>
      <c r="UWD72" s="97"/>
      <c r="UWE72" s="97"/>
      <c r="UWF72" s="97"/>
      <c r="UWG72" s="97"/>
      <c r="UWH72" s="97"/>
      <c r="UWI72" s="97"/>
      <c r="UWJ72" s="97"/>
      <c r="UWK72" s="97"/>
      <c r="UWL72" s="97"/>
      <c r="UWM72" s="97"/>
      <c r="UWN72" s="97"/>
      <c r="UWO72" s="97"/>
      <c r="UWP72" s="97"/>
      <c r="UWQ72" s="97"/>
      <c r="UWR72" s="97"/>
      <c r="UWS72" s="97"/>
      <c r="UWT72" s="97"/>
      <c r="UWU72" s="97"/>
      <c r="UWV72" s="97"/>
      <c r="UWW72" s="97"/>
      <c r="UWX72" s="97"/>
      <c r="UWY72" s="97"/>
      <c r="UWZ72" s="97"/>
      <c r="UXA72" s="97"/>
      <c r="UXB72" s="97"/>
      <c r="UXC72" s="97"/>
      <c r="UXD72" s="97"/>
      <c r="UXE72" s="97"/>
      <c r="UXF72" s="97"/>
      <c r="UXG72" s="97"/>
      <c r="UXH72" s="97"/>
      <c r="UXI72" s="97"/>
      <c r="UXJ72" s="97"/>
      <c r="UXK72" s="97"/>
      <c r="UXL72" s="97"/>
      <c r="UXM72" s="97"/>
      <c r="UXN72" s="97"/>
      <c r="UXO72" s="97"/>
      <c r="UXP72" s="97"/>
      <c r="UXQ72" s="97"/>
      <c r="UXR72" s="97"/>
      <c r="UXS72" s="97"/>
      <c r="UXT72" s="97"/>
      <c r="UXU72" s="97"/>
      <c r="UXV72" s="97"/>
      <c r="UXW72" s="97"/>
      <c r="UXX72" s="97"/>
      <c r="UXY72" s="97"/>
      <c r="UXZ72" s="97"/>
      <c r="UYA72" s="97"/>
      <c r="UYB72" s="97"/>
      <c r="UYC72" s="97"/>
      <c r="UYD72" s="97"/>
      <c r="UYE72" s="97"/>
      <c r="UYF72" s="97"/>
      <c r="UYG72" s="97"/>
      <c r="UYH72" s="97"/>
      <c r="UYI72" s="97"/>
      <c r="UYJ72" s="97"/>
      <c r="UYK72" s="97"/>
      <c r="UYL72" s="97"/>
      <c r="UYM72" s="97"/>
      <c r="UYN72" s="97"/>
      <c r="UYO72" s="97"/>
      <c r="UYP72" s="97"/>
      <c r="UYQ72" s="97"/>
      <c r="UYR72" s="97"/>
      <c r="UYS72" s="97"/>
      <c r="UYT72" s="97"/>
      <c r="UYU72" s="97"/>
      <c r="UYV72" s="97"/>
      <c r="UYW72" s="97"/>
      <c r="UYX72" s="97"/>
      <c r="UYY72" s="97"/>
      <c r="UYZ72" s="97"/>
      <c r="UZA72" s="97"/>
      <c r="UZB72" s="97"/>
      <c r="UZC72" s="97"/>
      <c r="UZD72" s="97"/>
      <c r="UZE72" s="97"/>
      <c r="UZF72" s="97"/>
      <c r="UZG72" s="97"/>
      <c r="UZH72" s="97"/>
      <c r="UZI72" s="97"/>
      <c r="UZJ72" s="97"/>
      <c r="UZK72" s="97"/>
      <c r="UZL72" s="97"/>
      <c r="UZM72" s="97"/>
      <c r="UZN72" s="97"/>
      <c r="UZO72" s="97"/>
      <c r="UZP72" s="97"/>
      <c r="UZQ72" s="97"/>
      <c r="UZR72" s="97"/>
      <c r="UZS72" s="97"/>
      <c r="UZT72" s="97"/>
      <c r="UZU72" s="97"/>
      <c r="UZV72" s="97"/>
      <c r="UZW72" s="97"/>
      <c r="UZX72" s="97"/>
      <c r="UZY72" s="97"/>
      <c r="UZZ72" s="97"/>
      <c r="VAA72" s="97"/>
      <c r="VAB72" s="97"/>
      <c r="VAC72" s="97"/>
      <c r="VAD72" s="97"/>
      <c r="VAE72" s="97"/>
      <c r="VAF72" s="97"/>
      <c r="VAG72" s="97"/>
      <c r="VAH72" s="97"/>
      <c r="VAI72" s="97"/>
      <c r="VAJ72" s="97"/>
      <c r="VAK72" s="97"/>
      <c r="VAL72" s="97"/>
      <c r="VAM72" s="97"/>
      <c r="VAN72" s="97"/>
      <c r="VAO72" s="97"/>
      <c r="VAP72" s="97"/>
      <c r="VAQ72" s="97"/>
      <c r="VAR72" s="97"/>
      <c r="VAS72" s="97"/>
      <c r="VAT72" s="97"/>
      <c r="VAU72" s="97"/>
      <c r="VAV72" s="97"/>
      <c r="VAW72" s="97"/>
      <c r="VAX72" s="97"/>
      <c r="VAY72" s="97"/>
      <c r="VAZ72" s="97"/>
      <c r="VBA72" s="97"/>
      <c r="VBB72" s="97"/>
      <c r="VBC72" s="97"/>
      <c r="VBD72" s="97"/>
      <c r="VBE72" s="97"/>
      <c r="VBF72" s="97"/>
      <c r="VBG72" s="97"/>
      <c r="VBH72" s="97"/>
      <c r="VBI72" s="97"/>
      <c r="VBJ72" s="97"/>
      <c r="VBK72" s="97"/>
      <c r="VBL72" s="97"/>
      <c r="VBM72" s="97"/>
      <c r="VBN72" s="97"/>
      <c r="VBO72" s="97"/>
      <c r="VBP72" s="97"/>
      <c r="VBQ72" s="97"/>
      <c r="VBR72" s="97"/>
      <c r="VBS72" s="97"/>
      <c r="VBT72" s="97"/>
      <c r="VBU72" s="97"/>
      <c r="VBV72" s="97"/>
      <c r="VBW72" s="97"/>
      <c r="VBX72" s="97"/>
      <c r="VBY72" s="97"/>
      <c r="VBZ72" s="97"/>
      <c r="VCA72" s="97"/>
      <c r="VCB72" s="97"/>
      <c r="VCC72" s="97"/>
      <c r="VCD72" s="97"/>
      <c r="VCE72" s="97"/>
      <c r="VCF72" s="97"/>
      <c r="VCG72" s="97"/>
      <c r="VCH72" s="97"/>
      <c r="VCI72" s="97"/>
      <c r="VCJ72" s="97"/>
      <c r="VCK72" s="97"/>
      <c r="VCL72" s="97"/>
      <c r="VCM72" s="97"/>
      <c r="VCN72" s="97"/>
      <c r="VCO72" s="97"/>
      <c r="VCP72" s="97"/>
      <c r="VCQ72" s="97"/>
      <c r="VCR72" s="97"/>
      <c r="VCS72" s="97"/>
      <c r="VCT72" s="97"/>
      <c r="VCU72" s="97"/>
      <c r="VCV72" s="97"/>
      <c r="VCW72" s="97"/>
      <c r="VCX72" s="97"/>
      <c r="VCY72" s="97"/>
      <c r="VCZ72" s="97"/>
      <c r="VDA72" s="97"/>
      <c r="VDB72" s="97"/>
      <c r="VDC72" s="97"/>
      <c r="VDD72" s="97"/>
      <c r="VDE72" s="97"/>
      <c r="VDF72" s="97"/>
      <c r="VDG72" s="97"/>
      <c r="VDH72" s="97"/>
      <c r="VDI72" s="97"/>
      <c r="VDJ72" s="97"/>
      <c r="VDK72" s="97"/>
      <c r="VDL72" s="97"/>
      <c r="VDM72" s="97"/>
      <c r="VDN72" s="97"/>
      <c r="VDO72" s="97"/>
      <c r="VDP72" s="97"/>
      <c r="VDQ72" s="97"/>
      <c r="VDR72" s="97"/>
      <c r="VDS72" s="97"/>
      <c r="VDT72" s="97"/>
      <c r="VDU72" s="97"/>
      <c r="VDV72" s="97"/>
      <c r="VDW72" s="97"/>
      <c r="VDX72" s="97"/>
      <c r="VDY72" s="97"/>
      <c r="VDZ72" s="97"/>
      <c r="VEA72" s="97"/>
      <c r="VEB72" s="97"/>
      <c r="VEC72" s="97"/>
      <c r="VED72" s="97"/>
      <c r="VEE72" s="97"/>
      <c r="VEF72" s="97"/>
      <c r="VEG72" s="97"/>
      <c r="VEH72" s="97"/>
      <c r="VEI72" s="97"/>
      <c r="VEJ72" s="97"/>
      <c r="VEK72" s="97"/>
      <c r="VEL72" s="97"/>
      <c r="VEM72" s="97"/>
      <c r="VEN72" s="97"/>
      <c r="VEO72" s="97"/>
      <c r="VEP72" s="97"/>
      <c r="VEQ72" s="97"/>
      <c r="VER72" s="97"/>
      <c r="VES72" s="97"/>
      <c r="VET72" s="97"/>
      <c r="VEU72" s="97"/>
      <c r="VEV72" s="97"/>
      <c r="VEW72" s="97"/>
      <c r="VEX72" s="97"/>
      <c r="VEY72" s="97"/>
      <c r="VEZ72" s="97"/>
      <c r="VFA72" s="97"/>
      <c r="VFB72" s="97"/>
      <c r="VFC72" s="97"/>
      <c r="VFD72" s="97"/>
      <c r="VFE72" s="97"/>
      <c r="VFF72" s="97"/>
      <c r="VFG72" s="97"/>
      <c r="VFH72" s="97"/>
      <c r="VFI72" s="97"/>
      <c r="VFJ72" s="97"/>
      <c r="VFK72" s="97"/>
      <c r="VFL72" s="97"/>
      <c r="VFM72" s="97"/>
      <c r="VFN72" s="97"/>
      <c r="VFO72" s="97"/>
      <c r="VFP72" s="97"/>
      <c r="VFQ72" s="97"/>
      <c r="VFR72" s="97"/>
      <c r="VFS72" s="97"/>
      <c r="VFT72" s="97"/>
      <c r="VFU72" s="97"/>
      <c r="VFV72" s="97"/>
      <c r="VFW72" s="97"/>
      <c r="VFX72" s="97"/>
      <c r="VFY72" s="97"/>
      <c r="VFZ72" s="97"/>
      <c r="VGA72" s="97"/>
      <c r="VGB72" s="97"/>
      <c r="VGC72" s="97"/>
      <c r="VGD72" s="97"/>
      <c r="VGE72" s="97"/>
      <c r="VGF72" s="97"/>
      <c r="VGG72" s="97"/>
      <c r="VGH72" s="97"/>
      <c r="VGI72" s="97"/>
      <c r="VGJ72" s="97"/>
      <c r="VGK72" s="97"/>
      <c r="VGL72" s="97"/>
      <c r="VGM72" s="97"/>
      <c r="VGN72" s="97"/>
      <c r="VGO72" s="97"/>
      <c r="VGP72" s="97"/>
      <c r="VGQ72" s="97"/>
      <c r="VGR72" s="97"/>
      <c r="VGS72" s="97"/>
      <c r="VGT72" s="97"/>
      <c r="VGU72" s="97"/>
      <c r="VGV72" s="97"/>
      <c r="VGW72" s="97"/>
      <c r="VGX72" s="97"/>
      <c r="VGY72" s="97"/>
      <c r="VGZ72" s="97"/>
      <c r="VHA72" s="97"/>
      <c r="VHB72" s="97"/>
      <c r="VHC72" s="97"/>
      <c r="VHD72" s="97"/>
      <c r="VHE72" s="97"/>
      <c r="VHF72" s="97"/>
      <c r="VHG72" s="97"/>
      <c r="VHH72" s="97"/>
      <c r="VHI72" s="97"/>
      <c r="VHJ72" s="97"/>
      <c r="VHK72" s="97"/>
      <c r="VHL72" s="97"/>
      <c r="VHM72" s="97"/>
      <c r="VHN72" s="97"/>
      <c r="VHO72" s="97"/>
      <c r="VHP72" s="97"/>
      <c r="VHQ72" s="97"/>
      <c r="VHR72" s="97"/>
      <c r="VHS72" s="97"/>
      <c r="VHT72" s="97"/>
      <c r="VHU72" s="97"/>
      <c r="VHV72" s="97"/>
      <c r="VHW72" s="97"/>
      <c r="VHX72" s="97"/>
      <c r="VHY72" s="97"/>
      <c r="VHZ72" s="97"/>
      <c r="VIA72" s="97"/>
      <c r="VIB72" s="97"/>
      <c r="VIC72" s="97"/>
      <c r="VID72" s="97"/>
      <c r="VIE72" s="97"/>
      <c r="VIF72" s="97"/>
      <c r="VIG72" s="97"/>
      <c r="VIH72" s="97"/>
      <c r="VII72" s="97"/>
      <c r="VIJ72" s="97"/>
      <c r="VIK72" s="97"/>
      <c r="VIL72" s="97"/>
      <c r="VIM72" s="97"/>
      <c r="VIN72" s="97"/>
      <c r="VIO72" s="97"/>
      <c r="VIP72" s="97"/>
      <c r="VIQ72" s="97"/>
      <c r="VIR72" s="97"/>
      <c r="VIS72" s="97"/>
      <c r="VIT72" s="97"/>
      <c r="VIU72" s="97"/>
      <c r="VIV72" s="97"/>
      <c r="VIW72" s="97"/>
      <c r="VIX72" s="97"/>
      <c r="VIY72" s="97"/>
      <c r="VIZ72" s="97"/>
      <c r="VJA72" s="97"/>
      <c r="VJB72" s="97"/>
      <c r="VJC72" s="97"/>
      <c r="VJD72" s="97"/>
      <c r="VJE72" s="97"/>
      <c r="VJF72" s="97"/>
      <c r="VJG72" s="97"/>
      <c r="VJH72" s="97"/>
      <c r="VJI72" s="97"/>
      <c r="VJJ72" s="97"/>
      <c r="VJK72" s="97"/>
      <c r="VJL72" s="97"/>
      <c r="VJM72" s="97"/>
      <c r="VJN72" s="97"/>
      <c r="VJO72" s="97"/>
      <c r="VJP72" s="97"/>
      <c r="VJQ72" s="97"/>
      <c r="VJR72" s="97"/>
      <c r="VJS72" s="97"/>
      <c r="VJT72" s="97"/>
      <c r="VJU72" s="97"/>
      <c r="VJV72" s="97"/>
      <c r="VJW72" s="97"/>
      <c r="VJX72" s="97"/>
      <c r="VJY72" s="97"/>
      <c r="VJZ72" s="97"/>
      <c r="VKA72" s="97"/>
      <c r="VKB72" s="97"/>
      <c r="VKC72" s="97"/>
      <c r="VKD72" s="97"/>
      <c r="VKE72" s="97"/>
      <c r="VKF72" s="97"/>
      <c r="VKG72" s="97"/>
      <c r="VKH72" s="97"/>
      <c r="VKI72" s="97"/>
      <c r="VKJ72" s="97"/>
      <c r="VKK72" s="97"/>
      <c r="VKL72" s="97"/>
      <c r="VKM72" s="97"/>
      <c r="VKN72" s="97"/>
      <c r="VKO72" s="97"/>
      <c r="VKP72" s="97"/>
      <c r="VKQ72" s="97"/>
      <c r="VKR72" s="97"/>
      <c r="VKS72" s="97"/>
      <c r="VKT72" s="97"/>
      <c r="VKU72" s="97"/>
      <c r="VKV72" s="97"/>
      <c r="VKW72" s="97"/>
      <c r="VKX72" s="97"/>
      <c r="VKY72" s="97"/>
      <c r="VKZ72" s="97"/>
      <c r="VLA72" s="97"/>
      <c r="VLB72" s="97"/>
      <c r="VLC72" s="97"/>
      <c r="VLD72" s="97"/>
      <c r="VLE72" s="97"/>
      <c r="VLF72" s="97"/>
      <c r="VLG72" s="97"/>
      <c r="VLH72" s="97"/>
      <c r="VLI72" s="97"/>
      <c r="VLJ72" s="97"/>
      <c r="VLK72" s="97"/>
      <c r="VLL72" s="97"/>
      <c r="VLM72" s="97"/>
      <c r="VLN72" s="97"/>
      <c r="VLO72" s="97"/>
      <c r="VLP72" s="97"/>
      <c r="VLQ72" s="97"/>
      <c r="VLR72" s="97"/>
      <c r="VLS72" s="97"/>
      <c r="VLT72" s="97"/>
      <c r="VLU72" s="97"/>
      <c r="VLV72" s="97"/>
      <c r="VLW72" s="97"/>
      <c r="VLX72" s="97"/>
      <c r="VLY72" s="97"/>
      <c r="VLZ72" s="97"/>
      <c r="VMA72" s="97"/>
      <c r="VMB72" s="97"/>
      <c r="VMC72" s="97"/>
      <c r="VMD72" s="97"/>
      <c r="VME72" s="97"/>
      <c r="VMF72" s="97"/>
      <c r="VMG72" s="97"/>
      <c r="VMH72" s="97"/>
      <c r="VMI72" s="97"/>
      <c r="VMJ72" s="97"/>
      <c r="VMK72" s="97"/>
      <c r="VML72" s="97"/>
      <c r="VMM72" s="97"/>
      <c r="VMN72" s="97"/>
      <c r="VMO72" s="97"/>
      <c r="VMP72" s="97"/>
      <c r="VMQ72" s="97"/>
      <c r="VMR72" s="97"/>
      <c r="VMS72" s="97"/>
      <c r="VMT72" s="97"/>
      <c r="VMU72" s="97"/>
      <c r="VMV72" s="97"/>
      <c r="VMW72" s="97"/>
      <c r="VMX72" s="97"/>
      <c r="VMY72" s="97"/>
      <c r="VMZ72" s="97"/>
      <c r="VNA72" s="97"/>
      <c r="VNB72" s="97"/>
      <c r="VNC72" s="97"/>
      <c r="VND72" s="97"/>
      <c r="VNE72" s="97"/>
      <c r="VNF72" s="97"/>
      <c r="VNG72" s="97"/>
      <c r="VNH72" s="97"/>
      <c r="VNI72" s="97"/>
      <c r="VNJ72" s="97"/>
      <c r="VNK72" s="97"/>
      <c r="VNL72" s="97"/>
      <c r="VNM72" s="97"/>
      <c r="VNN72" s="97"/>
      <c r="VNO72" s="97"/>
      <c r="VNP72" s="97"/>
      <c r="VNQ72" s="97"/>
      <c r="VNR72" s="97"/>
      <c r="VNS72" s="97"/>
      <c r="VNT72" s="97"/>
      <c r="VNU72" s="97"/>
      <c r="VNV72" s="97"/>
      <c r="VNW72" s="97"/>
      <c r="VNX72" s="97"/>
      <c r="VNY72" s="97"/>
      <c r="VNZ72" s="97"/>
      <c r="VOA72" s="97"/>
      <c r="VOB72" s="97"/>
      <c r="VOC72" s="97"/>
      <c r="VOD72" s="97"/>
      <c r="VOE72" s="97"/>
      <c r="VOF72" s="97"/>
      <c r="VOG72" s="97"/>
      <c r="VOH72" s="97"/>
      <c r="VOI72" s="97"/>
      <c r="VOJ72" s="97"/>
      <c r="VOK72" s="97"/>
      <c r="VOL72" s="97"/>
      <c r="VOM72" s="97"/>
      <c r="VON72" s="97"/>
      <c r="VOO72" s="97"/>
      <c r="VOP72" s="97"/>
      <c r="VOQ72" s="97"/>
      <c r="VOR72" s="97"/>
      <c r="VOS72" s="97"/>
      <c r="VOT72" s="97"/>
      <c r="VOU72" s="97"/>
      <c r="VOV72" s="97"/>
      <c r="VOW72" s="97"/>
      <c r="VOX72" s="97"/>
      <c r="VOY72" s="97"/>
      <c r="VOZ72" s="97"/>
      <c r="VPA72" s="97"/>
      <c r="VPB72" s="97"/>
      <c r="VPC72" s="97"/>
      <c r="VPD72" s="97"/>
      <c r="VPE72" s="97"/>
      <c r="VPF72" s="97"/>
      <c r="VPG72" s="97"/>
      <c r="VPH72" s="97"/>
      <c r="VPI72" s="97"/>
      <c r="VPJ72" s="97"/>
      <c r="VPK72" s="97"/>
      <c r="VPL72" s="97"/>
      <c r="VPM72" s="97"/>
      <c r="VPN72" s="97"/>
      <c r="VPO72" s="97"/>
      <c r="VPP72" s="97"/>
      <c r="VPQ72" s="97"/>
      <c r="VPR72" s="97"/>
      <c r="VPS72" s="97"/>
      <c r="VPT72" s="97"/>
      <c r="VPU72" s="97"/>
      <c r="VPV72" s="97"/>
      <c r="VPW72" s="97"/>
      <c r="VPX72" s="97"/>
      <c r="VPY72" s="97"/>
      <c r="VPZ72" s="97"/>
      <c r="VQA72" s="97"/>
      <c r="VQB72" s="97"/>
      <c r="VQC72" s="97"/>
      <c r="VQD72" s="97"/>
      <c r="VQE72" s="97"/>
      <c r="VQF72" s="97"/>
      <c r="VQG72" s="97"/>
      <c r="VQH72" s="97"/>
      <c r="VQI72" s="97"/>
      <c r="VQJ72" s="97"/>
      <c r="VQK72" s="97"/>
      <c r="VQL72" s="97"/>
      <c r="VQM72" s="97"/>
      <c r="VQN72" s="97"/>
      <c r="VQO72" s="97"/>
      <c r="VQP72" s="97"/>
      <c r="VQQ72" s="97"/>
      <c r="VQR72" s="97"/>
      <c r="VQS72" s="97"/>
      <c r="VQT72" s="97"/>
      <c r="VQU72" s="97"/>
      <c r="VQV72" s="97"/>
      <c r="VQW72" s="97"/>
      <c r="VQX72" s="97"/>
      <c r="VQY72" s="97"/>
      <c r="VQZ72" s="97"/>
      <c r="VRA72" s="97"/>
      <c r="VRB72" s="97"/>
      <c r="VRC72" s="97"/>
      <c r="VRD72" s="97"/>
      <c r="VRE72" s="97"/>
      <c r="VRF72" s="97"/>
      <c r="VRG72" s="97"/>
      <c r="VRH72" s="97"/>
      <c r="VRI72" s="97"/>
      <c r="VRJ72" s="97"/>
      <c r="VRK72" s="97"/>
      <c r="VRL72" s="97"/>
      <c r="VRM72" s="97"/>
      <c r="VRN72" s="97"/>
      <c r="VRO72" s="97"/>
      <c r="VRP72" s="97"/>
      <c r="VRQ72" s="97"/>
      <c r="VRR72" s="97"/>
      <c r="VRS72" s="97"/>
      <c r="VRT72" s="97"/>
      <c r="VRU72" s="97"/>
      <c r="VRV72" s="97"/>
      <c r="VRW72" s="97"/>
      <c r="VRX72" s="97"/>
      <c r="VRY72" s="97"/>
      <c r="VRZ72" s="97"/>
      <c r="VSA72" s="97"/>
      <c r="VSB72" s="97"/>
      <c r="VSC72" s="97"/>
      <c r="VSD72" s="97"/>
      <c r="VSE72" s="97"/>
      <c r="VSF72" s="97"/>
      <c r="VSG72" s="97"/>
      <c r="VSH72" s="97"/>
      <c r="VSI72" s="97"/>
      <c r="VSJ72" s="97"/>
      <c r="VSK72" s="97"/>
      <c r="VSL72" s="97"/>
      <c r="VSM72" s="97"/>
      <c r="VSN72" s="97"/>
      <c r="VSO72" s="97"/>
      <c r="VSP72" s="97"/>
      <c r="VSQ72" s="97"/>
      <c r="VSR72" s="97"/>
      <c r="VSS72" s="97"/>
      <c r="VST72" s="97"/>
      <c r="VSU72" s="97"/>
      <c r="VSV72" s="97"/>
      <c r="VSW72" s="97"/>
      <c r="VSX72" s="97"/>
      <c r="VSY72" s="97"/>
      <c r="VSZ72" s="97"/>
      <c r="VTA72" s="97"/>
      <c r="VTB72" s="97"/>
      <c r="VTC72" s="97"/>
      <c r="VTD72" s="97"/>
      <c r="VTE72" s="97"/>
      <c r="VTF72" s="97"/>
      <c r="VTG72" s="97"/>
      <c r="VTH72" s="97"/>
      <c r="VTI72" s="97"/>
      <c r="VTJ72" s="97"/>
      <c r="VTK72" s="97"/>
      <c r="VTL72" s="97"/>
      <c r="VTM72" s="97"/>
      <c r="VTN72" s="97"/>
      <c r="VTO72" s="97"/>
      <c r="VTP72" s="97"/>
      <c r="VTQ72" s="97"/>
      <c r="VTR72" s="97"/>
      <c r="VTS72" s="97"/>
      <c r="VTT72" s="97"/>
      <c r="VTU72" s="97"/>
      <c r="VTV72" s="97"/>
      <c r="VTW72" s="97"/>
      <c r="VTX72" s="97"/>
      <c r="VTY72" s="97"/>
      <c r="VTZ72" s="97"/>
      <c r="VUA72" s="97"/>
      <c r="VUB72" s="97"/>
      <c r="VUC72" s="97"/>
      <c r="VUD72" s="97"/>
      <c r="VUE72" s="97"/>
      <c r="VUF72" s="97"/>
      <c r="VUG72" s="97"/>
      <c r="VUH72" s="97"/>
      <c r="VUI72" s="97"/>
      <c r="VUJ72" s="97"/>
      <c r="VUK72" s="97"/>
      <c r="VUL72" s="97"/>
      <c r="VUM72" s="97"/>
      <c r="VUN72" s="97"/>
      <c r="VUO72" s="97"/>
      <c r="VUP72" s="97"/>
      <c r="VUQ72" s="97"/>
      <c r="VUR72" s="97"/>
      <c r="VUS72" s="97"/>
      <c r="VUT72" s="97"/>
      <c r="VUU72" s="97"/>
      <c r="VUV72" s="97"/>
      <c r="VUW72" s="97"/>
      <c r="VUX72" s="97"/>
      <c r="VUY72" s="97"/>
      <c r="VUZ72" s="97"/>
      <c r="VVA72" s="97"/>
      <c r="VVB72" s="97"/>
      <c r="VVC72" s="97"/>
      <c r="VVD72" s="97"/>
      <c r="VVE72" s="97"/>
      <c r="VVF72" s="97"/>
      <c r="VVG72" s="97"/>
      <c r="VVH72" s="97"/>
      <c r="VVI72" s="97"/>
      <c r="VVJ72" s="97"/>
      <c r="VVK72" s="97"/>
      <c r="VVL72" s="97"/>
      <c r="VVM72" s="97"/>
      <c r="VVN72" s="97"/>
      <c r="VVO72" s="97"/>
      <c r="VVP72" s="97"/>
      <c r="VVQ72" s="97"/>
      <c r="VVR72" s="97"/>
      <c r="VVS72" s="97"/>
      <c r="VVT72" s="97"/>
      <c r="VVU72" s="97"/>
      <c r="VVV72" s="97"/>
      <c r="VVW72" s="97"/>
      <c r="VVX72" s="97"/>
      <c r="VVY72" s="97"/>
      <c r="VVZ72" s="97"/>
      <c r="VWA72" s="97"/>
      <c r="VWB72" s="97"/>
      <c r="VWC72" s="97"/>
      <c r="VWD72" s="97"/>
      <c r="VWE72" s="97"/>
      <c r="VWF72" s="97"/>
      <c r="VWG72" s="97"/>
      <c r="VWH72" s="97"/>
      <c r="VWI72" s="97"/>
      <c r="VWJ72" s="97"/>
      <c r="VWK72" s="97"/>
      <c r="VWL72" s="97"/>
      <c r="VWM72" s="97"/>
      <c r="VWN72" s="97"/>
      <c r="VWO72" s="97"/>
      <c r="VWP72" s="97"/>
      <c r="VWQ72" s="97"/>
      <c r="VWR72" s="97"/>
      <c r="VWS72" s="97"/>
      <c r="VWT72" s="97"/>
      <c r="VWU72" s="97"/>
      <c r="VWV72" s="97"/>
      <c r="VWW72" s="97"/>
      <c r="VWX72" s="97"/>
      <c r="VWY72" s="97"/>
      <c r="VWZ72" s="97"/>
      <c r="VXA72" s="97"/>
      <c r="VXB72" s="97"/>
      <c r="VXC72" s="97"/>
      <c r="VXD72" s="97"/>
      <c r="VXE72" s="97"/>
      <c r="VXF72" s="97"/>
      <c r="VXG72" s="97"/>
      <c r="VXH72" s="97"/>
      <c r="VXI72" s="97"/>
      <c r="VXJ72" s="97"/>
      <c r="VXK72" s="97"/>
      <c r="VXL72" s="97"/>
      <c r="VXM72" s="97"/>
      <c r="VXN72" s="97"/>
      <c r="VXO72" s="97"/>
      <c r="VXP72" s="97"/>
      <c r="VXQ72" s="97"/>
      <c r="VXR72" s="97"/>
      <c r="VXS72" s="97"/>
      <c r="VXT72" s="97"/>
      <c r="VXU72" s="97"/>
      <c r="VXV72" s="97"/>
      <c r="VXW72" s="97"/>
      <c r="VXX72" s="97"/>
      <c r="VXY72" s="97"/>
      <c r="VXZ72" s="97"/>
      <c r="VYA72" s="97"/>
      <c r="VYB72" s="97"/>
      <c r="VYC72" s="97"/>
      <c r="VYD72" s="97"/>
      <c r="VYE72" s="97"/>
      <c r="VYF72" s="97"/>
      <c r="VYG72" s="97"/>
      <c r="VYH72" s="97"/>
      <c r="VYI72" s="97"/>
      <c r="VYJ72" s="97"/>
      <c r="VYK72" s="97"/>
      <c r="VYL72" s="97"/>
      <c r="VYM72" s="97"/>
      <c r="VYN72" s="97"/>
      <c r="VYO72" s="97"/>
      <c r="VYP72" s="97"/>
      <c r="VYQ72" s="97"/>
      <c r="VYR72" s="97"/>
      <c r="VYS72" s="97"/>
      <c r="VYT72" s="97"/>
      <c r="VYU72" s="97"/>
      <c r="VYV72" s="97"/>
      <c r="VYW72" s="97"/>
      <c r="VYX72" s="97"/>
      <c r="VYY72" s="97"/>
      <c r="VYZ72" s="97"/>
      <c r="VZA72" s="97"/>
      <c r="VZB72" s="97"/>
      <c r="VZC72" s="97"/>
      <c r="VZD72" s="97"/>
      <c r="VZE72" s="97"/>
      <c r="VZF72" s="97"/>
      <c r="VZG72" s="97"/>
      <c r="VZH72" s="97"/>
      <c r="VZI72" s="97"/>
      <c r="VZJ72" s="97"/>
      <c r="VZK72" s="97"/>
      <c r="VZL72" s="97"/>
      <c r="VZM72" s="97"/>
      <c r="VZN72" s="97"/>
      <c r="VZO72" s="97"/>
      <c r="VZP72" s="97"/>
      <c r="VZQ72" s="97"/>
      <c r="VZR72" s="97"/>
      <c r="VZS72" s="97"/>
      <c r="VZT72" s="97"/>
      <c r="VZU72" s="97"/>
      <c r="VZV72" s="97"/>
      <c r="VZW72" s="97"/>
      <c r="VZX72" s="97"/>
      <c r="VZY72" s="97"/>
      <c r="VZZ72" s="97"/>
      <c r="WAA72" s="97"/>
      <c r="WAB72" s="97"/>
      <c r="WAC72" s="97"/>
      <c r="WAD72" s="97"/>
      <c r="WAE72" s="97"/>
      <c r="WAF72" s="97"/>
      <c r="WAG72" s="97"/>
      <c r="WAH72" s="97"/>
      <c r="WAI72" s="97"/>
      <c r="WAJ72" s="97"/>
      <c r="WAK72" s="97"/>
      <c r="WAL72" s="97"/>
      <c r="WAM72" s="97"/>
      <c r="WAN72" s="97"/>
      <c r="WAO72" s="97"/>
      <c r="WAP72" s="97"/>
      <c r="WAQ72" s="97"/>
      <c r="WAR72" s="97"/>
      <c r="WAS72" s="97"/>
      <c r="WAT72" s="97"/>
      <c r="WAU72" s="97"/>
      <c r="WAV72" s="97"/>
      <c r="WAW72" s="97"/>
      <c r="WAX72" s="97"/>
      <c r="WAY72" s="97"/>
      <c r="WAZ72" s="97"/>
      <c r="WBA72" s="97"/>
      <c r="WBB72" s="97"/>
      <c r="WBC72" s="97"/>
      <c r="WBD72" s="97"/>
      <c r="WBE72" s="97"/>
      <c r="WBF72" s="97"/>
      <c r="WBG72" s="97"/>
      <c r="WBH72" s="97"/>
      <c r="WBI72" s="97"/>
      <c r="WBJ72" s="97"/>
      <c r="WBK72" s="97"/>
      <c r="WBL72" s="97"/>
      <c r="WBM72" s="97"/>
      <c r="WBN72" s="97"/>
      <c r="WBO72" s="97"/>
      <c r="WBP72" s="97"/>
      <c r="WBQ72" s="97"/>
      <c r="WBR72" s="97"/>
      <c r="WBS72" s="97"/>
      <c r="WBT72" s="97"/>
      <c r="WBU72" s="97"/>
      <c r="WBV72" s="97"/>
      <c r="WBW72" s="97"/>
      <c r="WBX72" s="97"/>
      <c r="WBY72" s="97"/>
      <c r="WBZ72" s="97"/>
      <c r="WCA72" s="97"/>
      <c r="WCB72" s="97"/>
      <c r="WCC72" s="97"/>
      <c r="WCD72" s="97"/>
      <c r="WCE72" s="97"/>
      <c r="WCF72" s="97"/>
      <c r="WCG72" s="97"/>
      <c r="WCH72" s="97"/>
      <c r="WCI72" s="97"/>
      <c r="WCJ72" s="97"/>
      <c r="WCK72" s="97"/>
      <c r="WCL72" s="97"/>
      <c r="WCM72" s="97"/>
      <c r="WCN72" s="97"/>
      <c r="WCO72" s="97"/>
      <c r="WCP72" s="97"/>
      <c r="WCQ72" s="97"/>
      <c r="WCR72" s="97"/>
      <c r="WCS72" s="97"/>
      <c r="WCT72" s="97"/>
      <c r="WCU72" s="97"/>
      <c r="WCV72" s="97"/>
      <c r="WCW72" s="97"/>
      <c r="WCX72" s="97"/>
      <c r="WCY72" s="97"/>
      <c r="WCZ72" s="97"/>
      <c r="WDA72" s="97"/>
      <c r="WDB72" s="97"/>
      <c r="WDC72" s="97"/>
      <c r="WDD72" s="97"/>
      <c r="WDE72" s="97"/>
      <c r="WDF72" s="97"/>
      <c r="WDG72" s="97"/>
      <c r="WDH72" s="97"/>
      <c r="WDI72" s="97"/>
      <c r="WDJ72" s="97"/>
      <c r="WDK72" s="97"/>
      <c r="WDL72" s="97"/>
      <c r="WDM72" s="97"/>
      <c r="WDN72" s="97"/>
      <c r="WDO72" s="97"/>
      <c r="WDP72" s="97"/>
      <c r="WDQ72" s="97"/>
      <c r="WDR72" s="97"/>
      <c r="WDS72" s="97"/>
      <c r="WDT72" s="97"/>
      <c r="WDU72" s="97"/>
      <c r="WDV72" s="97"/>
      <c r="WDW72" s="97"/>
      <c r="WDX72" s="97"/>
      <c r="WDY72" s="97"/>
      <c r="WDZ72" s="97"/>
      <c r="WEA72" s="97"/>
      <c r="WEB72" s="97"/>
      <c r="WEC72" s="97"/>
      <c r="WED72" s="97"/>
      <c r="WEE72" s="97"/>
      <c r="WEF72" s="97"/>
      <c r="WEG72" s="97"/>
      <c r="WEH72" s="97"/>
      <c r="WEI72" s="97"/>
      <c r="WEJ72" s="97"/>
      <c r="WEK72" s="97"/>
      <c r="WEL72" s="97"/>
      <c r="WEM72" s="97"/>
      <c r="WEN72" s="97"/>
      <c r="WEO72" s="97"/>
      <c r="WEP72" s="97"/>
      <c r="WEQ72" s="97"/>
      <c r="WER72" s="97"/>
      <c r="WES72" s="97"/>
      <c r="WET72" s="97"/>
      <c r="WEU72" s="97"/>
      <c r="WEV72" s="97"/>
      <c r="WEW72" s="97"/>
      <c r="WEX72" s="97"/>
      <c r="WEY72" s="97"/>
      <c r="WEZ72" s="97"/>
      <c r="WFA72" s="97"/>
      <c r="WFB72" s="97"/>
      <c r="WFC72" s="97"/>
      <c r="WFD72" s="97"/>
      <c r="WFE72" s="97"/>
      <c r="WFF72" s="97"/>
      <c r="WFG72" s="97"/>
      <c r="WFH72" s="97"/>
      <c r="WFI72" s="97"/>
      <c r="WFJ72" s="97"/>
      <c r="WFK72" s="97"/>
      <c r="WFL72" s="97"/>
      <c r="WFM72" s="97"/>
      <c r="WFN72" s="97"/>
      <c r="WFO72" s="97"/>
      <c r="WFP72" s="97"/>
      <c r="WFQ72" s="97"/>
      <c r="WFR72" s="97"/>
      <c r="WFS72" s="97"/>
      <c r="WFT72" s="97"/>
      <c r="WFU72" s="97"/>
      <c r="WFV72" s="97"/>
      <c r="WFW72" s="97"/>
      <c r="WFX72" s="97"/>
      <c r="WFY72" s="97"/>
      <c r="WFZ72" s="97"/>
      <c r="WGA72" s="97"/>
      <c r="WGB72" s="97"/>
      <c r="WGC72" s="97"/>
      <c r="WGD72" s="97"/>
      <c r="WGE72" s="97"/>
      <c r="WGF72" s="97"/>
      <c r="WGG72" s="97"/>
      <c r="WGH72" s="97"/>
      <c r="WGI72" s="97"/>
      <c r="WGJ72" s="97"/>
      <c r="WGK72" s="97"/>
      <c r="WGL72" s="97"/>
      <c r="WGM72" s="97"/>
      <c r="WGN72" s="97"/>
      <c r="WGO72" s="97"/>
      <c r="WGP72" s="97"/>
      <c r="WGQ72" s="97"/>
      <c r="WGR72" s="97"/>
      <c r="WGS72" s="97"/>
      <c r="WGT72" s="97"/>
      <c r="WGU72" s="97"/>
      <c r="WGV72" s="97"/>
      <c r="WGW72" s="97"/>
      <c r="WGX72" s="97"/>
      <c r="WGY72" s="97"/>
      <c r="WGZ72" s="97"/>
      <c r="WHA72" s="97"/>
      <c r="WHB72" s="97"/>
      <c r="WHC72" s="97"/>
      <c r="WHD72" s="97"/>
      <c r="WHE72" s="97"/>
      <c r="WHF72" s="97"/>
      <c r="WHG72" s="97"/>
      <c r="WHH72" s="97"/>
      <c r="WHI72" s="97"/>
      <c r="WHJ72" s="97"/>
      <c r="WHK72" s="97"/>
      <c r="WHL72" s="97"/>
      <c r="WHM72" s="97"/>
      <c r="WHN72" s="97"/>
      <c r="WHO72" s="97"/>
      <c r="WHP72" s="97"/>
      <c r="WHQ72" s="97"/>
      <c r="WHR72" s="97"/>
      <c r="WHS72" s="97"/>
      <c r="WHT72" s="97"/>
      <c r="WHU72" s="97"/>
      <c r="WHV72" s="97"/>
      <c r="WHW72" s="97"/>
      <c r="WHX72" s="97"/>
      <c r="WHY72" s="97"/>
      <c r="WHZ72" s="97"/>
      <c r="WIA72" s="97"/>
      <c r="WIB72" s="97"/>
      <c r="WIC72" s="97"/>
      <c r="WID72" s="97"/>
      <c r="WIE72" s="97"/>
      <c r="WIF72" s="97"/>
      <c r="WIG72" s="97"/>
      <c r="WIH72" s="97"/>
      <c r="WII72" s="97"/>
      <c r="WIJ72" s="97"/>
      <c r="WIK72" s="97"/>
      <c r="WIL72" s="97"/>
      <c r="WIM72" s="97"/>
      <c r="WIN72" s="97"/>
      <c r="WIO72" s="97"/>
      <c r="WIP72" s="97"/>
      <c r="WIQ72" s="97"/>
      <c r="WIR72" s="97"/>
      <c r="WIS72" s="97"/>
      <c r="WIT72" s="97"/>
      <c r="WIU72" s="97"/>
      <c r="WIV72" s="97"/>
      <c r="WIW72" s="97"/>
      <c r="WIX72" s="97"/>
      <c r="WIY72" s="97"/>
      <c r="WIZ72" s="97"/>
      <c r="WJA72" s="97"/>
      <c r="WJB72" s="97"/>
      <c r="WJC72" s="97"/>
      <c r="WJD72" s="97"/>
      <c r="WJE72" s="97"/>
      <c r="WJF72" s="97"/>
      <c r="WJG72" s="97"/>
      <c r="WJH72" s="97"/>
      <c r="WJI72" s="97"/>
      <c r="WJJ72" s="97"/>
      <c r="WJK72" s="97"/>
      <c r="WJL72" s="97"/>
      <c r="WJM72" s="97"/>
      <c r="WJN72" s="97"/>
      <c r="WJO72" s="97"/>
      <c r="WJP72" s="97"/>
      <c r="WJQ72" s="97"/>
      <c r="WJR72" s="97"/>
      <c r="WJS72" s="97"/>
      <c r="WJT72" s="97"/>
      <c r="WJU72" s="97"/>
      <c r="WJV72" s="97"/>
      <c r="WJW72" s="97"/>
      <c r="WJX72" s="97"/>
      <c r="WJY72" s="97"/>
      <c r="WJZ72" s="97"/>
      <c r="WKA72" s="97"/>
      <c r="WKB72" s="97"/>
      <c r="WKC72" s="97"/>
      <c r="WKD72" s="97"/>
      <c r="WKE72" s="97"/>
      <c r="WKF72" s="97"/>
      <c r="WKG72" s="97"/>
      <c r="WKH72" s="97"/>
      <c r="WKI72" s="97"/>
      <c r="WKJ72" s="97"/>
      <c r="WKK72" s="97"/>
      <c r="WKL72" s="97"/>
      <c r="WKM72" s="97"/>
      <c r="WKN72" s="97"/>
      <c r="WKO72" s="97"/>
      <c r="WKP72" s="97"/>
      <c r="WKQ72" s="97"/>
      <c r="WKR72" s="97"/>
      <c r="WKS72" s="97"/>
      <c r="WKT72" s="97"/>
      <c r="WKU72" s="97"/>
      <c r="WKV72" s="97"/>
      <c r="WKW72" s="97"/>
      <c r="WKX72" s="97"/>
      <c r="WKY72" s="97"/>
      <c r="WKZ72" s="97"/>
      <c r="WLA72" s="97"/>
      <c r="WLB72" s="97"/>
      <c r="WLC72" s="97"/>
      <c r="WLD72" s="97"/>
      <c r="WLE72" s="97"/>
      <c r="WLF72" s="97"/>
      <c r="WLG72" s="97"/>
      <c r="WLH72" s="97"/>
      <c r="WLI72" s="97"/>
      <c r="WLJ72" s="97"/>
      <c r="WLK72" s="97"/>
      <c r="WLL72" s="97"/>
      <c r="WLM72" s="97"/>
      <c r="WLN72" s="97"/>
      <c r="WLO72" s="97"/>
      <c r="WLP72" s="97"/>
      <c r="WLQ72" s="97"/>
      <c r="WLR72" s="97"/>
      <c r="WLS72" s="97"/>
      <c r="WLT72" s="97"/>
      <c r="WLU72" s="97"/>
      <c r="WLV72" s="97"/>
      <c r="WLW72" s="97"/>
      <c r="WLX72" s="97"/>
      <c r="WLY72" s="97"/>
      <c r="WLZ72" s="97"/>
      <c r="WMA72" s="97"/>
      <c r="WMB72" s="97"/>
      <c r="WMC72" s="97"/>
      <c r="WMD72" s="97"/>
      <c r="WME72" s="97"/>
      <c r="WMF72" s="97"/>
      <c r="WMG72" s="97"/>
      <c r="WMH72" s="97"/>
      <c r="WMI72" s="97"/>
      <c r="WMJ72" s="97"/>
      <c r="WMK72" s="97"/>
      <c r="WML72" s="97"/>
      <c r="WMM72" s="97"/>
      <c r="WMN72" s="97"/>
      <c r="WMO72" s="97"/>
      <c r="WMP72" s="97"/>
      <c r="WMQ72" s="97"/>
      <c r="WMR72" s="97"/>
      <c r="WMS72" s="97"/>
      <c r="WMT72" s="97"/>
      <c r="WMU72" s="97"/>
      <c r="WMV72" s="97"/>
      <c r="WMW72" s="97"/>
      <c r="WMX72" s="97"/>
      <c r="WMY72" s="97"/>
      <c r="WMZ72" s="97"/>
      <c r="WNA72" s="97"/>
      <c r="WNB72" s="97"/>
      <c r="WNC72" s="97"/>
      <c r="WND72" s="97"/>
      <c r="WNE72" s="97"/>
      <c r="WNF72" s="97"/>
      <c r="WNG72" s="97"/>
      <c r="WNH72" s="97"/>
      <c r="WNI72" s="97"/>
      <c r="WNJ72" s="97"/>
      <c r="WNK72" s="97"/>
      <c r="WNL72" s="97"/>
      <c r="WNM72" s="97"/>
      <c r="WNN72" s="97"/>
      <c r="WNO72" s="97"/>
      <c r="WNP72" s="97"/>
      <c r="WNQ72" s="97"/>
      <c r="WNR72" s="97"/>
      <c r="WNS72" s="97"/>
      <c r="WNT72" s="97"/>
      <c r="WNU72" s="97"/>
      <c r="WNV72" s="97"/>
      <c r="WNW72" s="97"/>
      <c r="WNX72" s="97"/>
      <c r="WNY72" s="97"/>
      <c r="WNZ72" s="97"/>
      <c r="WOA72" s="97"/>
      <c r="WOB72" s="97"/>
      <c r="WOC72" s="97"/>
      <c r="WOD72" s="97"/>
      <c r="WOE72" s="97"/>
      <c r="WOF72" s="97"/>
      <c r="WOG72" s="97"/>
      <c r="WOH72" s="97"/>
      <c r="WOI72" s="97"/>
      <c r="WOJ72" s="97"/>
      <c r="WOK72" s="97"/>
      <c r="WOL72" s="97"/>
      <c r="WOM72" s="97"/>
      <c r="WON72" s="97"/>
      <c r="WOO72" s="97"/>
      <c r="WOP72" s="97"/>
      <c r="WOQ72" s="97"/>
      <c r="WOR72" s="97"/>
      <c r="WOS72" s="97"/>
      <c r="WOT72" s="97"/>
      <c r="WOU72" s="97"/>
      <c r="WOV72" s="97"/>
      <c r="WOW72" s="97"/>
      <c r="WOX72" s="97"/>
      <c r="WOY72" s="97"/>
      <c r="WOZ72" s="97"/>
      <c r="WPA72" s="97"/>
      <c r="WPB72" s="97"/>
      <c r="WPC72" s="97"/>
      <c r="WPD72" s="97"/>
      <c r="WPE72" s="97"/>
      <c r="WPF72" s="97"/>
      <c r="WPG72" s="97"/>
      <c r="WPH72" s="97"/>
      <c r="WPI72" s="97"/>
      <c r="WPJ72" s="97"/>
      <c r="WPK72" s="97"/>
      <c r="WPL72" s="97"/>
      <c r="WPM72" s="97"/>
      <c r="WPN72" s="97"/>
      <c r="WPO72" s="97"/>
      <c r="WPP72" s="97"/>
      <c r="WPQ72" s="97"/>
      <c r="WPR72" s="97"/>
      <c r="WPS72" s="97"/>
      <c r="WPT72" s="97"/>
      <c r="WPU72" s="97"/>
      <c r="WPV72" s="97"/>
      <c r="WPW72" s="97"/>
      <c r="WPX72" s="97"/>
      <c r="WPY72" s="97"/>
      <c r="WPZ72" s="97"/>
      <c r="WQA72" s="97"/>
      <c r="WQB72" s="97"/>
      <c r="WQC72" s="97"/>
      <c r="WQD72" s="97"/>
      <c r="WQE72" s="97"/>
      <c r="WQF72" s="97"/>
      <c r="WQG72" s="97"/>
      <c r="WQH72" s="97"/>
      <c r="WQI72" s="97"/>
      <c r="WQJ72" s="97"/>
      <c r="WQK72" s="97"/>
      <c r="WQL72" s="97"/>
      <c r="WQM72" s="97"/>
      <c r="WQN72" s="97"/>
      <c r="WQO72" s="97"/>
      <c r="WQP72" s="97"/>
      <c r="WQQ72" s="97"/>
      <c r="WQR72" s="97"/>
      <c r="WQS72" s="97"/>
      <c r="WQT72" s="97"/>
      <c r="WQU72" s="97"/>
      <c r="WQV72" s="97"/>
      <c r="WQW72" s="97"/>
      <c r="WQX72" s="97"/>
      <c r="WQY72" s="97"/>
      <c r="WQZ72" s="97"/>
      <c r="WRA72" s="97"/>
      <c r="WRB72" s="97"/>
      <c r="WRC72" s="97"/>
      <c r="WRD72" s="97"/>
      <c r="WRE72" s="97"/>
      <c r="WRF72" s="97"/>
      <c r="WRG72" s="97"/>
      <c r="WRH72" s="97"/>
      <c r="WRI72" s="97"/>
      <c r="WRJ72" s="97"/>
      <c r="WRK72" s="97"/>
      <c r="WRL72" s="97"/>
      <c r="WRM72" s="97"/>
      <c r="WRN72" s="97"/>
      <c r="WRO72" s="97"/>
      <c r="WRP72" s="97"/>
      <c r="WRQ72" s="97"/>
      <c r="WRR72" s="97"/>
      <c r="WRS72" s="97"/>
      <c r="WRT72" s="97"/>
      <c r="WRU72" s="97"/>
      <c r="WRV72" s="97"/>
      <c r="WRW72" s="97"/>
      <c r="WRX72" s="97"/>
      <c r="WRY72" s="97"/>
      <c r="WRZ72" s="97"/>
      <c r="WSA72" s="97"/>
      <c r="WSB72" s="97"/>
      <c r="WSC72" s="97"/>
      <c r="WSD72" s="97"/>
      <c r="WSE72" s="97"/>
      <c r="WSF72" s="97"/>
      <c r="WSG72" s="97"/>
      <c r="WSH72" s="97"/>
      <c r="WSI72" s="97"/>
      <c r="WSJ72" s="97"/>
      <c r="WSK72" s="97"/>
      <c r="WSL72" s="97"/>
      <c r="WSM72" s="97"/>
      <c r="WSN72" s="97"/>
      <c r="WSO72" s="97"/>
      <c r="WSP72" s="97"/>
      <c r="WSQ72" s="97"/>
      <c r="WSR72" s="97"/>
      <c r="WSS72" s="97"/>
      <c r="WST72" s="97"/>
      <c r="WSU72" s="97"/>
      <c r="WSV72" s="97"/>
      <c r="WSW72" s="97"/>
      <c r="WSX72" s="97"/>
      <c r="WSY72" s="97"/>
      <c r="WSZ72" s="97"/>
      <c r="WTA72" s="97"/>
      <c r="WTB72" s="97"/>
      <c r="WTC72" s="97"/>
      <c r="WTD72" s="97"/>
      <c r="WTE72" s="97"/>
      <c r="WTF72" s="97"/>
      <c r="WTG72" s="97"/>
      <c r="WTH72" s="97"/>
      <c r="WTI72" s="97"/>
      <c r="WTJ72" s="97"/>
      <c r="WTK72" s="97"/>
      <c r="WTL72" s="97"/>
      <c r="WTM72" s="97"/>
      <c r="WTN72" s="97"/>
      <c r="WTO72" s="97"/>
      <c r="WTP72" s="97"/>
      <c r="WTQ72" s="97"/>
      <c r="WTR72" s="97"/>
      <c r="WTS72" s="97"/>
      <c r="WTT72" s="97"/>
      <c r="WTU72" s="97"/>
      <c r="WTV72" s="97"/>
      <c r="WTW72" s="97"/>
      <c r="WTX72" s="97"/>
      <c r="WTY72" s="97"/>
      <c r="WTZ72" s="97"/>
      <c r="WUA72" s="97"/>
      <c r="WUB72" s="97"/>
      <c r="WUC72" s="97"/>
      <c r="WUD72" s="97"/>
      <c r="WUE72" s="97"/>
      <c r="WUF72" s="97"/>
      <c r="WUG72" s="97"/>
      <c r="WUH72" s="97"/>
      <c r="WUI72" s="97"/>
      <c r="WUJ72" s="97"/>
      <c r="WUK72" s="97"/>
      <c r="WUL72" s="97"/>
      <c r="WUM72" s="97"/>
      <c r="WUN72" s="97"/>
      <c r="WUO72" s="97"/>
      <c r="WUP72" s="97"/>
      <c r="WUQ72" s="97"/>
      <c r="WUR72" s="97"/>
      <c r="WUS72" s="97"/>
      <c r="WUT72" s="97"/>
      <c r="WUU72" s="97"/>
      <c r="WUV72" s="97"/>
      <c r="WUW72" s="97"/>
      <c r="WUX72" s="97"/>
      <c r="WUY72" s="97"/>
      <c r="WUZ72" s="97"/>
      <c r="WVA72" s="97"/>
      <c r="WVB72" s="97"/>
      <c r="WVC72" s="97"/>
      <c r="WVD72" s="97"/>
      <c r="WVE72" s="97"/>
      <c r="WVF72" s="97"/>
      <c r="WVG72" s="97"/>
      <c r="WVH72" s="97"/>
      <c r="WVI72" s="97"/>
      <c r="WVJ72" s="97"/>
      <c r="WVK72" s="97"/>
      <c r="WVL72" s="97"/>
      <c r="WVM72" s="97"/>
      <c r="WVN72" s="97"/>
      <c r="WVO72" s="97"/>
      <c r="WVP72" s="97"/>
      <c r="WVQ72" s="97"/>
      <c r="WVR72" s="97"/>
      <c r="WVS72" s="97"/>
      <c r="WVT72" s="97"/>
      <c r="WVU72" s="97"/>
      <c r="WVV72" s="97"/>
      <c r="WVW72" s="97"/>
      <c r="WVX72" s="97"/>
      <c r="WVY72" s="97"/>
      <c r="WVZ72" s="97"/>
      <c r="WWA72" s="97"/>
      <c r="WWB72" s="97"/>
      <c r="WWC72" s="97"/>
      <c r="WWD72" s="97"/>
      <c r="WWE72" s="97"/>
      <c r="WWF72" s="97"/>
      <c r="WWG72" s="97"/>
      <c r="WWH72" s="97"/>
      <c r="WWI72" s="97"/>
      <c r="WWJ72" s="97"/>
      <c r="WWK72" s="97"/>
      <c r="WWL72" s="97"/>
      <c r="WWM72" s="97"/>
      <c r="WWN72" s="97"/>
      <c r="WWO72" s="97"/>
      <c r="WWP72" s="97"/>
      <c r="WWQ72" s="97"/>
      <c r="WWR72" s="97"/>
      <c r="WWS72" s="97"/>
      <c r="WWT72" s="97"/>
      <c r="WWU72" s="97"/>
      <c r="WWV72" s="97"/>
      <c r="WWW72" s="97"/>
      <c r="WWX72" s="97"/>
      <c r="WWY72" s="97"/>
      <c r="WWZ72" s="97"/>
      <c r="WXA72" s="97"/>
      <c r="WXB72" s="97"/>
      <c r="WXC72" s="97"/>
      <c r="WXD72" s="97"/>
      <c r="WXE72" s="97"/>
      <c r="WXF72" s="97"/>
      <c r="WXG72" s="97"/>
      <c r="WXH72" s="97"/>
      <c r="WXI72" s="97"/>
      <c r="WXJ72" s="97"/>
      <c r="WXK72" s="97"/>
      <c r="WXL72" s="97"/>
      <c r="WXM72" s="97"/>
      <c r="WXN72" s="97"/>
      <c r="WXO72" s="97"/>
      <c r="WXP72" s="97"/>
      <c r="WXQ72" s="97"/>
      <c r="WXR72" s="97"/>
      <c r="WXS72" s="97"/>
      <c r="WXT72" s="97"/>
      <c r="WXU72" s="97"/>
      <c r="WXV72" s="97"/>
      <c r="WXW72" s="97"/>
      <c r="WXX72" s="97"/>
      <c r="WXY72" s="97"/>
      <c r="WXZ72" s="97"/>
      <c r="WYA72" s="97"/>
      <c r="WYB72" s="97"/>
      <c r="WYC72" s="97"/>
      <c r="WYD72" s="97"/>
      <c r="WYE72" s="97"/>
      <c r="WYF72" s="97"/>
      <c r="WYG72" s="97"/>
      <c r="WYH72" s="97"/>
      <c r="WYI72" s="97"/>
      <c r="WYJ72" s="97"/>
      <c r="WYK72" s="97"/>
      <c r="WYL72" s="97"/>
      <c r="WYM72" s="97"/>
      <c r="WYN72" s="97"/>
      <c r="WYO72" s="97"/>
      <c r="WYP72" s="97"/>
      <c r="WYQ72" s="97"/>
      <c r="WYR72" s="97"/>
      <c r="WYS72" s="97"/>
      <c r="WYT72" s="97"/>
      <c r="WYU72" s="97"/>
      <c r="WYV72" s="97"/>
      <c r="WYW72" s="97"/>
      <c r="WYX72" s="97"/>
      <c r="WYY72" s="97"/>
      <c r="WYZ72" s="97"/>
      <c r="WZA72" s="97"/>
      <c r="WZB72" s="97"/>
      <c r="WZC72" s="97"/>
      <c r="WZD72" s="97"/>
      <c r="WZE72" s="97"/>
      <c r="WZF72" s="97"/>
      <c r="WZG72" s="97"/>
      <c r="WZH72" s="97"/>
      <c r="WZI72" s="97"/>
      <c r="WZJ72" s="97"/>
      <c r="WZK72" s="97"/>
      <c r="WZL72" s="97"/>
      <c r="WZM72" s="97"/>
      <c r="WZN72" s="97"/>
      <c r="WZO72" s="97"/>
      <c r="WZP72" s="97"/>
      <c r="WZQ72" s="97"/>
      <c r="WZR72" s="97"/>
      <c r="WZS72" s="97"/>
      <c r="WZT72" s="97"/>
      <c r="WZU72" s="97"/>
      <c r="WZV72" s="97"/>
      <c r="WZW72" s="97"/>
      <c r="WZX72" s="97"/>
      <c r="WZY72" s="97"/>
      <c r="WZZ72" s="97"/>
      <c r="XAA72" s="97"/>
      <c r="XAB72" s="97"/>
      <c r="XAC72" s="97"/>
      <c r="XAD72" s="97"/>
      <c r="XAE72" s="97"/>
      <c r="XAF72" s="97"/>
      <c r="XAG72" s="97"/>
      <c r="XAH72" s="97"/>
      <c r="XAI72" s="97"/>
      <c r="XAJ72" s="97"/>
      <c r="XAK72" s="97"/>
      <c r="XAL72" s="97"/>
      <c r="XAM72" s="97"/>
      <c r="XAN72" s="97"/>
      <c r="XAO72" s="97"/>
      <c r="XAP72" s="97"/>
      <c r="XAQ72" s="97"/>
      <c r="XAR72" s="97"/>
      <c r="XAS72" s="97"/>
      <c r="XAT72" s="97"/>
      <c r="XAU72" s="97"/>
      <c r="XAV72" s="97"/>
      <c r="XAW72" s="97"/>
      <c r="XAX72" s="97"/>
      <c r="XAY72" s="97"/>
      <c r="XAZ72" s="97"/>
      <c r="XBA72" s="97"/>
      <c r="XBB72" s="97"/>
      <c r="XBC72" s="97"/>
      <c r="XBD72" s="97"/>
      <c r="XBE72" s="97"/>
      <c r="XBF72" s="97"/>
      <c r="XBG72" s="97"/>
      <c r="XBH72" s="97"/>
      <c r="XBI72" s="97"/>
      <c r="XBJ72" s="97"/>
      <c r="XBK72" s="97"/>
      <c r="XBL72" s="97"/>
      <c r="XBM72" s="97"/>
      <c r="XBN72" s="97"/>
      <c r="XBO72" s="97"/>
      <c r="XBP72" s="97"/>
      <c r="XBQ72" s="97"/>
      <c r="XBR72" s="97"/>
      <c r="XBS72" s="97"/>
      <c r="XBT72" s="97"/>
      <c r="XBU72" s="97"/>
      <c r="XBV72" s="97"/>
      <c r="XBW72" s="97"/>
      <c r="XBX72" s="97"/>
      <c r="XBY72" s="97"/>
      <c r="XBZ72" s="97"/>
      <c r="XCA72" s="97"/>
      <c r="XCB72" s="97"/>
      <c r="XCC72" s="97"/>
      <c r="XCD72" s="97"/>
      <c r="XCE72" s="97"/>
      <c r="XCF72" s="97"/>
      <c r="XCG72" s="97"/>
      <c r="XCH72" s="97"/>
      <c r="XCI72" s="97"/>
      <c r="XCJ72" s="97"/>
      <c r="XCK72" s="97"/>
      <c r="XCL72" s="97"/>
      <c r="XCM72" s="97"/>
      <c r="XCN72" s="97"/>
      <c r="XCO72" s="97"/>
      <c r="XCP72" s="97"/>
      <c r="XCQ72" s="97"/>
      <c r="XCR72" s="97"/>
      <c r="XCS72" s="97"/>
      <c r="XCT72" s="97"/>
      <c r="XCU72" s="97"/>
      <c r="XCV72" s="97"/>
      <c r="XCW72" s="97"/>
      <c r="XCX72" s="97"/>
      <c r="XCY72" s="97"/>
      <c r="XCZ72" s="97"/>
      <c r="XDA72" s="97"/>
      <c r="XDB72" s="97"/>
      <c r="XDC72" s="97"/>
      <c r="XDD72" s="97"/>
      <c r="XDE72" s="97"/>
      <c r="XDF72" s="97"/>
      <c r="XDG72" s="97"/>
      <c r="XDH72" s="97"/>
      <c r="XDI72" s="97"/>
      <c r="XDJ72" s="97"/>
      <c r="XDK72" s="97"/>
      <c r="XDL72" s="97"/>
      <c r="XDM72" s="97"/>
      <c r="XDN72" s="97"/>
      <c r="XDO72" s="97"/>
      <c r="XDP72" s="97"/>
      <c r="XDQ72" s="97"/>
      <c r="XDR72" s="97"/>
      <c r="XDS72" s="97"/>
      <c r="XDT72" s="97"/>
      <c r="XDU72" s="97"/>
      <c r="XDV72" s="97"/>
      <c r="XDW72" s="97"/>
      <c r="XDX72" s="97"/>
      <c r="XDY72" s="97"/>
      <c r="XDZ72" s="97"/>
      <c r="XEA72" s="97"/>
      <c r="XEB72" s="97"/>
      <c r="XEC72" s="97"/>
      <c r="XED72" s="97"/>
      <c r="XEE72" s="97"/>
      <c r="XEF72" s="97"/>
      <c r="XEG72" s="97"/>
      <c r="XEH72" s="97"/>
      <c r="XEI72" s="97"/>
      <c r="XEJ72" s="97"/>
      <c r="XEK72" s="97"/>
      <c r="XEL72" s="97"/>
      <c r="XEM72" s="97"/>
      <c r="XEN72" s="97"/>
      <c r="XEO72" s="97"/>
      <c r="XEP72" s="97"/>
      <c r="XEQ72" s="97"/>
      <c r="XER72" s="97"/>
      <c r="XES72" s="97"/>
      <c r="XET72" s="97"/>
      <c r="XEU72" s="97"/>
      <c r="XEV72" s="97"/>
      <c r="XEW72" s="97"/>
      <c r="XEX72" s="97"/>
      <c r="XEY72" s="97"/>
      <c r="XEZ72" s="97"/>
      <c r="XFA72" s="97"/>
      <c r="XFB72" s="97"/>
      <c r="XFC72" s="97"/>
      <c r="XFD72" s="97"/>
    </row>
    <row r="73" spans="1:16384" ht="32.1" customHeight="1" x14ac:dyDescent="0.2">
      <c r="A73" s="80"/>
      <c r="B73" s="90"/>
      <c r="C73" s="15"/>
      <c r="D73" s="239"/>
      <c r="E73" s="91"/>
      <c r="F73" s="91"/>
      <c r="G73" s="91"/>
      <c r="H73" s="91"/>
      <c r="I73" s="91"/>
      <c r="J73" s="91"/>
      <c r="K73" s="91"/>
      <c r="L73" s="91"/>
      <c r="M73" s="91"/>
      <c r="N73" s="91"/>
      <c r="O73" s="91"/>
      <c r="P73" s="91"/>
      <c r="Q73" s="133"/>
      <c r="R73" s="134"/>
      <c r="S73" s="135"/>
    </row>
    <row r="74" spans="1:16384" ht="32.1" customHeight="1" x14ac:dyDescent="0.2">
      <c r="A74" s="272" t="s">
        <v>4123</v>
      </c>
      <c r="B74" s="272" t="s">
        <v>4184</v>
      </c>
      <c r="C74" s="324" t="s">
        <v>4578</v>
      </c>
      <c r="D74" s="325"/>
      <c r="E74" s="325"/>
      <c r="F74" s="325"/>
      <c r="G74" s="325"/>
      <c r="H74" s="325"/>
      <c r="I74" s="325"/>
      <c r="J74" s="325"/>
      <c r="K74" s="325"/>
      <c r="L74" s="325"/>
      <c r="M74" s="325"/>
      <c r="N74" s="325"/>
      <c r="O74" s="325"/>
      <c r="P74" s="325"/>
      <c r="Q74" s="325"/>
      <c r="R74" s="325"/>
      <c r="S74" s="325"/>
    </row>
    <row r="75" spans="1:16384" ht="32.1" customHeight="1" x14ac:dyDescent="0.2">
      <c r="A75" s="276" t="s">
        <v>4071</v>
      </c>
      <c r="B75" s="280">
        <f>COUNTIF(E11:P72,"&lt;=5")</f>
        <v>8</v>
      </c>
      <c r="C75" s="324"/>
      <c r="D75" s="325"/>
      <c r="E75" s="325"/>
      <c r="F75" s="325"/>
      <c r="G75" s="325"/>
      <c r="H75" s="325"/>
      <c r="I75" s="325"/>
      <c r="J75" s="325"/>
      <c r="K75" s="325"/>
      <c r="L75" s="325"/>
      <c r="M75" s="325"/>
      <c r="N75" s="325"/>
      <c r="O75" s="325"/>
      <c r="P75" s="325"/>
      <c r="Q75" s="325"/>
      <c r="R75" s="325"/>
      <c r="S75" s="325"/>
    </row>
    <row r="76" spans="1:16384" ht="32.1" customHeight="1" x14ac:dyDescent="0.2">
      <c r="A76" s="263" t="s">
        <v>4072</v>
      </c>
      <c r="B76" s="281">
        <f>COUNTIFS(E11:P72,"&gt;5",E11:P72,"&lt;=14")</f>
        <v>1</v>
      </c>
      <c r="C76" s="15"/>
      <c r="D76" s="239"/>
      <c r="F76" s="91"/>
      <c r="G76" s="91"/>
      <c r="H76" s="91"/>
      <c r="I76" s="91"/>
      <c r="J76" s="91"/>
      <c r="K76" s="91"/>
      <c r="L76" s="91"/>
      <c r="M76" s="91"/>
      <c r="N76" s="91"/>
      <c r="O76" s="91"/>
      <c r="P76" s="91"/>
      <c r="Q76" s="133"/>
      <c r="R76" s="134"/>
      <c r="S76" s="135"/>
    </row>
    <row r="77" spans="1:16384" ht="32.1" customHeight="1" x14ac:dyDescent="0.2">
      <c r="A77" s="264" t="s">
        <v>4073</v>
      </c>
      <c r="B77" s="282">
        <f>COUNTIFS(E11:P72,"&gt;14",E11:P72,"&lt;=35")</f>
        <v>3</v>
      </c>
      <c r="C77" s="15"/>
      <c r="D77" s="239"/>
      <c r="E77" s="91"/>
      <c r="F77" s="91"/>
      <c r="G77" s="91"/>
      <c r="H77" s="91"/>
      <c r="I77" s="91"/>
      <c r="J77" s="91"/>
      <c r="K77" s="91"/>
      <c r="L77" s="91"/>
      <c r="M77" s="91"/>
      <c r="N77" s="91"/>
      <c r="O77" s="91"/>
      <c r="P77" s="91"/>
      <c r="Q77" s="133"/>
      <c r="R77" s="134"/>
      <c r="S77" s="135"/>
    </row>
    <row r="78" spans="1:16384" ht="32.1" customHeight="1" x14ac:dyDescent="0.2">
      <c r="A78" s="265" t="s">
        <v>4074</v>
      </c>
      <c r="B78" s="282">
        <f>COUNTIFS(E11:P72,"&gt;35",E11:P72,"&lt;=80")</f>
        <v>3</v>
      </c>
      <c r="C78" s="15"/>
      <c r="D78" s="239"/>
      <c r="E78" s="91"/>
      <c r="F78" s="91"/>
      <c r="G78" s="91"/>
      <c r="H78" s="91"/>
      <c r="I78" s="91"/>
      <c r="J78" s="91"/>
      <c r="K78" s="91"/>
      <c r="L78" s="91"/>
      <c r="M78" s="91"/>
      <c r="N78" s="91"/>
      <c r="O78" s="91"/>
      <c r="P78" s="91"/>
      <c r="Q78" s="133"/>
      <c r="R78" s="134"/>
      <c r="S78" s="135"/>
    </row>
    <row r="79" spans="1:16384" ht="32.1" customHeight="1" x14ac:dyDescent="0.2">
      <c r="A79" s="266" t="s">
        <v>4075</v>
      </c>
      <c r="B79" s="282">
        <f>COUNTIFS(E11:P72,"&gt;80",E11:P72,"&lt;=100")</f>
        <v>54</v>
      </c>
      <c r="C79" s="15"/>
      <c r="D79" s="239"/>
      <c r="E79" s="91"/>
      <c r="F79" s="91"/>
      <c r="G79" s="91"/>
      <c r="H79" s="91"/>
      <c r="I79" s="91"/>
      <c r="J79" s="91"/>
      <c r="K79" s="91"/>
      <c r="L79" s="91"/>
      <c r="M79" s="91"/>
      <c r="N79" s="91"/>
      <c r="O79" s="91"/>
      <c r="P79" s="91"/>
      <c r="Q79" s="133"/>
      <c r="R79" s="134"/>
      <c r="S79" s="135"/>
    </row>
    <row r="80" spans="1:16384" ht="32.1" customHeight="1" x14ac:dyDescent="0.2">
      <c r="A80" s="285" t="s">
        <v>4076</v>
      </c>
      <c r="B80" s="287">
        <f>COUNT(E11:P71)</f>
        <v>69</v>
      </c>
      <c r="C80" s="15"/>
      <c r="D80" s="239"/>
      <c r="E80" s="91"/>
      <c r="F80" s="91"/>
      <c r="G80" s="91"/>
      <c r="H80" s="91"/>
      <c r="I80" s="91"/>
      <c r="J80" s="91"/>
      <c r="K80" s="91"/>
      <c r="L80" s="91"/>
      <c r="M80" s="91"/>
      <c r="N80" s="91"/>
      <c r="O80" s="91"/>
      <c r="P80" s="91"/>
      <c r="Q80" s="133"/>
      <c r="R80" s="134"/>
      <c r="S80" s="135"/>
    </row>
    <row r="81" spans="1:19" ht="33.75" customHeight="1" x14ac:dyDescent="0.2">
      <c r="A81" s="269" t="s">
        <v>4078</v>
      </c>
      <c r="B81" s="279">
        <f>B80-B75</f>
        <v>61</v>
      </c>
      <c r="C81" s="15"/>
      <c r="D81" s="239"/>
      <c r="E81" s="91"/>
      <c r="F81" s="91"/>
      <c r="G81" s="91"/>
      <c r="H81" s="91"/>
      <c r="I81" s="91"/>
      <c r="J81" s="91"/>
      <c r="K81" s="91"/>
      <c r="L81" s="91"/>
      <c r="M81" s="91"/>
      <c r="N81" s="91"/>
      <c r="O81" s="91"/>
      <c r="P81" s="91"/>
      <c r="Q81" s="133"/>
      <c r="R81" s="134"/>
      <c r="S81" s="135"/>
    </row>
    <row r="82" spans="1:19" ht="32.1" customHeight="1" x14ac:dyDescent="0.2">
      <c r="A82" s="80"/>
      <c r="B82" s="90"/>
      <c r="C82" s="15"/>
      <c r="D82" s="239"/>
      <c r="E82" s="91"/>
      <c r="F82" s="91"/>
      <c r="G82" s="91"/>
      <c r="H82" s="91"/>
      <c r="I82" s="91"/>
      <c r="J82" s="91"/>
      <c r="K82" s="91"/>
      <c r="L82" s="91"/>
      <c r="M82" s="91"/>
      <c r="N82" s="91"/>
      <c r="O82" s="91"/>
      <c r="P82" s="91"/>
      <c r="Q82" s="133"/>
      <c r="R82" s="134"/>
      <c r="S82" s="135"/>
    </row>
    <row r="83" spans="1:19" ht="32.1" customHeight="1" x14ac:dyDescent="0.2">
      <c r="A83" s="80"/>
      <c r="B83" s="90"/>
      <c r="C83" s="15"/>
      <c r="D83" s="239"/>
      <c r="E83" s="91"/>
      <c r="F83" s="91"/>
      <c r="G83" s="91"/>
      <c r="H83" s="91"/>
      <c r="I83" s="91"/>
      <c r="J83" s="91"/>
      <c r="K83" s="91"/>
      <c r="L83" s="91"/>
      <c r="M83" s="91"/>
      <c r="N83" s="91"/>
      <c r="O83" s="91"/>
      <c r="P83" s="91"/>
      <c r="Q83" s="133"/>
      <c r="R83" s="134"/>
      <c r="S83" s="135"/>
    </row>
    <row r="84" spans="1:19" ht="32.1" customHeight="1" x14ac:dyDescent="0.2">
      <c r="A84" s="80"/>
      <c r="B84" s="90"/>
      <c r="C84" s="15"/>
      <c r="D84" s="239"/>
      <c r="E84" s="91"/>
      <c r="F84" s="91"/>
      <c r="G84" s="91"/>
      <c r="H84" s="91"/>
      <c r="I84" s="91"/>
      <c r="J84" s="91"/>
      <c r="K84" s="91"/>
      <c r="L84" s="91"/>
      <c r="M84" s="91"/>
      <c r="N84" s="91"/>
      <c r="O84" s="91"/>
      <c r="P84" s="91"/>
      <c r="Q84" s="133"/>
      <c r="R84" s="134"/>
      <c r="S84" s="135"/>
    </row>
    <row r="85" spans="1:19" ht="32.1" customHeight="1" x14ac:dyDescent="0.2">
      <c r="A85" s="80"/>
      <c r="B85" s="90"/>
      <c r="C85" s="15"/>
      <c r="D85" s="239"/>
      <c r="E85" s="91"/>
      <c r="F85" s="91"/>
      <c r="G85" s="91"/>
      <c r="H85" s="91"/>
      <c r="I85" s="91"/>
      <c r="J85" s="91"/>
      <c r="K85" s="91"/>
      <c r="L85" s="91"/>
      <c r="M85" s="91"/>
      <c r="N85" s="91"/>
      <c r="O85" s="91"/>
      <c r="P85" s="91"/>
      <c r="Q85" s="133"/>
      <c r="R85" s="134"/>
      <c r="S85" s="135"/>
    </row>
    <row r="86" spans="1:19" ht="32.1" customHeight="1" x14ac:dyDescent="0.2">
      <c r="A86" s="80"/>
      <c r="B86" s="90"/>
      <c r="C86" s="15"/>
      <c r="D86" s="239"/>
      <c r="E86" s="91"/>
      <c r="F86" s="91"/>
      <c r="G86" s="91"/>
      <c r="H86" s="91"/>
      <c r="I86" s="91"/>
      <c r="J86" s="91"/>
      <c r="K86" s="91"/>
      <c r="L86" s="91"/>
      <c r="M86" s="91"/>
      <c r="N86" s="91"/>
      <c r="O86" s="91"/>
      <c r="P86" s="91"/>
      <c r="Q86" s="133"/>
      <c r="R86" s="134"/>
      <c r="S86" s="135"/>
    </row>
    <row r="87" spans="1:19" ht="32.1" customHeight="1" x14ac:dyDescent="0.2">
      <c r="A87" s="80"/>
      <c r="B87" s="90"/>
      <c r="C87" s="15"/>
      <c r="D87" s="239"/>
      <c r="E87" s="91"/>
      <c r="F87" s="91"/>
      <c r="G87" s="91"/>
      <c r="H87" s="91"/>
      <c r="I87" s="91"/>
      <c r="J87" s="91"/>
      <c r="K87" s="91"/>
      <c r="L87" s="91"/>
      <c r="M87" s="91"/>
      <c r="N87" s="91"/>
      <c r="O87" s="91"/>
      <c r="P87" s="91"/>
      <c r="Q87" s="133"/>
      <c r="R87" s="134"/>
      <c r="S87" s="135"/>
    </row>
    <row r="88" spans="1:19" ht="32.1" customHeight="1" x14ac:dyDescent="0.2">
      <c r="A88" s="80"/>
      <c r="B88" s="90"/>
      <c r="C88" s="15"/>
      <c r="D88" s="239"/>
      <c r="E88" s="91"/>
      <c r="F88" s="91"/>
      <c r="G88" s="91"/>
      <c r="H88" s="91"/>
      <c r="I88" s="91"/>
      <c r="J88" s="91"/>
      <c r="K88" s="91"/>
      <c r="L88" s="91"/>
      <c r="M88" s="91"/>
      <c r="N88" s="91"/>
      <c r="O88" s="91"/>
      <c r="P88" s="91"/>
      <c r="Q88" s="133"/>
      <c r="R88" s="134"/>
      <c r="S88" s="135"/>
    </row>
    <row r="89" spans="1:19" ht="32.1" customHeight="1" x14ac:dyDescent="0.2">
      <c r="A89" s="80"/>
      <c r="B89" s="90"/>
      <c r="C89" s="15"/>
      <c r="D89" s="239"/>
      <c r="E89" s="91"/>
      <c r="F89" s="91"/>
      <c r="G89" s="91"/>
      <c r="H89" s="91"/>
      <c r="I89" s="91"/>
      <c r="J89" s="91"/>
      <c r="K89" s="91"/>
      <c r="L89" s="91"/>
      <c r="M89" s="91"/>
      <c r="N89" s="91"/>
      <c r="O89" s="91"/>
      <c r="P89" s="91"/>
      <c r="Q89" s="133"/>
      <c r="R89" s="134"/>
      <c r="S89" s="135"/>
    </row>
    <row r="90" spans="1:19" ht="32.1" customHeight="1" x14ac:dyDescent="0.2">
      <c r="A90" s="80"/>
      <c r="B90" s="90"/>
      <c r="C90" s="15"/>
      <c r="D90" s="239"/>
      <c r="E90" s="91"/>
      <c r="F90" s="91"/>
      <c r="G90" s="91"/>
      <c r="H90" s="91"/>
      <c r="I90" s="91"/>
      <c r="J90" s="91"/>
      <c r="K90" s="91"/>
      <c r="L90" s="91"/>
      <c r="M90" s="91"/>
      <c r="N90" s="91"/>
      <c r="O90" s="91"/>
      <c r="P90" s="91"/>
      <c r="Q90" s="133"/>
      <c r="R90" s="134"/>
      <c r="S90" s="135"/>
    </row>
    <row r="91" spans="1:19" ht="32.1" customHeight="1" x14ac:dyDescent="0.2">
      <c r="A91" s="80"/>
      <c r="B91" s="90"/>
      <c r="C91" s="15"/>
      <c r="D91" s="239"/>
      <c r="E91" s="91"/>
      <c r="F91" s="91"/>
      <c r="G91" s="91"/>
      <c r="H91" s="91"/>
      <c r="I91" s="91"/>
      <c r="J91" s="91"/>
      <c r="K91" s="91"/>
      <c r="L91" s="91"/>
      <c r="M91" s="91"/>
      <c r="N91" s="91"/>
      <c r="O91" s="91"/>
      <c r="P91" s="91"/>
      <c r="Q91" s="133"/>
      <c r="R91" s="134"/>
      <c r="S91" s="135"/>
    </row>
    <row r="92" spans="1:19" ht="32.1" customHeight="1" x14ac:dyDescent="0.2">
      <c r="A92" s="80"/>
      <c r="B92" s="90"/>
      <c r="C92" s="15"/>
      <c r="D92" s="239"/>
      <c r="E92" s="91"/>
      <c r="F92" s="91"/>
      <c r="G92" s="91"/>
      <c r="H92" s="91"/>
      <c r="I92" s="91"/>
      <c r="J92" s="91"/>
      <c r="K92" s="91"/>
      <c r="L92" s="91"/>
      <c r="M92" s="91"/>
      <c r="N92" s="91"/>
      <c r="O92" s="91"/>
      <c r="P92" s="91"/>
      <c r="Q92" s="133"/>
      <c r="R92" s="134"/>
      <c r="S92" s="135"/>
    </row>
    <row r="93" spans="1:19" ht="32.1" customHeight="1" x14ac:dyDescent="0.2">
      <c r="A93" s="80"/>
      <c r="B93" s="90"/>
      <c r="C93" s="15"/>
      <c r="D93" s="239"/>
      <c r="E93" s="91"/>
      <c r="F93" s="91"/>
      <c r="G93" s="91"/>
      <c r="H93" s="91"/>
      <c r="I93" s="91"/>
      <c r="J93" s="91"/>
      <c r="K93" s="91"/>
      <c r="L93" s="91"/>
      <c r="M93" s="91"/>
      <c r="N93" s="91"/>
      <c r="O93" s="91"/>
      <c r="P93" s="91"/>
      <c r="Q93" s="133"/>
      <c r="R93" s="134"/>
      <c r="S93" s="135"/>
    </row>
    <row r="94" spans="1:19" ht="32.1" customHeight="1" x14ac:dyDescent="0.2">
      <c r="A94" s="80"/>
      <c r="B94" s="90"/>
      <c r="C94" s="15"/>
      <c r="D94" s="239"/>
      <c r="E94" s="91"/>
      <c r="F94" s="91"/>
      <c r="G94" s="91"/>
      <c r="H94" s="91"/>
      <c r="I94" s="91"/>
      <c r="J94" s="91"/>
      <c r="K94" s="91"/>
      <c r="L94" s="91"/>
      <c r="M94" s="91"/>
      <c r="N94" s="91"/>
      <c r="O94" s="91"/>
      <c r="P94" s="91"/>
      <c r="Q94" s="133"/>
      <c r="R94" s="134"/>
      <c r="S94" s="135"/>
    </row>
    <row r="95" spans="1:19" ht="32.1" customHeight="1" x14ac:dyDescent="0.2">
      <c r="A95" s="80"/>
      <c r="B95" s="90"/>
      <c r="C95" s="15"/>
      <c r="D95" s="239"/>
      <c r="E95" s="91"/>
      <c r="F95" s="91"/>
      <c r="G95" s="91"/>
      <c r="H95" s="91"/>
      <c r="I95" s="91"/>
      <c r="J95" s="91"/>
      <c r="K95" s="91"/>
      <c r="L95" s="91"/>
      <c r="M95" s="91"/>
      <c r="N95" s="91"/>
      <c r="O95" s="91"/>
      <c r="P95" s="91"/>
      <c r="Q95" s="133"/>
      <c r="R95" s="134"/>
      <c r="S95" s="135"/>
    </row>
    <row r="96" spans="1:19" ht="32.1" customHeight="1" x14ac:dyDescent="0.2">
      <c r="A96" s="80"/>
      <c r="B96" s="90"/>
      <c r="C96" s="15"/>
      <c r="D96" s="239"/>
      <c r="E96" s="91"/>
      <c r="F96" s="91"/>
      <c r="G96" s="91"/>
      <c r="H96" s="91"/>
      <c r="I96" s="91"/>
      <c r="J96" s="91"/>
      <c r="K96" s="91"/>
      <c r="L96" s="91"/>
      <c r="M96" s="91"/>
      <c r="N96" s="91"/>
      <c r="O96" s="91"/>
      <c r="P96" s="91"/>
      <c r="Q96" s="133"/>
      <c r="R96" s="134"/>
      <c r="S96" s="135"/>
    </row>
    <row r="97" spans="1:19" ht="32.1" customHeight="1" x14ac:dyDescent="0.2">
      <c r="A97" s="80"/>
      <c r="B97" s="90"/>
      <c r="C97" s="15"/>
      <c r="D97" s="239"/>
      <c r="E97" s="91"/>
      <c r="F97" s="91"/>
      <c r="G97" s="91"/>
      <c r="H97" s="91"/>
      <c r="I97" s="91"/>
      <c r="J97" s="91"/>
      <c r="K97" s="91"/>
      <c r="L97" s="91"/>
      <c r="M97" s="91"/>
      <c r="N97" s="91"/>
      <c r="O97" s="91"/>
      <c r="P97" s="91"/>
      <c r="Q97" s="133"/>
      <c r="R97" s="134"/>
      <c r="S97" s="135"/>
    </row>
    <row r="98" spans="1:19" ht="32.1" customHeight="1" x14ac:dyDescent="0.2">
      <c r="A98" s="80"/>
      <c r="B98" s="90"/>
      <c r="C98" s="15"/>
      <c r="D98" s="239"/>
      <c r="E98" s="91"/>
      <c r="F98" s="91"/>
      <c r="G98" s="91"/>
      <c r="H98" s="91"/>
      <c r="I98" s="91"/>
      <c r="J98" s="91"/>
      <c r="K98" s="91"/>
      <c r="L98" s="91"/>
      <c r="M98" s="91"/>
      <c r="N98" s="91"/>
      <c r="O98" s="91"/>
      <c r="P98" s="91"/>
      <c r="Q98" s="133"/>
      <c r="R98" s="134"/>
      <c r="S98" s="135"/>
    </row>
    <row r="99" spans="1:19" ht="32.1" customHeight="1" x14ac:dyDescent="0.2">
      <c r="A99" s="80"/>
      <c r="B99" s="90"/>
      <c r="C99" s="15"/>
      <c r="D99" s="239"/>
      <c r="E99" s="91"/>
      <c r="F99" s="91"/>
      <c r="G99" s="91"/>
      <c r="H99" s="91"/>
      <c r="I99" s="91"/>
      <c r="J99" s="91"/>
      <c r="K99" s="91"/>
      <c r="L99" s="91"/>
      <c r="M99" s="91"/>
      <c r="N99" s="91"/>
      <c r="O99" s="91"/>
      <c r="P99" s="91"/>
      <c r="Q99" s="133"/>
      <c r="R99" s="134"/>
      <c r="S99" s="135"/>
    </row>
    <row r="100" spans="1:19" ht="32.1" customHeight="1" x14ac:dyDescent="0.2">
      <c r="A100" s="80"/>
      <c r="B100" s="90"/>
      <c r="C100" s="15"/>
      <c r="D100" s="239"/>
      <c r="E100" s="91"/>
      <c r="F100" s="91"/>
      <c r="G100" s="91"/>
      <c r="H100" s="91"/>
      <c r="I100" s="91"/>
      <c r="J100" s="91"/>
      <c r="K100" s="91"/>
      <c r="L100" s="91"/>
      <c r="M100" s="91"/>
      <c r="N100" s="91"/>
      <c r="O100" s="91"/>
      <c r="P100" s="91"/>
      <c r="Q100" s="133"/>
      <c r="R100" s="134"/>
      <c r="S100" s="135"/>
    </row>
    <row r="101" spans="1:19" ht="32.1" customHeight="1" x14ac:dyDescent="0.2">
      <c r="A101" s="80"/>
      <c r="B101" s="90"/>
      <c r="C101" s="15"/>
      <c r="D101" s="239"/>
      <c r="E101" s="91"/>
      <c r="F101" s="91"/>
      <c r="G101" s="91"/>
      <c r="H101" s="91"/>
      <c r="I101" s="91"/>
      <c r="J101" s="91"/>
      <c r="K101" s="91"/>
      <c r="L101" s="91"/>
      <c r="M101" s="91"/>
      <c r="N101" s="91"/>
      <c r="O101" s="91"/>
      <c r="P101" s="91"/>
      <c r="Q101" s="133"/>
      <c r="R101" s="134"/>
      <c r="S101" s="135"/>
    </row>
    <row r="102" spans="1:19" ht="32.1" customHeight="1" x14ac:dyDescent="0.2">
      <c r="A102" s="80"/>
      <c r="B102" s="90"/>
      <c r="C102" s="15"/>
      <c r="D102" s="239"/>
      <c r="E102" s="91"/>
      <c r="F102" s="91"/>
      <c r="G102" s="91"/>
      <c r="H102" s="91"/>
      <c r="I102" s="91"/>
      <c r="J102" s="91"/>
      <c r="K102" s="91"/>
      <c r="L102" s="91"/>
      <c r="M102" s="91"/>
      <c r="N102" s="91"/>
      <c r="O102" s="91"/>
      <c r="P102" s="91"/>
      <c r="Q102" s="133"/>
      <c r="R102" s="134"/>
      <c r="S102" s="135"/>
    </row>
    <row r="103" spans="1:19" ht="32.1" customHeight="1" x14ac:dyDescent="0.2">
      <c r="A103" s="80"/>
      <c r="B103" s="90"/>
      <c r="C103" s="15"/>
      <c r="D103" s="239"/>
      <c r="E103" s="91"/>
      <c r="F103" s="91"/>
      <c r="G103" s="91"/>
      <c r="H103" s="91"/>
      <c r="I103" s="91"/>
      <c r="J103" s="91"/>
      <c r="K103" s="91"/>
      <c r="L103" s="91"/>
      <c r="M103" s="91"/>
      <c r="N103" s="91"/>
      <c r="O103" s="91"/>
      <c r="P103" s="91"/>
      <c r="Q103" s="133"/>
      <c r="R103" s="134"/>
      <c r="S103" s="135"/>
    </row>
    <row r="104" spans="1:19" ht="32.1" customHeight="1" x14ac:dyDescent="0.2">
      <c r="A104" s="80"/>
      <c r="B104" s="90"/>
      <c r="C104" s="15"/>
      <c r="D104" s="239"/>
      <c r="E104" s="91"/>
      <c r="F104" s="91"/>
      <c r="G104" s="91"/>
      <c r="H104" s="91"/>
      <c r="I104" s="91"/>
      <c r="J104" s="91"/>
      <c r="K104" s="91"/>
      <c r="L104" s="91"/>
      <c r="M104" s="91"/>
      <c r="N104" s="91"/>
      <c r="O104" s="91"/>
      <c r="P104" s="91"/>
      <c r="Q104" s="133"/>
      <c r="R104" s="134"/>
      <c r="S104" s="135"/>
    </row>
    <row r="105" spans="1:19" ht="32.1" customHeight="1" x14ac:dyDescent="0.2">
      <c r="A105" s="80"/>
      <c r="B105" s="90"/>
      <c r="C105" s="15"/>
      <c r="D105" s="239"/>
      <c r="E105" s="91"/>
      <c r="F105" s="91"/>
      <c r="G105" s="91"/>
      <c r="H105" s="91"/>
      <c r="I105" s="91"/>
      <c r="J105" s="91"/>
      <c r="K105" s="91"/>
      <c r="L105" s="91"/>
      <c r="M105" s="91"/>
      <c r="N105" s="91"/>
      <c r="O105" s="91"/>
      <c r="P105" s="91"/>
      <c r="Q105" s="133"/>
      <c r="R105" s="134"/>
      <c r="S105" s="135"/>
    </row>
    <row r="106" spans="1:19" ht="32.1" customHeight="1" x14ac:dyDescent="0.2">
      <c r="A106" s="80"/>
      <c r="B106" s="90"/>
      <c r="C106" s="15"/>
      <c r="D106" s="239"/>
      <c r="E106" s="91"/>
      <c r="F106" s="91"/>
      <c r="G106" s="91"/>
      <c r="H106" s="91"/>
      <c r="I106" s="91"/>
      <c r="J106" s="91"/>
      <c r="K106" s="91"/>
      <c r="L106" s="91"/>
      <c r="M106" s="91"/>
      <c r="N106" s="91"/>
      <c r="O106" s="91"/>
      <c r="P106" s="91"/>
      <c r="Q106" s="133"/>
      <c r="R106" s="134"/>
      <c r="S106" s="135"/>
    </row>
    <row r="107" spans="1:19" ht="32.1" customHeight="1" x14ac:dyDescent="0.2">
      <c r="A107" s="80"/>
      <c r="B107" s="90"/>
      <c r="C107" s="15"/>
      <c r="D107" s="239"/>
      <c r="E107" s="91"/>
      <c r="F107" s="91"/>
      <c r="G107" s="91"/>
      <c r="H107" s="91"/>
      <c r="I107" s="91"/>
      <c r="J107" s="91"/>
      <c r="K107" s="91"/>
      <c r="L107" s="91"/>
      <c r="M107" s="91"/>
      <c r="N107" s="91"/>
      <c r="O107" s="91"/>
      <c r="P107" s="91"/>
      <c r="Q107" s="133"/>
      <c r="R107" s="134"/>
      <c r="S107" s="135"/>
    </row>
    <row r="108" spans="1:19" ht="32.1" customHeight="1" x14ac:dyDescent="0.2">
      <c r="A108" s="80"/>
      <c r="B108" s="90"/>
      <c r="C108" s="15"/>
      <c r="D108" s="239"/>
      <c r="E108" s="91"/>
      <c r="F108" s="91"/>
      <c r="G108" s="91"/>
      <c r="H108" s="91"/>
      <c r="I108" s="91"/>
      <c r="J108" s="91"/>
      <c r="K108" s="91"/>
      <c r="L108" s="91"/>
      <c r="M108" s="91"/>
      <c r="N108" s="91"/>
      <c r="O108" s="91"/>
      <c r="P108" s="91"/>
      <c r="Q108" s="133"/>
      <c r="R108" s="134"/>
      <c r="S108" s="135"/>
    </row>
    <row r="109" spans="1:19" ht="32.1" customHeight="1" x14ac:dyDescent="0.2">
      <c r="A109" s="80"/>
      <c r="B109" s="90"/>
      <c r="C109" s="15"/>
      <c r="D109" s="239"/>
      <c r="E109" s="91"/>
      <c r="F109" s="91"/>
      <c r="G109" s="91"/>
      <c r="H109" s="91"/>
      <c r="I109" s="91"/>
      <c r="J109" s="91"/>
      <c r="K109" s="91"/>
      <c r="L109" s="91"/>
      <c r="M109" s="91"/>
      <c r="N109" s="91"/>
      <c r="O109" s="91"/>
      <c r="P109" s="91"/>
      <c r="Q109" s="133"/>
      <c r="R109" s="134"/>
      <c r="S109" s="135"/>
    </row>
    <row r="110" spans="1:19" ht="32.1" customHeight="1" x14ac:dyDescent="0.2">
      <c r="A110" s="80"/>
      <c r="B110" s="90"/>
      <c r="C110" s="15"/>
      <c r="D110" s="239"/>
      <c r="E110" s="91"/>
      <c r="F110" s="91"/>
      <c r="G110" s="91"/>
      <c r="H110" s="91"/>
      <c r="I110" s="91"/>
      <c r="J110" s="91"/>
      <c r="K110" s="91"/>
      <c r="L110" s="91"/>
      <c r="M110" s="91"/>
      <c r="N110" s="91"/>
      <c r="O110" s="91"/>
      <c r="P110" s="91"/>
      <c r="Q110" s="133"/>
      <c r="R110" s="134"/>
      <c r="S110" s="135"/>
    </row>
    <row r="111" spans="1:19" ht="32.1" customHeight="1" x14ac:dyDescent="0.2">
      <c r="A111" s="80"/>
      <c r="B111" s="90"/>
      <c r="C111" s="15"/>
      <c r="D111" s="239"/>
      <c r="E111" s="91"/>
      <c r="F111" s="91"/>
      <c r="G111" s="91"/>
      <c r="H111" s="91"/>
      <c r="I111" s="91"/>
      <c r="J111" s="91"/>
      <c r="K111" s="91"/>
      <c r="L111" s="91"/>
      <c r="M111" s="91"/>
      <c r="N111" s="91"/>
      <c r="O111" s="91"/>
      <c r="P111" s="91"/>
      <c r="Q111" s="133"/>
      <c r="R111" s="134"/>
      <c r="S111" s="135"/>
    </row>
    <row r="112" spans="1:19" ht="32.1" customHeight="1" x14ac:dyDescent="0.2">
      <c r="A112" s="80"/>
      <c r="B112" s="90"/>
      <c r="C112" s="15"/>
      <c r="D112" s="239"/>
      <c r="E112" s="91"/>
      <c r="F112" s="91"/>
      <c r="G112" s="91"/>
      <c r="H112" s="91"/>
      <c r="I112" s="91"/>
      <c r="J112" s="91"/>
      <c r="K112" s="91"/>
      <c r="L112" s="91"/>
      <c r="M112" s="91"/>
      <c r="N112" s="91"/>
      <c r="O112" s="91"/>
      <c r="P112" s="91"/>
      <c r="Q112" s="133"/>
      <c r="R112" s="134"/>
      <c r="S112" s="135"/>
    </row>
    <row r="113" spans="1:19" ht="32.1" customHeight="1" x14ac:dyDescent="0.2">
      <c r="A113" s="80"/>
      <c r="B113" s="90"/>
      <c r="C113" s="15"/>
      <c r="D113" s="239"/>
      <c r="E113" s="91"/>
      <c r="F113" s="91"/>
      <c r="G113" s="91"/>
      <c r="H113" s="91"/>
      <c r="I113" s="91"/>
      <c r="J113" s="91"/>
      <c r="K113" s="91"/>
      <c r="L113" s="91"/>
      <c r="M113" s="91"/>
      <c r="N113" s="91"/>
      <c r="O113" s="91"/>
      <c r="P113" s="91"/>
      <c r="Q113" s="133"/>
      <c r="R113" s="134"/>
      <c r="S113" s="135"/>
    </row>
    <row r="114" spans="1:19" ht="32.1" customHeight="1" x14ac:dyDescent="0.2">
      <c r="A114" s="80"/>
      <c r="B114" s="90"/>
      <c r="C114" s="15"/>
      <c r="D114" s="239"/>
      <c r="E114" s="91"/>
      <c r="F114" s="91"/>
      <c r="G114" s="91"/>
      <c r="H114" s="91"/>
      <c r="I114" s="91"/>
      <c r="J114" s="91"/>
      <c r="K114" s="91"/>
      <c r="L114" s="91"/>
      <c r="M114" s="91"/>
      <c r="N114" s="91"/>
      <c r="O114" s="91"/>
      <c r="P114" s="91"/>
      <c r="Q114" s="133"/>
      <c r="R114" s="134"/>
      <c r="S114" s="135"/>
    </row>
    <row r="115" spans="1:19" ht="32.1" customHeight="1" x14ac:dyDescent="0.2">
      <c r="A115" s="80"/>
      <c r="B115" s="90"/>
      <c r="C115" s="15"/>
      <c r="D115" s="239"/>
      <c r="E115" s="91"/>
      <c r="F115" s="91"/>
      <c r="G115" s="91"/>
      <c r="H115" s="91"/>
      <c r="I115" s="91"/>
      <c r="J115" s="91"/>
      <c r="K115" s="91"/>
      <c r="L115" s="91"/>
      <c r="M115" s="91"/>
      <c r="N115" s="91"/>
      <c r="O115" s="91"/>
      <c r="P115" s="91"/>
      <c r="Q115" s="133"/>
      <c r="R115" s="134"/>
      <c r="S115" s="135"/>
    </row>
    <row r="116" spans="1:19" ht="32.1" customHeight="1" x14ac:dyDescent="0.2">
      <c r="A116" s="80"/>
      <c r="B116" s="90"/>
      <c r="C116" s="15"/>
      <c r="D116" s="239"/>
      <c r="E116" s="91"/>
      <c r="F116" s="91"/>
      <c r="G116" s="91"/>
      <c r="H116" s="91"/>
      <c r="I116" s="91"/>
      <c r="J116" s="91"/>
      <c r="K116" s="91"/>
      <c r="L116" s="91"/>
      <c r="M116" s="91"/>
      <c r="N116" s="91"/>
      <c r="O116" s="91"/>
      <c r="P116" s="91"/>
      <c r="Q116" s="133"/>
      <c r="R116" s="134"/>
      <c r="S116" s="135"/>
    </row>
    <row r="117" spans="1:19" ht="32.1" customHeight="1" x14ac:dyDescent="0.2">
      <c r="A117" s="80"/>
      <c r="B117" s="90"/>
      <c r="C117" s="15"/>
      <c r="D117" s="239"/>
      <c r="E117" s="91"/>
      <c r="F117" s="91"/>
      <c r="G117" s="91"/>
      <c r="H117" s="91"/>
      <c r="I117" s="91"/>
      <c r="J117" s="91"/>
      <c r="K117" s="91"/>
      <c r="L117" s="91"/>
      <c r="M117" s="91"/>
      <c r="N117" s="91"/>
      <c r="O117" s="91"/>
      <c r="P117" s="91"/>
      <c r="Q117" s="133"/>
      <c r="R117" s="134"/>
      <c r="S117" s="135"/>
    </row>
    <row r="118" spans="1:19" ht="32.1" customHeight="1" x14ac:dyDescent="0.2">
      <c r="A118" s="80"/>
      <c r="B118" s="90"/>
      <c r="C118" s="15"/>
      <c r="D118" s="239"/>
      <c r="E118" s="91"/>
      <c r="F118" s="91"/>
      <c r="G118" s="91"/>
      <c r="H118" s="91"/>
      <c r="I118" s="91"/>
      <c r="J118" s="91"/>
      <c r="K118" s="91"/>
      <c r="L118" s="91"/>
      <c r="M118" s="91"/>
      <c r="N118" s="91"/>
      <c r="O118" s="91"/>
      <c r="P118" s="91"/>
      <c r="Q118" s="133"/>
      <c r="R118" s="134"/>
      <c r="S118" s="135"/>
    </row>
    <row r="119" spans="1:19" ht="32.1" customHeight="1" x14ac:dyDescent="0.2">
      <c r="A119" s="80"/>
      <c r="B119" s="90"/>
      <c r="C119" s="15"/>
      <c r="D119" s="239"/>
      <c r="E119" s="91"/>
      <c r="F119" s="91"/>
      <c r="G119" s="91"/>
      <c r="H119" s="91"/>
      <c r="I119" s="91"/>
      <c r="J119" s="91"/>
      <c r="K119" s="91"/>
      <c r="L119" s="91"/>
      <c r="M119" s="91"/>
      <c r="N119" s="91"/>
      <c r="O119" s="91"/>
      <c r="P119" s="91"/>
      <c r="Q119" s="133"/>
      <c r="R119" s="134"/>
      <c r="S119" s="135"/>
    </row>
    <row r="120" spans="1:19" ht="32.1" customHeight="1" x14ac:dyDescent="0.2">
      <c r="A120" s="80"/>
      <c r="B120" s="90"/>
      <c r="C120" s="15"/>
      <c r="D120" s="239"/>
      <c r="E120" s="91"/>
      <c r="F120" s="91"/>
      <c r="G120" s="91"/>
      <c r="H120" s="91"/>
      <c r="I120" s="91"/>
      <c r="J120" s="91"/>
      <c r="K120" s="91"/>
      <c r="L120" s="91"/>
      <c r="M120" s="91"/>
      <c r="N120" s="91"/>
      <c r="O120" s="91"/>
      <c r="P120" s="91"/>
      <c r="Q120" s="133"/>
      <c r="R120" s="134"/>
      <c r="S120" s="135"/>
    </row>
    <row r="121" spans="1:19" ht="32.1" customHeight="1" x14ac:dyDescent="0.2">
      <c r="A121" s="80"/>
      <c r="B121" s="90"/>
      <c r="C121" s="15"/>
      <c r="D121" s="239"/>
      <c r="E121" s="91"/>
      <c r="F121" s="91"/>
      <c r="G121" s="91"/>
      <c r="H121" s="91"/>
      <c r="I121" s="91"/>
      <c r="J121" s="91"/>
      <c r="K121" s="91"/>
      <c r="L121" s="91"/>
      <c r="M121" s="91"/>
      <c r="N121" s="91"/>
      <c r="O121" s="91"/>
      <c r="P121" s="91"/>
      <c r="Q121" s="133"/>
      <c r="R121" s="134"/>
      <c r="S121" s="135"/>
    </row>
    <row r="122" spans="1:19" ht="32.1" customHeight="1" x14ac:dyDescent="0.2">
      <c r="A122" s="80"/>
      <c r="B122" s="90"/>
      <c r="C122" s="15"/>
      <c r="D122" s="239"/>
      <c r="E122" s="91"/>
      <c r="F122" s="91"/>
      <c r="G122" s="91"/>
      <c r="H122" s="91"/>
      <c r="I122" s="91"/>
      <c r="J122" s="91"/>
      <c r="K122" s="91"/>
      <c r="L122" s="91"/>
      <c r="M122" s="91"/>
      <c r="N122" s="91"/>
      <c r="O122" s="91"/>
      <c r="P122" s="91"/>
      <c r="Q122" s="133"/>
      <c r="R122" s="134"/>
      <c r="S122" s="135"/>
    </row>
    <row r="123" spans="1:19" ht="32.1" customHeight="1" x14ac:dyDescent="0.2">
      <c r="A123" s="80"/>
      <c r="B123" s="90"/>
      <c r="C123" s="15"/>
      <c r="D123" s="239"/>
      <c r="E123" s="91"/>
      <c r="F123" s="91"/>
      <c r="G123" s="91"/>
      <c r="H123" s="91"/>
      <c r="I123" s="91"/>
      <c r="J123" s="91"/>
      <c r="K123" s="91"/>
      <c r="L123" s="91"/>
      <c r="M123" s="91"/>
      <c r="N123" s="91"/>
      <c r="O123" s="91"/>
      <c r="P123" s="91"/>
      <c r="Q123" s="133"/>
      <c r="R123" s="134"/>
      <c r="S123" s="135"/>
    </row>
    <row r="124" spans="1:19" ht="32.1" customHeight="1" x14ac:dyDescent="0.2">
      <c r="A124" s="80"/>
      <c r="B124" s="90"/>
      <c r="C124" s="15"/>
      <c r="D124" s="239"/>
      <c r="E124" s="91"/>
      <c r="F124" s="91"/>
      <c r="G124" s="91"/>
      <c r="H124" s="91"/>
      <c r="I124" s="91"/>
      <c r="J124" s="91"/>
      <c r="K124" s="91"/>
      <c r="L124" s="91"/>
      <c r="M124" s="91"/>
      <c r="N124" s="91"/>
      <c r="O124" s="91"/>
      <c r="P124" s="91"/>
      <c r="Q124" s="91"/>
      <c r="R124" s="91"/>
      <c r="S124" s="91"/>
    </row>
    <row r="125" spans="1:19" ht="32.1" customHeight="1" x14ac:dyDescent="0.2">
      <c r="A125" s="80"/>
      <c r="B125" s="90"/>
      <c r="C125" s="15"/>
      <c r="D125" s="239"/>
      <c r="E125" s="91"/>
      <c r="F125" s="91"/>
      <c r="G125" s="91"/>
      <c r="H125" s="91"/>
      <c r="I125" s="91"/>
      <c r="J125" s="91"/>
      <c r="K125" s="91"/>
      <c r="L125" s="91"/>
      <c r="M125" s="91"/>
      <c r="N125" s="91"/>
      <c r="O125" s="91"/>
      <c r="P125" s="91"/>
      <c r="Q125" s="91"/>
      <c r="R125" s="91"/>
      <c r="S125" s="91"/>
    </row>
    <row r="126" spans="1:19" ht="32.1" customHeight="1" x14ac:dyDescent="0.2">
      <c r="A126" s="80"/>
      <c r="B126" s="90"/>
      <c r="C126" s="15"/>
      <c r="D126" s="239"/>
      <c r="E126" s="91"/>
      <c r="F126" s="91"/>
      <c r="G126" s="91"/>
      <c r="H126" s="91"/>
      <c r="I126" s="91"/>
      <c r="J126" s="91"/>
      <c r="K126" s="91"/>
      <c r="L126" s="91"/>
      <c r="M126" s="91"/>
      <c r="N126" s="91"/>
      <c r="O126" s="91"/>
      <c r="P126" s="91"/>
      <c r="Q126" s="91"/>
      <c r="R126" s="91"/>
      <c r="S126" s="91"/>
    </row>
    <row r="127" spans="1:19" ht="32.1" customHeight="1" x14ac:dyDescent="0.2">
      <c r="A127" s="80"/>
      <c r="B127" s="90"/>
      <c r="C127" s="15"/>
      <c r="D127" s="239"/>
      <c r="E127" s="91"/>
      <c r="F127" s="91"/>
      <c r="G127" s="91"/>
      <c r="H127" s="91"/>
      <c r="I127" s="91"/>
      <c r="J127" s="91"/>
      <c r="K127" s="91"/>
      <c r="L127" s="91"/>
      <c r="M127" s="91"/>
      <c r="N127" s="91"/>
      <c r="O127" s="91"/>
      <c r="P127" s="91"/>
      <c r="Q127" s="91"/>
      <c r="R127" s="91"/>
      <c r="S127" s="91"/>
    </row>
    <row r="128" spans="1:19" ht="32.1" customHeight="1" x14ac:dyDescent="0.2">
      <c r="A128" s="80"/>
      <c r="B128" s="90"/>
      <c r="C128" s="15"/>
      <c r="D128" s="239"/>
      <c r="E128" s="91"/>
      <c r="F128" s="91"/>
      <c r="G128" s="91"/>
      <c r="H128" s="91"/>
      <c r="I128" s="91"/>
      <c r="J128" s="91"/>
      <c r="K128" s="91"/>
      <c r="L128" s="91"/>
      <c r="M128" s="91"/>
      <c r="N128" s="91"/>
      <c r="O128" s="91"/>
      <c r="P128" s="91"/>
      <c r="Q128" s="91"/>
      <c r="R128" s="91"/>
      <c r="S128" s="91"/>
    </row>
    <row r="129" spans="1:19" ht="32.1" customHeight="1" x14ac:dyDescent="0.2">
      <c r="A129" s="80"/>
      <c r="B129" s="90"/>
      <c r="C129" s="15"/>
      <c r="D129" s="239"/>
      <c r="E129" s="91"/>
      <c r="F129" s="91"/>
      <c r="G129" s="91"/>
      <c r="H129" s="91"/>
      <c r="I129" s="91"/>
      <c r="J129" s="91"/>
      <c r="K129" s="91"/>
      <c r="L129" s="91"/>
      <c r="M129" s="91"/>
      <c r="N129" s="91"/>
      <c r="O129" s="91"/>
      <c r="P129" s="91"/>
      <c r="Q129" s="91"/>
      <c r="R129" s="91"/>
      <c r="S129" s="91"/>
    </row>
    <row r="130" spans="1:19" ht="32.1" customHeight="1" x14ac:dyDescent="0.2">
      <c r="A130" s="80"/>
      <c r="B130" s="90"/>
      <c r="C130" s="15"/>
      <c r="D130" s="239"/>
      <c r="E130" s="91"/>
      <c r="F130" s="91"/>
      <c r="G130" s="91"/>
      <c r="H130" s="91"/>
      <c r="I130" s="91"/>
      <c r="J130" s="91"/>
      <c r="K130" s="91"/>
      <c r="L130" s="91"/>
      <c r="M130" s="91"/>
      <c r="N130" s="91"/>
      <c r="O130" s="91"/>
      <c r="P130" s="91"/>
      <c r="Q130" s="91"/>
      <c r="R130" s="91"/>
      <c r="S130" s="91"/>
    </row>
    <row r="131" spans="1:19" ht="32.1" customHeight="1" x14ac:dyDescent="0.2">
      <c r="A131" s="80"/>
      <c r="B131" s="90"/>
      <c r="C131" s="15"/>
      <c r="D131" s="239"/>
      <c r="E131" s="91"/>
      <c r="F131" s="91"/>
      <c r="G131" s="91"/>
      <c r="H131" s="91"/>
      <c r="I131" s="91"/>
      <c r="J131" s="91"/>
      <c r="K131" s="91"/>
      <c r="L131" s="91"/>
      <c r="M131" s="91"/>
      <c r="N131" s="91"/>
      <c r="O131" s="91"/>
      <c r="P131" s="91"/>
      <c r="Q131" s="91"/>
      <c r="R131" s="91"/>
      <c r="S131" s="91"/>
    </row>
    <row r="132" spans="1:19" ht="32.1" customHeight="1" x14ac:dyDescent="0.2">
      <c r="A132" s="80"/>
      <c r="B132" s="90"/>
      <c r="C132" s="15"/>
      <c r="D132" s="239"/>
      <c r="E132" s="91"/>
      <c r="F132" s="91"/>
      <c r="G132" s="91"/>
      <c r="H132" s="91"/>
      <c r="I132" s="91"/>
      <c r="J132" s="91"/>
      <c r="K132" s="91"/>
      <c r="L132" s="91"/>
      <c r="M132" s="91"/>
      <c r="N132" s="91"/>
      <c r="O132" s="91"/>
      <c r="P132" s="91"/>
      <c r="Q132" s="91"/>
      <c r="R132" s="91"/>
      <c r="S132" s="91"/>
    </row>
    <row r="133" spans="1:19" ht="32.1" customHeight="1" x14ac:dyDescent="0.2">
      <c r="A133" s="80"/>
      <c r="B133" s="90"/>
      <c r="C133" s="15"/>
      <c r="D133" s="239"/>
      <c r="E133" s="91"/>
      <c r="F133" s="91"/>
      <c r="G133" s="91"/>
      <c r="H133" s="91"/>
      <c r="I133" s="91"/>
      <c r="J133" s="91"/>
      <c r="K133" s="91"/>
      <c r="L133" s="91"/>
      <c r="M133" s="91"/>
      <c r="N133" s="91"/>
      <c r="O133" s="91"/>
      <c r="P133" s="91"/>
      <c r="Q133" s="91"/>
      <c r="R133" s="91"/>
      <c r="S133" s="91"/>
    </row>
    <row r="134" spans="1:19" ht="32.1" customHeight="1" x14ac:dyDescent="0.2">
      <c r="A134" s="80"/>
      <c r="B134" s="90"/>
      <c r="C134" s="15"/>
      <c r="D134" s="239"/>
      <c r="E134" s="91"/>
      <c r="F134" s="91"/>
      <c r="G134" s="91"/>
      <c r="H134" s="91"/>
      <c r="I134" s="91"/>
      <c r="J134" s="91"/>
      <c r="K134" s="91"/>
      <c r="L134" s="91"/>
      <c r="M134" s="91"/>
      <c r="N134" s="91"/>
      <c r="O134" s="91"/>
      <c r="P134" s="91"/>
      <c r="Q134" s="91"/>
      <c r="R134" s="91"/>
      <c r="S134" s="91"/>
    </row>
    <row r="135" spans="1:19" ht="32.1" customHeight="1" x14ac:dyDescent="0.2">
      <c r="A135" s="80"/>
      <c r="B135" s="90"/>
      <c r="C135" s="15"/>
      <c r="D135" s="239"/>
      <c r="E135" s="91"/>
      <c r="F135" s="91"/>
      <c r="G135" s="91"/>
      <c r="H135" s="91"/>
      <c r="I135" s="91"/>
      <c r="J135" s="91"/>
      <c r="K135" s="91"/>
      <c r="L135" s="91"/>
      <c r="M135" s="91"/>
      <c r="N135" s="91"/>
      <c r="O135" s="91"/>
      <c r="P135" s="91"/>
      <c r="Q135" s="91"/>
      <c r="R135" s="91"/>
      <c r="S135" s="91"/>
    </row>
    <row r="136" spans="1:19" ht="32.1" customHeight="1" x14ac:dyDescent="0.2">
      <c r="A136" s="80"/>
      <c r="B136" s="90"/>
      <c r="C136" s="15"/>
      <c r="D136" s="239"/>
      <c r="E136" s="91"/>
      <c r="F136" s="91"/>
      <c r="G136" s="91"/>
      <c r="H136" s="91"/>
      <c r="I136" s="91"/>
      <c r="J136" s="91"/>
      <c r="K136" s="91"/>
      <c r="L136" s="91"/>
      <c r="M136" s="91"/>
      <c r="N136" s="91"/>
      <c r="O136" s="91"/>
      <c r="P136" s="91"/>
      <c r="Q136" s="91"/>
      <c r="R136" s="91"/>
      <c r="S136" s="91"/>
    </row>
    <row r="137" spans="1:19" ht="32.1" customHeight="1" x14ac:dyDescent="0.2">
      <c r="A137" s="80"/>
      <c r="B137" s="90"/>
      <c r="C137" s="15"/>
      <c r="D137" s="239"/>
      <c r="E137" s="91"/>
      <c r="F137" s="91"/>
      <c r="G137" s="91"/>
      <c r="H137" s="91"/>
      <c r="I137" s="91"/>
      <c r="J137" s="91"/>
      <c r="K137" s="91"/>
      <c r="L137" s="91"/>
      <c r="M137" s="91"/>
      <c r="N137" s="91"/>
      <c r="O137" s="91"/>
      <c r="P137" s="91"/>
      <c r="Q137" s="91"/>
      <c r="R137" s="91"/>
      <c r="S137" s="91"/>
    </row>
    <row r="138" spans="1:19" ht="32.1" customHeight="1" x14ac:dyDescent="0.2">
      <c r="A138" s="80"/>
      <c r="B138" s="90"/>
      <c r="C138" s="15"/>
      <c r="D138" s="239"/>
      <c r="E138" s="91"/>
      <c r="F138" s="91"/>
      <c r="G138" s="91"/>
      <c r="H138" s="91"/>
      <c r="I138" s="91"/>
      <c r="J138" s="91"/>
      <c r="K138" s="91"/>
      <c r="L138" s="91"/>
      <c r="M138" s="91"/>
      <c r="N138" s="91"/>
      <c r="O138" s="91"/>
      <c r="P138" s="91"/>
      <c r="Q138" s="91"/>
      <c r="R138" s="91"/>
      <c r="S138" s="91"/>
    </row>
    <row r="139" spans="1:19" ht="32.1" customHeight="1" x14ac:dyDescent="0.2">
      <c r="A139" s="80"/>
      <c r="B139" s="90"/>
      <c r="C139" s="15"/>
      <c r="D139" s="239"/>
      <c r="E139" s="91"/>
      <c r="F139" s="91"/>
      <c r="G139" s="91"/>
      <c r="H139" s="91"/>
      <c r="I139" s="91"/>
      <c r="J139" s="91"/>
      <c r="K139" s="91"/>
      <c r="L139" s="91"/>
      <c r="M139" s="91"/>
      <c r="N139" s="91"/>
      <c r="O139" s="91"/>
      <c r="P139" s="91"/>
      <c r="Q139" s="91"/>
      <c r="R139" s="91"/>
      <c r="S139" s="91"/>
    </row>
    <row r="140" spans="1:19" ht="32.1" customHeight="1" x14ac:dyDescent="0.2">
      <c r="A140" s="80"/>
      <c r="B140" s="90"/>
      <c r="C140" s="15"/>
      <c r="D140" s="239"/>
      <c r="E140" s="91"/>
      <c r="F140" s="91"/>
      <c r="G140" s="91"/>
      <c r="H140" s="91"/>
      <c r="I140" s="91"/>
      <c r="J140" s="91"/>
      <c r="K140" s="91"/>
      <c r="L140" s="91"/>
      <c r="M140" s="91"/>
      <c r="N140" s="91"/>
      <c r="O140" s="91"/>
      <c r="P140" s="91"/>
      <c r="Q140" s="91"/>
      <c r="R140" s="91"/>
      <c r="S140" s="91"/>
    </row>
    <row r="141" spans="1:19" ht="32.1" customHeight="1" x14ac:dyDescent="0.2">
      <c r="A141" s="80"/>
      <c r="B141" s="90"/>
      <c r="C141" s="15"/>
      <c r="D141" s="239"/>
      <c r="E141" s="91"/>
      <c r="F141" s="91"/>
      <c r="G141" s="91"/>
      <c r="H141" s="91"/>
      <c r="I141" s="91"/>
      <c r="J141" s="91"/>
      <c r="K141" s="91"/>
      <c r="L141" s="91"/>
      <c r="M141" s="91"/>
      <c r="N141" s="91"/>
      <c r="O141" s="91"/>
      <c r="P141" s="91"/>
      <c r="Q141" s="91"/>
      <c r="R141" s="91"/>
      <c r="S141" s="91"/>
    </row>
    <row r="142" spans="1:19" ht="32.1" customHeight="1" x14ac:dyDescent="0.2">
      <c r="A142" s="80"/>
      <c r="B142" s="90"/>
      <c r="C142" s="15"/>
      <c r="D142" s="239"/>
      <c r="E142" s="91"/>
      <c r="F142" s="91"/>
      <c r="G142" s="91"/>
      <c r="H142" s="91"/>
      <c r="I142" s="91"/>
      <c r="J142" s="91"/>
      <c r="K142" s="91"/>
      <c r="L142" s="91"/>
      <c r="M142" s="91"/>
      <c r="N142" s="91"/>
      <c r="O142" s="91"/>
      <c r="P142" s="91"/>
      <c r="Q142" s="91"/>
      <c r="R142" s="91"/>
      <c r="S142" s="91"/>
    </row>
    <row r="143" spans="1:19" ht="32.1" customHeight="1" x14ac:dyDescent="0.2">
      <c r="A143" s="80"/>
      <c r="B143" s="90"/>
      <c r="C143" s="15"/>
      <c r="D143" s="239"/>
      <c r="E143" s="91"/>
      <c r="F143" s="91"/>
      <c r="G143" s="91"/>
      <c r="H143" s="91"/>
      <c r="I143" s="91"/>
      <c r="J143" s="91"/>
      <c r="K143" s="91"/>
      <c r="L143" s="91"/>
      <c r="M143" s="91"/>
      <c r="N143" s="91"/>
      <c r="O143" s="91"/>
      <c r="P143" s="91"/>
      <c r="Q143" s="91"/>
      <c r="R143" s="91"/>
      <c r="S143" s="91"/>
    </row>
    <row r="144" spans="1:19" ht="32.1" customHeight="1" x14ac:dyDescent="0.2">
      <c r="A144" s="80"/>
      <c r="B144" s="90"/>
      <c r="C144" s="15"/>
      <c r="D144" s="239"/>
      <c r="E144" s="91"/>
      <c r="F144" s="91"/>
      <c r="G144" s="91"/>
      <c r="H144" s="91"/>
      <c r="I144" s="91"/>
      <c r="J144" s="91"/>
      <c r="K144" s="91"/>
      <c r="L144" s="91"/>
      <c r="M144" s="91"/>
      <c r="N144" s="91"/>
      <c r="O144" s="91"/>
      <c r="P144" s="91"/>
      <c r="Q144" s="91"/>
      <c r="R144" s="91"/>
      <c r="S144" s="91"/>
    </row>
    <row r="145" spans="1:19" ht="32.1" customHeight="1" x14ac:dyDescent="0.2">
      <c r="A145" s="80"/>
      <c r="B145" s="90"/>
      <c r="C145" s="15"/>
      <c r="D145" s="239"/>
      <c r="E145" s="91"/>
      <c r="F145" s="91"/>
      <c r="G145" s="91"/>
      <c r="H145" s="91"/>
      <c r="I145" s="91"/>
      <c r="J145" s="91"/>
      <c r="K145" s="91"/>
      <c r="L145" s="91"/>
      <c r="M145" s="91"/>
      <c r="N145" s="91"/>
      <c r="O145" s="91"/>
      <c r="P145" s="91"/>
      <c r="Q145" s="91"/>
      <c r="R145" s="91"/>
      <c r="S145" s="91"/>
    </row>
    <row r="146" spans="1:19" ht="32.1" customHeight="1" x14ac:dyDescent="0.2">
      <c r="A146" s="80"/>
      <c r="B146" s="90"/>
      <c r="C146" s="15"/>
      <c r="D146" s="239"/>
      <c r="E146" s="91"/>
      <c r="F146" s="91"/>
      <c r="G146" s="91"/>
      <c r="H146" s="91"/>
      <c r="I146" s="91"/>
      <c r="J146" s="91"/>
      <c r="K146" s="91"/>
      <c r="L146" s="91"/>
      <c r="M146" s="91"/>
      <c r="N146" s="91"/>
      <c r="O146" s="91"/>
      <c r="P146" s="91"/>
      <c r="Q146" s="91"/>
      <c r="R146" s="91"/>
      <c r="S146" s="91"/>
    </row>
    <row r="147" spans="1:19" ht="32.1" customHeight="1" x14ac:dyDescent="0.2">
      <c r="A147" s="80"/>
      <c r="B147" s="90"/>
      <c r="C147" s="15"/>
      <c r="D147" s="239"/>
      <c r="E147" s="91"/>
      <c r="F147" s="91"/>
      <c r="G147" s="91"/>
      <c r="H147" s="91"/>
      <c r="I147" s="91"/>
      <c r="J147" s="91"/>
      <c r="K147" s="91"/>
      <c r="L147" s="91"/>
      <c r="M147" s="91"/>
      <c r="N147" s="91"/>
      <c r="O147" s="91"/>
      <c r="P147" s="91"/>
      <c r="Q147" s="91"/>
      <c r="R147" s="91"/>
      <c r="S147" s="91"/>
    </row>
    <row r="148" spans="1:19" ht="32.1" customHeight="1" x14ac:dyDescent="0.2">
      <c r="A148" s="80"/>
      <c r="B148" s="90"/>
      <c r="C148" s="15"/>
      <c r="D148" s="239"/>
      <c r="E148" s="91"/>
      <c r="F148" s="91"/>
      <c r="G148" s="91"/>
      <c r="H148" s="91"/>
      <c r="I148" s="91"/>
      <c r="J148" s="91"/>
      <c r="K148" s="91"/>
      <c r="L148" s="91"/>
      <c r="M148" s="91"/>
      <c r="N148" s="91"/>
      <c r="O148" s="91"/>
      <c r="P148" s="91"/>
      <c r="Q148" s="91"/>
      <c r="R148" s="91"/>
      <c r="S148" s="91"/>
    </row>
    <row r="149" spans="1:19" ht="32.1" customHeight="1" x14ac:dyDescent="0.2">
      <c r="A149" s="80"/>
      <c r="B149" s="90"/>
      <c r="C149" s="15"/>
      <c r="D149" s="239"/>
      <c r="E149" s="91"/>
      <c r="F149" s="91"/>
      <c r="G149" s="91"/>
      <c r="H149" s="91"/>
      <c r="I149" s="91"/>
      <c r="J149" s="91"/>
      <c r="K149" s="91"/>
      <c r="L149" s="91"/>
      <c r="M149" s="91"/>
      <c r="N149" s="91"/>
      <c r="O149" s="91"/>
      <c r="P149" s="91"/>
      <c r="Q149" s="91"/>
      <c r="R149" s="91"/>
      <c r="S149" s="91"/>
    </row>
    <row r="150" spans="1:19" ht="32.1" customHeight="1" x14ac:dyDescent="0.2">
      <c r="A150" s="80"/>
      <c r="B150" s="90"/>
      <c r="C150" s="15"/>
      <c r="D150" s="239"/>
      <c r="E150" s="91"/>
      <c r="F150" s="91"/>
      <c r="G150" s="91"/>
      <c r="H150" s="91"/>
      <c r="I150" s="91"/>
      <c r="J150" s="91"/>
      <c r="K150" s="91"/>
      <c r="L150" s="91"/>
      <c r="M150" s="91"/>
      <c r="N150" s="91"/>
      <c r="O150" s="91"/>
      <c r="P150" s="91"/>
      <c r="Q150" s="91"/>
      <c r="R150" s="91"/>
      <c r="S150" s="91"/>
    </row>
    <row r="151" spans="1:19" ht="32.1" customHeight="1" x14ac:dyDescent="0.2">
      <c r="A151" s="80"/>
      <c r="B151" s="90"/>
      <c r="C151" s="15"/>
      <c r="D151" s="239"/>
      <c r="E151" s="91"/>
      <c r="F151" s="91"/>
      <c r="G151" s="91"/>
      <c r="H151" s="91"/>
      <c r="I151" s="91"/>
      <c r="J151" s="91"/>
      <c r="K151" s="91"/>
      <c r="L151" s="91"/>
      <c r="M151" s="91"/>
      <c r="N151" s="91"/>
      <c r="O151" s="91"/>
      <c r="P151" s="91"/>
      <c r="Q151" s="91"/>
      <c r="R151" s="91"/>
      <c r="S151" s="91"/>
    </row>
    <row r="152" spans="1:19" ht="32.1" customHeight="1" x14ac:dyDescent="0.2">
      <c r="A152" s="80"/>
      <c r="B152" s="90"/>
      <c r="C152" s="15"/>
      <c r="D152" s="239"/>
      <c r="E152" s="91"/>
      <c r="F152" s="91"/>
      <c r="G152" s="91"/>
      <c r="H152" s="91"/>
      <c r="I152" s="91"/>
      <c r="J152" s="91"/>
      <c r="K152" s="91"/>
      <c r="L152" s="91"/>
      <c r="M152" s="91"/>
      <c r="N152" s="91"/>
      <c r="O152" s="91"/>
      <c r="P152" s="91"/>
      <c r="Q152" s="91"/>
      <c r="R152" s="91"/>
      <c r="S152" s="91"/>
    </row>
    <row r="153" spans="1:19" ht="32.1" customHeight="1" x14ac:dyDescent="0.2">
      <c r="A153" s="80"/>
      <c r="B153" s="90"/>
      <c r="C153" s="15"/>
      <c r="D153" s="239"/>
      <c r="E153" s="91"/>
      <c r="F153" s="91"/>
      <c r="G153" s="91"/>
      <c r="H153" s="91"/>
      <c r="I153" s="91"/>
      <c r="J153" s="91"/>
      <c r="K153" s="91"/>
      <c r="L153" s="91"/>
      <c r="M153" s="91"/>
      <c r="N153" s="91"/>
      <c r="O153" s="91"/>
      <c r="P153" s="91"/>
      <c r="Q153" s="91"/>
      <c r="R153" s="91"/>
      <c r="S153" s="91"/>
    </row>
    <row r="154" spans="1:19" ht="32.1" customHeight="1" x14ac:dyDescent="0.2">
      <c r="A154" s="80"/>
      <c r="B154" s="90"/>
      <c r="C154" s="15"/>
      <c r="D154" s="239"/>
      <c r="E154" s="91"/>
      <c r="F154" s="91"/>
      <c r="G154" s="91"/>
      <c r="H154" s="91"/>
      <c r="I154" s="91"/>
      <c r="J154" s="91"/>
      <c r="K154" s="91"/>
      <c r="L154" s="91"/>
      <c r="M154" s="91"/>
      <c r="N154" s="91"/>
      <c r="O154" s="91"/>
      <c r="P154" s="91"/>
      <c r="Q154" s="91"/>
      <c r="R154" s="91"/>
      <c r="S154" s="91"/>
    </row>
    <row r="155" spans="1:19" ht="32.1" customHeight="1" x14ac:dyDescent="0.2">
      <c r="A155" s="80"/>
      <c r="B155" s="90"/>
      <c r="C155" s="15"/>
      <c r="D155" s="239"/>
      <c r="E155" s="91"/>
      <c r="F155" s="91"/>
      <c r="G155" s="91"/>
      <c r="H155" s="91"/>
      <c r="I155" s="91"/>
      <c r="J155" s="91"/>
      <c r="K155" s="91"/>
      <c r="L155" s="91"/>
      <c r="M155" s="91"/>
      <c r="N155" s="91"/>
      <c r="O155" s="91"/>
      <c r="P155" s="91"/>
      <c r="Q155" s="91"/>
      <c r="R155" s="91"/>
      <c r="S155" s="91"/>
    </row>
    <row r="156" spans="1:19" ht="32.1" customHeight="1" x14ac:dyDescent="0.2">
      <c r="A156" s="80"/>
      <c r="B156" s="90"/>
      <c r="C156" s="15"/>
      <c r="D156" s="239"/>
      <c r="E156" s="91"/>
      <c r="F156" s="91"/>
      <c r="G156" s="91"/>
      <c r="H156" s="91"/>
      <c r="I156" s="91"/>
      <c r="J156" s="91"/>
      <c r="K156" s="91"/>
      <c r="L156" s="91"/>
      <c r="M156" s="91"/>
      <c r="N156" s="91"/>
      <c r="O156" s="91"/>
      <c r="P156" s="91"/>
      <c r="Q156" s="91"/>
      <c r="R156" s="91"/>
      <c r="S156" s="91"/>
    </row>
    <row r="157" spans="1:19" ht="32.1" customHeight="1" x14ac:dyDescent="0.2">
      <c r="A157" s="80"/>
      <c r="B157" s="90"/>
      <c r="C157" s="15"/>
      <c r="D157" s="239"/>
      <c r="E157" s="91"/>
      <c r="F157" s="91"/>
      <c r="G157" s="91"/>
      <c r="H157" s="91"/>
      <c r="I157" s="91"/>
      <c r="J157" s="91"/>
      <c r="K157" s="91"/>
      <c r="L157" s="91"/>
      <c r="M157" s="91"/>
      <c r="N157" s="91"/>
      <c r="O157" s="91"/>
      <c r="P157" s="91"/>
      <c r="Q157" s="91"/>
      <c r="R157" s="91"/>
      <c r="S157" s="91"/>
    </row>
    <row r="158" spans="1:19" ht="32.1" customHeight="1" x14ac:dyDescent="0.2">
      <c r="A158" s="80"/>
      <c r="B158" s="90"/>
      <c r="C158" s="15"/>
      <c r="D158" s="239"/>
      <c r="E158" s="91"/>
      <c r="F158" s="91"/>
      <c r="G158" s="91"/>
      <c r="H158" s="91"/>
      <c r="I158" s="91"/>
      <c r="J158" s="91"/>
      <c r="K158" s="91"/>
      <c r="L158" s="91"/>
      <c r="M158" s="91"/>
      <c r="N158" s="91"/>
      <c r="O158" s="91"/>
      <c r="P158" s="91"/>
      <c r="Q158" s="91"/>
      <c r="R158" s="91"/>
      <c r="S158" s="91"/>
    </row>
    <row r="159" spans="1:19" ht="32.1" customHeight="1" x14ac:dyDescent="0.2">
      <c r="A159" s="80"/>
      <c r="B159" s="90"/>
      <c r="C159" s="15"/>
      <c r="D159" s="239"/>
      <c r="E159" s="91"/>
      <c r="F159" s="91"/>
      <c r="G159" s="91"/>
      <c r="H159" s="91"/>
      <c r="I159" s="91"/>
      <c r="J159" s="91"/>
      <c r="K159" s="91"/>
      <c r="L159" s="91"/>
      <c r="M159" s="91"/>
      <c r="N159" s="91"/>
      <c r="O159" s="91"/>
      <c r="P159" s="91"/>
      <c r="Q159" s="91"/>
      <c r="R159" s="91"/>
      <c r="S159" s="91"/>
    </row>
    <row r="160" spans="1:19" ht="32.1" customHeight="1" x14ac:dyDescent="0.2">
      <c r="A160" s="80"/>
      <c r="B160" s="90"/>
      <c r="C160" s="15"/>
      <c r="D160" s="239"/>
      <c r="E160" s="91"/>
      <c r="F160" s="91"/>
      <c r="G160" s="91"/>
      <c r="H160" s="91"/>
      <c r="I160" s="91"/>
      <c r="J160" s="91"/>
      <c r="K160" s="91"/>
      <c r="L160" s="91"/>
      <c r="M160" s="91"/>
      <c r="N160" s="91"/>
      <c r="O160" s="91"/>
      <c r="P160" s="91"/>
      <c r="Q160" s="91"/>
      <c r="R160" s="91"/>
      <c r="S160" s="91"/>
    </row>
    <row r="161" spans="1:19" ht="32.1" customHeight="1" x14ac:dyDescent="0.2">
      <c r="A161" s="80"/>
      <c r="B161" s="90"/>
      <c r="C161" s="15"/>
      <c r="D161" s="239"/>
      <c r="E161" s="91"/>
      <c r="F161" s="91"/>
      <c r="G161" s="91"/>
      <c r="H161" s="91"/>
      <c r="I161" s="91"/>
      <c r="J161" s="91"/>
      <c r="K161" s="91"/>
      <c r="L161" s="91"/>
      <c r="M161" s="91"/>
      <c r="N161" s="91"/>
      <c r="O161" s="91"/>
      <c r="P161" s="91"/>
      <c r="Q161" s="91"/>
      <c r="R161" s="91"/>
      <c r="S161" s="91"/>
    </row>
    <row r="162" spans="1:19" ht="32.1" customHeight="1" x14ac:dyDescent="0.2">
      <c r="A162" s="80"/>
      <c r="B162" s="90"/>
      <c r="C162" s="15"/>
      <c r="D162" s="239"/>
      <c r="E162" s="91"/>
      <c r="F162" s="91"/>
      <c r="G162" s="91"/>
      <c r="H162" s="91"/>
      <c r="I162" s="91"/>
      <c r="J162" s="91"/>
      <c r="K162" s="91"/>
      <c r="L162" s="91"/>
      <c r="M162" s="91"/>
      <c r="N162" s="91"/>
      <c r="O162" s="91"/>
      <c r="P162" s="91"/>
      <c r="Q162" s="91"/>
      <c r="R162" s="91"/>
      <c r="S162" s="91"/>
    </row>
    <row r="163" spans="1:19" ht="32.1" customHeight="1" x14ac:dyDescent="0.2">
      <c r="A163" s="80"/>
      <c r="B163" s="90"/>
      <c r="C163" s="15"/>
      <c r="D163" s="239"/>
      <c r="E163" s="91"/>
      <c r="F163" s="91"/>
      <c r="G163" s="91"/>
      <c r="H163" s="91"/>
      <c r="I163" s="91"/>
      <c r="J163" s="91"/>
      <c r="K163" s="91"/>
      <c r="L163" s="91"/>
      <c r="M163" s="91"/>
      <c r="N163" s="91"/>
      <c r="O163" s="91"/>
      <c r="P163" s="91"/>
      <c r="Q163" s="91"/>
      <c r="R163" s="91"/>
      <c r="S163" s="91"/>
    </row>
    <row r="164" spans="1:19" ht="32.1" customHeight="1" x14ac:dyDescent="0.2">
      <c r="A164" s="80"/>
      <c r="B164" s="90"/>
      <c r="C164" s="15"/>
      <c r="D164" s="239"/>
      <c r="E164" s="91"/>
      <c r="F164" s="91"/>
      <c r="G164" s="91"/>
      <c r="H164" s="91"/>
      <c r="I164" s="91"/>
      <c r="J164" s="91"/>
      <c r="K164" s="91"/>
      <c r="L164" s="91"/>
      <c r="M164" s="91"/>
      <c r="N164" s="91"/>
      <c r="O164" s="91"/>
      <c r="P164" s="91"/>
      <c r="Q164" s="91"/>
      <c r="R164" s="91"/>
      <c r="S164" s="91"/>
    </row>
    <row r="165" spans="1:19" ht="32.1" customHeight="1" x14ac:dyDescent="0.2">
      <c r="A165" s="80"/>
      <c r="B165" s="90"/>
      <c r="C165" s="15"/>
      <c r="D165" s="239"/>
      <c r="E165" s="91"/>
      <c r="F165" s="91"/>
      <c r="G165" s="91"/>
      <c r="H165" s="91"/>
      <c r="I165" s="91"/>
      <c r="J165" s="91"/>
      <c r="K165" s="91"/>
      <c r="L165" s="91"/>
      <c r="M165" s="91"/>
      <c r="N165" s="91"/>
      <c r="O165" s="91"/>
      <c r="P165" s="91"/>
      <c r="Q165" s="91"/>
      <c r="R165" s="91"/>
      <c r="S165" s="91"/>
    </row>
    <row r="166" spans="1:19" ht="32.1" customHeight="1" x14ac:dyDescent="0.2">
      <c r="A166" s="80"/>
      <c r="B166" s="90"/>
      <c r="C166" s="15"/>
      <c r="D166" s="239"/>
      <c r="E166" s="91"/>
      <c r="F166" s="91"/>
      <c r="G166" s="91"/>
      <c r="H166" s="91"/>
      <c r="I166" s="91"/>
      <c r="J166" s="91"/>
      <c r="K166" s="91"/>
      <c r="L166" s="91"/>
      <c r="M166" s="91"/>
      <c r="N166" s="91"/>
      <c r="O166" s="91"/>
      <c r="P166" s="91"/>
      <c r="Q166" s="91"/>
      <c r="R166" s="91"/>
      <c r="S166" s="91"/>
    </row>
    <row r="167" spans="1:19" ht="32.1" customHeight="1" x14ac:dyDescent="0.2">
      <c r="A167" s="80"/>
      <c r="B167" s="90"/>
      <c r="C167" s="15"/>
      <c r="D167" s="239"/>
      <c r="E167" s="91"/>
      <c r="F167" s="91"/>
      <c r="G167" s="91"/>
      <c r="H167" s="91"/>
      <c r="I167" s="91"/>
      <c r="J167" s="91"/>
      <c r="K167" s="91"/>
      <c r="L167" s="91"/>
      <c r="M167" s="91"/>
      <c r="N167" s="91"/>
      <c r="O167" s="91"/>
      <c r="P167" s="91"/>
      <c r="Q167" s="91"/>
      <c r="R167" s="91"/>
      <c r="S167" s="91"/>
    </row>
    <row r="168" spans="1:19" ht="32.1" customHeight="1" x14ac:dyDescent="0.2">
      <c r="A168" s="80"/>
      <c r="B168" s="90"/>
      <c r="C168" s="15"/>
      <c r="D168" s="239"/>
      <c r="E168" s="91"/>
      <c r="F168" s="91"/>
      <c r="G168" s="91"/>
      <c r="H168" s="91"/>
      <c r="I168" s="91"/>
      <c r="J168" s="91"/>
      <c r="K168" s="91"/>
      <c r="L168" s="91"/>
      <c r="M168" s="91"/>
      <c r="N168" s="91"/>
      <c r="O168" s="91"/>
      <c r="P168" s="91"/>
      <c r="Q168" s="91"/>
      <c r="R168" s="91"/>
      <c r="S168" s="91"/>
    </row>
    <row r="169" spans="1:19" ht="32.1" customHeight="1" x14ac:dyDescent="0.2">
      <c r="A169" s="80"/>
      <c r="B169" s="90"/>
      <c r="C169" s="15"/>
      <c r="D169" s="239"/>
      <c r="E169" s="91"/>
      <c r="F169" s="91"/>
      <c r="G169" s="91"/>
      <c r="H169" s="91"/>
      <c r="I169" s="91"/>
      <c r="J169" s="91"/>
      <c r="K169" s="91"/>
      <c r="L169" s="91"/>
      <c r="M169" s="91"/>
      <c r="N169" s="91"/>
      <c r="O169" s="91"/>
      <c r="P169" s="91"/>
      <c r="Q169" s="91"/>
      <c r="R169" s="91"/>
      <c r="S169" s="91"/>
    </row>
    <row r="170" spans="1:19" ht="32.1" customHeight="1" x14ac:dyDescent="0.2">
      <c r="A170" s="80"/>
      <c r="B170" s="90"/>
      <c r="C170" s="15"/>
      <c r="D170" s="239"/>
      <c r="E170" s="91"/>
      <c r="F170" s="91"/>
      <c r="G170" s="91"/>
      <c r="H170" s="91"/>
      <c r="I170" s="91"/>
      <c r="J170" s="91"/>
      <c r="K170" s="91"/>
      <c r="L170" s="91"/>
      <c r="M170" s="91"/>
      <c r="N170" s="91"/>
      <c r="O170" s="91"/>
      <c r="P170" s="91"/>
      <c r="Q170" s="91"/>
      <c r="R170" s="91"/>
      <c r="S170" s="91"/>
    </row>
    <row r="171" spans="1:19" ht="32.1" customHeight="1" x14ac:dyDescent="0.2">
      <c r="A171" s="80"/>
      <c r="B171" s="90"/>
      <c r="C171" s="15"/>
      <c r="D171" s="239"/>
      <c r="E171" s="91"/>
      <c r="F171" s="91"/>
      <c r="G171" s="91"/>
      <c r="H171" s="91"/>
      <c r="I171" s="91"/>
      <c r="J171" s="91"/>
      <c r="K171" s="91"/>
      <c r="L171" s="91"/>
      <c r="M171" s="91"/>
      <c r="N171" s="91"/>
      <c r="O171" s="91"/>
      <c r="P171" s="91"/>
      <c r="Q171" s="91"/>
      <c r="R171" s="91"/>
      <c r="S171" s="91"/>
    </row>
    <row r="172" spans="1:19" ht="32.1" customHeight="1" x14ac:dyDescent="0.2">
      <c r="A172" s="80"/>
      <c r="B172" s="90"/>
      <c r="C172" s="15"/>
      <c r="D172" s="239"/>
      <c r="E172" s="91"/>
      <c r="F172" s="91"/>
      <c r="G172" s="91"/>
      <c r="H172" s="91"/>
      <c r="I172" s="91"/>
      <c r="J172" s="91"/>
      <c r="K172" s="91"/>
      <c r="L172" s="91"/>
      <c r="M172" s="91"/>
      <c r="N172" s="91"/>
      <c r="O172" s="91"/>
      <c r="P172" s="91"/>
      <c r="Q172" s="91"/>
      <c r="R172" s="91"/>
      <c r="S172" s="91"/>
    </row>
    <row r="173" spans="1:19" ht="32.1" customHeight="1" x14ac:dyDescent="0.2">
      <c r="A173" s="80"/>
      <c r="B173" s="90"/>
      <c r="C173" s="15"/>
      <c r="D173" s="239"/>
      <c r="E173" s="91"/>
      <c r="F173" s="91"/>
      <c r="G173" s="91"/>
      <c r="H173" s="91"/>
      <c r="I173" s="91"/>
      <c r="J173" s="91"/>
      <c r="K173" s="91"/>
      <c r="L173" s="91"/>
      <c r="M173" s="91"/>
      <c r="N173" s="91"/>
      <c r="O173" s="91"/>
      <c r="P173" s="91"/>
      <c r="Q173" s="91"/>
      <c r="R173" s="91"/>
      <c r="S173" s="91"/>
    </row>
    <row r="174" spans="1:19" ht="32.1" customHeight="1" x14ac:dyDescent="0.2">
      <c r="A174" s="80"/>
      <c r="B174" s="90"/>
      <c r="C174" s="15"/>
      <c r="D174" s="239"/>
      <c r="E174" s="91"/>
      <c r="F174" s="91"/>
      <c r="G174" s="91"/>
      <c r="H174" s="91"/>
      <c r="I174" s="91"/>
      <c r="J174" s="91"/>
      <c r="K174" s="91"/>
      <c r="L174" s="91"/>
      <c r="M174" s="91"/>
      <c r="N174" s="91"/>
      <c r="O174" s="91"/>
      <c r="P174" s="91"/>
      <c r="Q174" s="91"/>
      <c r="R174" s="91"/>
      <c r="S174" s="91"/>
    </row>
    <row r="175" spans="1:19" ht="32.1" customHeight="1" x14ac:dyDescent="0.2">
      <c r="A175" s="80"/>
      <c r="B175" s="90"/>
      <c r="C175" s="15"/>
      <c r="D175" s="239"/>
      <c r="E175" s="91"/>
      <c r="F175" s="91"/>
      <c r="G175" s="91"/>
      <c r="H175" s="91"/>
      <c r="I175" s="91"/>
      <c r="J175" s="91"/>
      <c r="K175" s="91"/>
      <c r="L175" s="91"/>
      <c r="M175" s="91"/>
      <c r="N175" s="91"/>
      <c r="O175" s="91"/>
      <c r="P175" s="91"/>
      <c r="Q175" s="91"/>
      <c r="R175" s="91"/>
      <c r="S175" s="91"/>
    </row>
    <row r="176" spans="1:19" ht="32.1" customHeight="1" x14ac:dyDescent="0.2">
      <c r="A176" s="80"/>
      <c r="B176" s="90"/>
      <c r="C176" s="15"/>
      <c r="D176" s="239"/>
      <c r="E176" s="91"/>
      <c r="F176" s="91"/>
      <c r="G176" s="91"/>
      <c r="H176" s="91"/>
      <c r="I176" s="91"/>
      <c r="J176" s="91"/>
      <c r="K176" s="91"/>
      <c r="L176" s="91"/>
      <c r="M176" s="91"/>
      <c r="N176" s="91"/>
      <c r="O176" s="91"/>
      <c r="P176" s="91"/>
      <c r="Q176" s="91"/>
      <c r="R176" s="91"/>
      <c r="S176" s="91"/>
    </row>
    <row r="177" spans="1:19" ht="32.1" customHeight="1" x14ac:dyDescent="0.2">
      <c r="A177" s="80"/>
      <c r="B177" s="90"/>
      <c r="C177" s="15"/>
      <c r="D177" s="239"/>
      <c r="E177" s="91"/>
      <c r="F177" s="91"/>
      <c r="G177" s="91"/>
      <c r="H177" s="91"/>
      <c r="I177" s="91"/>
      <c r="J177" s="91"/>
      <c r="K177" s="91"/>
      <c r="L177" s="91"/>
      <c r="M177" s="91"/>
      <c r="N177" s="91"/>
      <c r="O177" s="91"/>
      <c r="P177" s="91"/>
      <c r="Q177" s="91"/>
      <c r="R177" s="91"/>
      <c r="S177" s="91"/>
    </row>
    <row r="178" spans="1:19" ht="32.1" customHeight="1" x14ac:dyDescent="0.2">
      <c r="A178" s="80"/>
      <c r="B178" s="90"/>
      <c r="C178" s="15"/>
      <c r="D178" s="239"/>
      <c r="E178" s="91"/>
      <c r="F178" s="91"/>
      <c r="G178" s="91"/>
      <c r="H178" s="91"/>
      <c r="I178" s="91"/>
      <c r="J178" s="91"/>
      <c r="K178" s="91"/>
      <c r="L178" s="91"/>
      <c r="M178" s="91"/>
      <c r="N178" s="91"/>
      <c r="O178" s="91"/>
      <c r="P178" s="91"/>
      <c r="Q178" s="91"/>
      <c r="R178" s="91"/>
      <c r="S178" s="91"/>
    </row>
    <row r="179" spans="1:19" ht="32.1" customHeight="1" x14ac:dyDescent="0.2">
      <c r="A179" s="80"/>
      <c r="B179" s="90"/>
      <c r="C179" s="15"/>
      <c r="D179" s="239"/>
      <c r="E179" s="91"/>
      <c r="F179" s="91"/>
      <c r="G179" s="91"/>
      <c r="H179" s="91"/>
      <c r="I179" s="91"/>
      <c r="J179" s="91"/>
      <c r="K179" s="91"/>
      <c r="L179" s="91"/>
      <c r="M179" s="91"/>
      <c r="N179" s="91"/>
      <c r="O179" s="91"/>
      <c r="P179" s="91"/>
      <c r="Q179" s="91"/>
      <c r="R179" s="91"/>
      <c r="S179" s="91"/>
    </row>
    <row r="180" spans="1:19" ht="32.1" customHeight="1" x14ac:dyDescent="0.2">
      <c r="A180" s="80"/>
      <c r="B180" s="90"/>
      <c r="C180" s="15"/>
      <c r="D180" s="239"/>
      <c r="E180" s="91"/>
      <c r="F180" s="91"/>
      <c r="G180" s="91"/>
      <c r="H180" s="91"/>
      <c r="I180" s="91"/>
      <c r="J180" s="91"/>
      <c r="K180" s="91"/>
      <c r="L180" s="91"/>
      <c r="M180" s="91"/>
      <c r="N180" s="91"/>
      <c r="O180" s="91"/>
      <c r="P180" s="91"/>
      <c r="Q180" s="91"/>
      <c r="R180" s="91"/>
      <c r="S180" s="91"/>
    </row>
    <row r="181" spans="1:19" ht="32.1" customHeight="1" x14ac:dyDescent="0.2">
      <c r="A181" s="80"/>
      <c r="B181" s="90"/>
      <c r="C181" s="15"/>
      <c r="D181" s="239"/>
      <c r="E181" s="91"/>
      <c r="F181" s="91"/>
      <c r="G181" s="91"/>
      <c r="H181" s="91"/>
      <c r="I181" s="91"/>
      <c r="J181" s="91"/>
      <c r="K181" s="91"/>
      <c r="L181" s="91"/>
      <c r="M181" s="91"/>
      <c r="N181" s="91"/>
      <c r="O181" s="91"/>
      <c r="P181" s="91"/>
      <c r="Q181" s="91"/>
      <c r="R181" s="91"/>
      <c r="S181" s="91"/>
    </row>
    <row r="182" spans="1:19" ht="32.1" customHeight="1" x14ac:dyDescent="0.2">
      <c r="A182" s="80"/>
      <c r="B182" s="90"/>
      <c r="C182" s="15"/>
      <c r="D182" s="239"/>
      <c r="E182" s="91"/>
      <c r="F182" s="91"/>
      <c r="G182" s="91"/>
      <c r="H182" s="91"/>
      <c r="I182" s="91"/>
      <c r="J182" s="91"/>
      <c r="K182" s="91"/>
      <c r="L182" s="91"/>
      <c r="M182" s="91"/>
      <c r="N182" s="91"/>
      <c r="O182" s="91"/>
      <c r="P182" s="91"/>
      <c r="Q182" s="91"/>
      <c r="R182" s="91"/>
      <c r="S182" s="91"/>
    </row>
    <row r="183" spans="1:19" ht="32.1" customHeight="1" x14ac:dyDescent="0.2">
      <c r="A183" s="80"/>
      <c r="B183" s="90"/>
      <c r="C183" s="15"/>
      <c r="D183" s="239"/>
      <c r="E183" s="91"/>
      <c r="F183" s="91"/>
      <c r="G183" s="91"/>
      <c r="H183" s="91"/>
      <c r="I183" s="91"/>
      <c r="J183" s="91"/>
      <c r="K183" s="91"/>
      <c r="L183" s="91"/>
      <c r="M183" s="91"/>
      <c r="N183" s="91"/>
      <c r="O183" s="91"/>
      <c r="P183" s="91"/>
      <c r="Q183" s="91"/>
      <c r="R183" s="91"/>
      <c r="S183" s="91"/>
    </row>
    <row r="184" spans="1:19" ht="32.1" customHeight="1" x14ac:dyDescent="0.2">
      <c r="A184" s="80"/>
      <c r="B184" s="90"/>
      <c r="C184" s="15"/>
      <c r="D184" s="239"/>
      <c r="E184" s="91"/>
      <c r="F184" s="91"/>
      <c r="G184" s="91"/>
      <c r="H184" s="91"/>
      <c r="I184" s="91"/>
      <c r="J184" s="91"/>
      <c r="K184" s="91"/>
      <c r="L184" s="91"/>
      <c r="M184" s="91"/>
      <c r="N184" s="91"/>
      <c r="O184" s="91"/>
      <c r="P184" s="91"/>
      <c r="Q184" s="91"/>
      <c r="R184" s="91"/>
      <c r="S184" s="91"/>
    </row>
    <row r="185" spans="1:19" ht="32.1" customHeight="1" x14ac:dyDescent="0.2">
      <c r="A185" s="80"/>
      <c r="B185" s="90"/>
      <c r="C185" s="15"/>
      <c r="D185" s="239"/>
      <c r="E185" s="91"/>
      <c r="F185" s="91"/>
      <c r="G185" s="91"/>
      <c r="H185" s="91"/>
      <c r="I185" s="91"/>
      <c r="J185" s="91"/>
      <c r="K185" s="91"/>
      <c r="L185" s="91"/>
      <c r="M185" s="91"/>
      <c r="N185" s="91"/>
      <c r="O185" s="91"/>
      <c r="P185" s="91"/>
      <c r="Q185" s="91"/>
      <c r="R185" s="91"/>
      <c r="S185" s="91"/>
    </row>
    <row r="186" spans="1:19" ht="32.1" customHeight="1" x14ac:dyDescent="0.2">
      <c r="A186" s="80"/>
      <c r="B186" s="90"/>
      <c r="C186" s="15"/>
      <c r="D186" s="239"/>
      <c r="E186" s="91"/>
      <c r="F186" s="91"/>
      <c r="G186" s="91"/>
      <c r="H186" s="91"/>
      <c r="I186" s="91"/>
      <c r="J186" s="91"/>
      <c r="K186" s="91"/>
      <c r="L186" s="91"/>
      <c r="M186" s="91"/>
      <c r="N186" s="91"/>
      <c r="O186" s="91"/>
      <c r="P186" s="91"/>
      <c r="Q186" s="91"/>
      <c r="R186" s="91"/>
      <c r="S186" s="91"/>
    </row>
    <row r="187" spans="1:19" ht="32.1" customHeight="1" x14ac:dyDescent="0.2">
      <c r="A187" s="80"/>
      <c r="B187" s="90"/>
      <c r="C187" s="15"/>
      <c r="D187" s="239"/>
      <c r="E187" s="91"/>
      <c r="F187" s="91"/>
      <c r="G187" s="91"/>
      <c r="H187" s="91"/>
      <c r="I187" s="91"/>
      <c r="J187" s="91"/>
      <c r="K187" s="91"/>
      <c r="L187" s="91"/>
      <c r="M187" s="91"/>
      <c r="N187" s="91"/>
      <c r="O187" s="91"/>
      <c r="P187" s="91"/>
      <c r="Q187" s="91"/>
      <c r="R187" s="91"/>
      <c r="S187" s="91"/>
    </row>
    <row r="188" spans="1:19" ht="32.1" customHeight="1" x14ac:dyDescent="0.2">
      <c r="A188" s="80"/>
      <c r="B188" s="90"/>
      <c r="C188" s="15"/>
      <c r="D188" s="239"/>
      <c r="E188" s="91"/>
      <c r="F188" s="91"/>
      <c r="G188" s="91"/>
      <c r="H188" s="91"/>
      <c r="I188" s="91"/>
      <c r="J188" s="91"/>
      <c r="K188" s="91"/>
      <c r="L188" s="91"/>
      <c r="M188" s="91"/>
      <c r="N188" s="91"/>
      <c r="O188" s="91"/>
      <c r="P188" s="91"/>
      <c r="Q188" s="91"/>
      <c r="R188" s="91"/>
      <c r="S188" s="91"/>
    </row>
    <row r="189" spans="1:19" ht="32.1" customHeight="1" x14ac:dyDescent="0.2">
      <c r="A189" s="80"/>
      <c r="B189" s="90"/>
      <c r="C189" s="15"/>
      <c r="D189" s="239"/>
      <c r="E189" s="91"/>
      <c r="F189" s="91"/>
      <c r="G189" s="91"/>
      <c r="H189" s="91"/>
      <c r="I189" s="91"/>
      <c r="J189" s="91"/>
      <c r="K189" s="91"/>
      <c r="L189" s="91"/>
      <c r="M189" s="91"/>
      <c r="N189" s="91"/>
      <c r="O189" s="91"/>
      <c r="P189" s="91"/>
      <c r="Q189" s="91"/>
      <c r="R189" s="91"/>
      <c r="S189" s="91"/>
    </row>
    <row r="190" spans="1:19" ht="32.1" customHeight="1" x14ac:dyDescent="0.2">
      <c r="A190" s="80"/>
      <c r="B190" s="90"/>
      <c r="C190" s="15"/>
      <c r="D190" s="239"/>
      <c r="E190" s="91"/>
      <c r="F190" s="91"/>
      <c r="G190" s="91"/>
      <c r="H190" s="91"/>
      <c r="I190" s="91"/>
      <c r="J190" s="91"/>
      <c r="K190" s="91"/>
      <c r="L190" s="91"/>
      <c r="M190" s="91"/>
      <c r="N190" s="91"/>
      <c r="O190" s="91"/>
      <c r="P190" s="91"/>
      <c r="Q190" s="91"/>
      <c r="R190" s="91"/>
      <c r="S190" s="91"/>
    </row>
    <row r="191" spans="1:19" ht="32.1" customHeight="1" x14ac:dyDescent="0.2">
      <c r="A191" s="80"/>
      <c r="B191" s="90"/>
      <c r="C191" s="15"/>
      <c r="D191" s="239"/>
      <c r="E191" s="91"/>
      <c r="F191" s="91"/>
      <c r="G191" s="91"/>
      <c r="H191" s="91"/>
      <c r="I191" s="91"/>
      <c r="J191" s="91"/>
      <c r="K191" s="91"/>
      <c r="L191" s="91"/>
      <c r="M191" s="91"/>
      <c r="N191" s="91"/>
      <c r="O191" s="91"/>
      <c r="P191" s="91"/>
      <c r="Q191" s="91"/>
      <c r="R191" s="91"/>
      <c r="S191" s="91"/>
    </row>
    <row r="192" spans="1:19" ht="32.1" customHeight="1" x14ac:dyDescent="0.2">
      <c r="A192" s="80"/>
      <c r="B192" s="90"/>
      <c r="C192" s="15"/>
      <c r="D192" s="239"/>
      <c r="E192" s="91"/>
      <c r="F192" s="91"/>
      <c r="G192" s="91"/>
      <c r="H192" s="91"/>
      <c r="I192" s="91"/>
      <c r="J192" s="91"/>
      <c r="K192" s="91"/>
      <c r="L192" s="91"/>
      <c r="M192" s="91"/>
      <c r="N192" s="91"/>
      <c r="O192" s="91"/>
      <c r="P192" s="91"/>
      <c r="Q192" s="91"/>
      <c r="R192" s="91"/>
      <c r="S192" s="91"/>
    </row>
    <row r="193" spans="1:19" ht="32.1" customHeight="1" x14ac:dyDescent="0.2">
      <c r="A193" s="80"/>
      <c r="B193" s="90"/>
      <c r="C193" s="15"/>
      <c r="D193" s="239"/>
      <c r="E193" s="91"/>
      <c r="F193" s="91"/>
      <c r="G193" s="91"/>
      <c r="H193" s="91"/>
      <c r="I193" s="91"/>
      <c r="J193" s="91"/>
      <c r="K193" s="91"/>
      <c r="L193" s="91"/>
      <c r="M193" s="91"/>
      <c r="N193" s="91"/>
      <c r="O193" s="91"/>
      <c r="P193" s="91"/>
      <c r="Q193" s="91"/>
      <c r="R193" s="91"/>
      <c r="S193" s="91"/>
    </row>
    <row r="194" spans="1:19" ht="32.1" customHeight="1" x14ac:dyDescent="0.2">
      <c r="A194" s="80"/>
      <c r="B194" s="90"/>
      <c r="C194" s="15"/>
      <c r="D194" s="239"/>
      <c r="E194" s="91"/>
      <c r="F194" s="91"/>
      <c r="G194" s="91"/>
      <c r="H194" s="91"/>
      <c r="I194" s="91"/>
      <c r="J194" s="91"/>
      <c r="K194" s="91"/>
      <c r="L194" s="91"/>
      <c r="M194" s="91"/>
      <c r="N194" s="91"/>
      <c r="O194" s="91"/>
      <c r="P194" s="91"/>
      <c r="Q194" s="91"/>
      <c r="R194" s="91"/>
      <c r="S194" s="91"/>
    </row>
    <row r="195" spans="1:19" ht="32.1" customHeight="1" x14ac:dyDescent="0.2">
      <c r="A195" s="80"/>
      <c r="B195" s="90"/>
      <c r="C195" s="15"/>
      <c r="D195" s="239"/>
      <c r="E195" s="91"/>
      <c r="F195" s="91"/>
      <c r="G195" s="91"/>
      <c r="H195" s="91"/>
      <c r="I195" s="91"/>
      <c r="J195" s="91"/>
      <c r="K195" s="91"/>
      <c r="L195" s="91"/>
      <c r="M195" s="91"/>
      <c r="N195" s="91"/>
      <c r="O195" s="91"/>
      <c r="P195" s="91"/>
      <c r="Q195" s="91"/>
      <c r="R195" s="91"/>
      <c r="S195" s="91"/>
    </row>
    <row r="196" spans="1:19" ht="32.1" customHeight="1" x14ac:dyDescent="0.2">
      <c r="A196" s="80"/>
      <c r="B196" s="90"/>
      <c r="C196" s="15"/>
      <c r="D196" s="239"/>
      <c r="E196" s="91"/>
      <c r="F196" s="91"/>
      <c r="G196" s="91"/>
      <c r="H196" s="91"/>
      <c r="I196" s="91"/>
      <c r="J196" s="91"/>
      <c r="K196" s="91"/>
      <c r="L196" s="91"/>
      <c r="M196" s="91"/>
      <c r="N196" s="91"/>
      <c r="O196" s="91"/>
      <c r="P196" s="91"/>
      <c r="Q196" s="91"/>
      <c r="R196" s="91"/>
      <c r="S196" s="91"/>
    </row>
    <row r="197" spans="1:19" ht="32.1" customHeight="1" x14ac:dyDescent="0.2">
      <c r="A197" s="80"/>
      <c r="B197" s="90"/>
      <c r="C197" s="15"/>
      <c r="D197" s="239"/>
      <c r="E197" s="91"/>
      <c r="F197" s="91"/>
      <c r="G197" s="91"/>
      <c r="H197" s="91"/>
      <c r="I197" s="91"/>
      <c r="J197" s="91"/>
      <c r="K197" s="91"/>
      <c r="L197" s="91"/>
      <c r="M197" s="91"/>
      <c r="N197" s="91"/>
      <c r="O197" s="91"/>
      <c r="P197" s="91"/>
      <c r="Q197" s="91"/>
      <c r="R197" s="91"/>
      <c r="S197" s="91"/>
    </row>
    <row r="198" spans="1:19" ht="32.1" customHeight="1" x14ac:dyDescent="0.2">
      <c r="A198" s="80"/>
      <c r="B198" s="90"/>
      <c r="C198" s="15"/>
      <c r="D198" s="239"/>
      <c r="E198" s="91"/>
      <c r="F198" s="91"/>
      <c r="G198" s="91"/>
      <c r="H198" s="91"/>
      <c r="I198" s="91"/>
      <c r="J198" s="91"/>
      <c r="K198" s="91"/>
      <c r="L198" s="91"/>
      <c r="M198" s="91"/>
      <c r="N198" s="91"/>
      <c r="O198" s="91"/>
      <c r="P198" s="91"/>
      <c r="Q198" s="91"/>
      <c r="R198" s="91"/>
      <c r="S198" s="91"/>
    </row>
    <row r="199" spans="1:19" ht="32.1" customHeight="1" x14ac:dyDescent="0.2">
      <c r="A199" s="80"/>
      <c r="B199" s="90"/>
      <c r="C199" s="15"/>
      <c r="D199" s="239"/>
      <c r="E199" s="91"/>
      <c r="F199" s="91"/>
      <c r="G199" s="91"/>
      <c r="H199" s="91"/>
      <c r="I199" s="91"/>
      <c r="J199" s="91"/>
      <c r="K199" s="91"/>
      <c r="L199" s="91"/>
      <c r="M199" s="91"/>
      <c r="N199" s="91"/>
      <c r="O199" s="91"/>
      <c r="P199" s="91"/>
      <c r="Q199" s="91"/>
      <c r="R199" s="91"/>
      <c r="S199" s="91"/>
    </row>
    <row r="200" spans="1:19" ht="12.75" customHeight="1" x14ac:dyDescent="0.2">
      <c r="A200" s="80"/>
      <c r="B200" s="90"/>
      <c r="C200" s="15"/>
      <c r="D200" s="239"/>
      <c r="E200" s="91"/>
      <c r="F200" s="91"/>
      <c r="G200" s="91"/>
      <c r="H200" s="91"/>
      <c r="I200" s="91"/>
      <c r="J200" s="91"/>
      <c r="K200" s="91"/>
      <c r="L200" s="91"/>
      <c r="M200" s="91"/>
      <c r="N200" s="91"/>
      <c r="O200" s="91"/>
      <c r="P200" s="91"/>
      <c r="Q200" s="91"/>
      <c r="R200" s="91"/>
      <c r="S200" s="91"/>
    </row>
    <row r="201" spans="1:19" ht="12.75" customHeight="1" x14ac:dyDescent="0.2">
      <c r="A201" s="80"/>
      <c r="B201" s="90"/>
      <c r="C201" s="15"/>
      <c r="D201" s="239"/>
      <c r="E201" s="91"/>
      <c r="F201" s="91"/>
      <c r="G201" s="91"/>
      <c r="H201" s="91"/>
      <c r="I201" s="91"/>
      <c r="J201" s="91"/>
      <c r="K201" s="91"/>
      <c r="L201" s="91"/>
      <c r="M201" s="91"/>
      <c r="N201" s="91"/>
      <c r="O201" s="91"/>
      <c r="P201" s="91"/>
      <c r="Q201" s="91"/>
      <c r="R201" s="91"/>
      <c r="S201" s="91"/>
    </row>
    <row r="202" spans="1:19" ht="12.75" customHeight="1" x14ac:dyDescent="0.2">
      <c r="A202" s="80"/>
      <c r="B202" s="90"/>
      <c r="C202" s="15"/>
      <c r="D202" s="239"/>
      <c r="E202" s="91"/>
      <c r="F202" s="91"/>
      <c r="G202" s="91"/>
      <c r="H202" s="91"/>
      <c r="I202" s="91"/>
      <c r="J202" s="91"/>
      <c r="K202" s="91"/>
      <c r="L202" s="91"/>
      <c r="M202" s="91"/>
      <c r="N202" s="91"/>
      <c r="O202" s="91"/>
      <c r="P202" s="91"/>
      <c r="Q202" s="91"/>
      <c r="R202" s="91"/>
      <c r="S202" s="91"/>
    </row>
    <row r="203" spans="1:19" ht="12.75" customHeight="1" x14ac:dyDescent="0.2">
      <c r="A203" s="80"/>
      <c r="B203" s="90"/>
      <c r="C203" s="15"/>
      <c r="D203" s="239"/>
      <c r="E203" s="91"/>
      <c r="F203" s="91"/>
      <c r="G203" s="91"/>
      <c r="H203" s="91"/>
      <c r="I203" s="91"/>
      <c r="J203" s="91"/>
      <c r="K203" s="91"/>
      <c r="L203" s="91"/>
      <c r="M203" s="91"/>
      <c r="N203" s="91"/>
      <c r="O203" s="91"/>
      <c r="P203" s="91"/>
      <c r="Q203" s="91"/>
      <c r="R203" s="91"/>
      <c r="S203" s="91"/>
    </row>
    <row r="204" spans="1:19" ht="12.75" customHeight="1" x14ac:dyDescent="0.2">
      <c r="A204" s="80"/>
      <c r="B204" s="90"/>
      <c r="C204" s="15"/>
      <c r="D204" s="239"/>
      <c r="E204" s="91"/>
      <c r="F204" s="91"/>
      <c r="G204" s="91"/>
      <c r="H204" s="91"/>
      <c r="I204" s="91"/>
      <c r="J204" s="91"/>
      <c r="K204" s="91"/>
      <c r="L204" s="91"/>
      <c r="M204" s="91"/>
      <c r="N204" s="91"/>
      <c r="O204" s="91"/>
      <c r="P204" s="91"/>
      <c r="Q204" s="91"/>
      <c r="R204" s="91"/>
      <c r="S204" s="91"/>
    </row>
    <row r="205" spans="1:19" ht="12.75" customHeight="1" x14ac:dyDescent="0.2">
      <c r="A205" s="80"/>
      <c r="B205" s="90"/>
      <c r="C205" s="15"/>
      <c r="D205" s="239"/>
      <c r="E205" s="91"/>
      <c r="F205" s="91"/>
      <c r="G205" s="91"/>
      <c r="H205" s="91"/>
      <c r="I205" s="91"/>
      <c r="J205" s="91"/>
      <c r="K205" s="91"/>
      <c r="L205" s="91"/>
      <c r="M205" s="91"/>
      <c r="N205" s="91"/>
      <c r="O205" s="91"/>
      <c r="P205" s="91"/>
      <c r="Q205" s="91"/>
      <c r="R205" s="91"/>
      <c r="S205" s="91"/>
    </row>
    <row r="206" spans="1:19" ht="12.75" customHeight="1" x14ac:dyDescent="0.2">
      <c r="A206" s="80"/>
      <c r="B206" s="90"/>
      <c r="C206" s="15"/>
      <c r="D206" s="239"/>
      <c r="E206" s="91"/>
      <c r="F206" s="91"/>
      <c r="G206" s="91"/>
      <c r="H206" s="91"/>
      <c r="I206" s="91"/>
      <c r="J206" s="91"/>
      <c r="K206" s="91"/>
      <c r="L206" s="91"/>
      <c r="M206" s="91"/>
      <c r="N206" s="91"/>
      <c r="O206" s="91"/>
      <c r="P206" s="91"/>
      <c r="Q206" s="91"/>
      <c r="R206" s="91"/>
      <c r="S206" s="91"/>
    </row>
    <row r="207" spans="1:19" ht="12.75" customHeight="1" x14ac:dyDescent="0.2">
      <c r="A207" s="80"/>
      <c r="B207" s="90"/>
      <c r="C207" s="15"/>
      <c r="D207" s="239"/>
      <c r="E207" s="91"/>
      <c r="F207" s="91"/>
      <c r="G207" s="91"/>
      <c r="H207" s="91"/>
      <c r="I207" s="91"/>
      <c r="J207" s="91"/>
      <c r="K207" s="91"/>
      <c r="L207" s="91"/>
      <c r="M207" s="91"/>
      <c r="N207" s="91"/>
      <c r="O207" s="91"/>
      <c r="P207" s="91"/>
      <c r="Q207" s="91"/>
      <c r="R207" s="91"/>
      <c r="S207" s="91"/>
    </row>
    <row r="208" spans="1:19" ht="12.75" customHeight="1" x14ac:dyDescent="0.2">
      <c r="A208" s="80"/>
      <c r="B208" s="90"/>
      <c r="C208" s="15"/>
      <c r="D208" s="239"/>
      <c r="E208" s="91"/>
      <c r="F208" s="91"/>
      <c r="G208" s="91"/>
      <c r="H208" s="91"/>
      <c r="I208" s="91"/>
      <c r="J208" s="91"/>
      <c r="K208" s="91"/>
      <c r="L208" s="91"/>
      <c r="M208" s="91"/>
      <c r="N208" s="91"/>
      <c r="O208" s="91"/>
      <c r="P208" s="91"/>
      <c r="Q208" s="91"/>
      <c r="R208" s="91"/>
      <c r="S208" s="91"/>
    </row>
    <row r="209" spans="1:19" ht="12.75" customHeight="1" x14ac:dyDescent="0.2">
      <c r="A209" s="80"/>
      <c r="B209" s="90"/>
      <c r="C209" s="15"/>
      <c r="D209" s="239"/>
      <c r="E209" s="91"/>
      <c r="F209" s="91"/>
      <c r="G209" s="91"/>
      <c r="H209" s="91"/>
      <c r="I209" s="91"/>
      <c r="J209" s="91"/>
      <c r="K209" s="91"/>
      <c r="L209" s="91"/>
      <c r="M209" s="91"/>
      <c r="N209" s="91"/>
      <c r="O209" s="91"/>
      <c r="P209" s="91"/>
      <c r="Q209" s="91"/>
      <c r="R209" s="91"/>
      <c r="S209" s="91"/>
    </row>
    <row r="210" spans="1:19" ht="12.75" customHeight="1" x14ac:dyDescent="0.2">
      <c r="A210" s="80"/>
      <c r="B210" s="90"/>
      <c r="C210" s="15"/>
      <c r="D210" s="239"/>
      <c r="E210" s="91"/>
      <c r="F210" s="91"/>
      <c r="G210" s="91"/>
      <c r="H210" s="91"/>
      <c r="I210" s="91"/>
      <c r="J210" s="91"/>
      <c r="K210" s="91"/>
      <c r="L210" s="91"/>
      <c r="M210" s="91"/>
      <c r="N210" s="91"/>
      <c r="O210" s="91"/>
      <c r="P210" s="91"/>
      <c r="Q210" s="91"/>
      <c r="R210" s="91"/>
      <c r="S210" s="91"/>
    </row>
    <row r="211" spans="1:19" ht="12.75" customHeight="1" x14ac:dyDescent="0.2">
      <c r="A211" s="80"/>
      <c r="B211" s="90"/>
      <c r="C211" s="15"/>
      <c r="D211" s="239"/>
      <c r="E211" s="91"/>
      <c r="F211" s="91"/>
      <c r="G211" s="91"/>
      <c r="H211" s="91"/>
      <c r="I211" s="91"/>
      <c r="J211" s="91"/>
      <c r="K211" s="91"/>
      <c r="L211" s="91"/>
      <c r="M211" s="91"/>
      <c r="N211" s="91"/>
      <c r="O211" s="91"/>
      <c r="P211" s="91"/>
      <c r="Q211" s="91"/>
      <c r="R211" s="91"/>
      <c r="S211" s="91"/>
    </row>
    <row r="212" spans="1:19" ht="12.75" customHeight="1" x14ac:dyDescent="0.2">
      <c r="A212" s="80"/>
      <c r="B212" s="90"/>
      <c r="C212" s="15"/>
      <c r="D212" s="239"/>
      <c r="E212" s="91"/>
      <c r="F212" s="91"/>
      <c r="G212" s="91"/>
      <c r="H212" s="91"/>
      <c r="I212" s="91"/>
      <c r="J212" s="91"/>
      <c r="K212" s="91"/>
      <c r="L212" s="91"/>
      <c r="M212" s="91"/>
      <c r="N212" s="91"/>
      <c r="O212" s="91"/>
      <c r="P212" s="91"/>
      <c r="Q212" s="91"/>
      <c r="R212" s="91"/>
      <c r="S212" s="91"/>
    </row>
    <row r="213" spans="1:19" ht="12.75" customHeight="1" x14ac:dyDescent="0.2">
      <c r="A213" s="80"/>
      <c r="B213" s="90"/>
      <c r="C213" s="15"/>
      <c r="D213" s="239"/>
      <c r="E213" s="91"/>
      <c r="F213" s="91"/>
      <c r="G213" s="91"/>
      <c r="H213" s="91"/>
      <c r="I213" s="91"/>
      <c r="J213" s="91"/>
      <c r="K213" s="91"/>
      <c r="L213" s="91"/>
      <c r="M213" s="91"/>
      <c r="N213" s="91"/>
      <c r="O213" s="91"/>
      <c r="P213" s="91"/>
      <c r="Q213" s="91"/>
      <c r="R213" s="91"/>
      <c r="S213" s="91"/>
    </row>
    <row r="214" spans="1:19" ht="12.75" customHeight="1" x14ac:dyDescent="0.2">
      <c r="A214" s="80"/>
      <c r="B214" s="90"/>
      <c r="C214" s="15"/>
      <c r="D214" s="239"/>
      <c r="E214" s="91"/>
      <c r="F214" s="91"/>
      <c r="G214" s="91"/>
      <c r="H214" s="91"/>
      <c r="I214" s="91"/>
      <c r="J214" s="91"/>
      <c r="K214" s="91"/>
      <c r="L214" s="91"/>
      <c r="M214" s="91"/>
      <c r="N214" s="91"/>
      <c r="O214" s="91"/>
      <c r="P214" s="91"/>
      <c r="Q214" s="91"/>
      <c r="R214" s="91"/>
      <c r="S214" s="91"/>
    </row>
    <row r="215" spans="1:19" ht="12.75" customHeight="1" x14ac:dyDescent="0.2">
      <c r="A215" s="80"/>
      <c r="B215" s="90"/>
      <c r="C215" s="15"/>
      <c r="D215" s="239"/>
      <c r="E215" s="91"/>
      <c r="F215" s="91"/>
      <c r="G215" s="91"/>
      <c r="H215" s="91"/>
      <c r="I215" s="91"/>
      <c r="J215" s="91"/>
      <c r="K215" s="91"/>
      <c r="L215" s="91"/>
      <c r="M215" s="91"/>
      <c r="N215" s="91"/>
      <c r="O215" s="91"/>
      <c r="P215" s="91"/>
      <c r="Q215" s="91"/>
      <c r="R215" s="91"/>
      <c r="S215" s="91"/>
    </row>
    <row r="216" spans="1:19" ht="12.75" customHeight="1" x14ac:dyDescent="0.2">
      <c r="A216" s="80"/>
      <c r="B216" s="90"/>
      <c r="C216" s="15"/>
      <c r="D216" s="239"/>
      <c r="E216" s="91"/>
      <c r="F216" s="91"/>
      <c r="G216" s="91"/>
      <c r="H216" s="91"/>
      <c r="I216" s="91"/>
      <c r="J216" s="91"/>
      <c r="K216" s="91"/>
      <c r="L216" s="91"/>
      <c r="M216" s="91"/>
      <c r="N216" s="91"/>
      <c r="O216" s="91"/>
      <c r="P216" s="91"/>
      <c r="Q216" s="91"/>
      <c r="R216" s="91"/>
      <c r="S216" s="91"/>
    </row>
    <row r="217" spans="1:19" ht="12.75" customHeight="1" x14ac:dyDescent="0.2">
      <c r="A217" s="80"/>
      <c r="B217" s="90"/>
      <c r="C217" s="15"/>
      <c r="D217" s="239"/>
      <c r="E217" s="91"/>
      <c r="F217" s="91"/>
      <c r="G217" s="91"/>
      <c r="H217" s="91"/>
      <c r="I217" s="91"/>
      <c r="J217" s="91"/>
      <c r="K217" s="91"/>
      <c r="L217" s="91"/>
      <c r="M217" s="91"/>
      <c r="N217" s="91"/>
      <c r="O217" s="91"/>
      <c r="P217" s="91"/>
      <c r="Q217" s="91"/>
      <c r="R217" s="91"/>
      <c r="S217" s="91"/>
    </row>
    <row r="218" spans="1:19" ht="12.75" customHeight="1" x14ac:dyDescent="0.2">
      <c r="A218" s="80"/>
      <c r="B218" s="90"/>
      <c r="C218" s="15"/>
      <c r="D218" s="239"/>
      <c r="E218" s="91"/>
      <c r="F218" s="91"/>
      <c r="G218" s="91"/>
      <c r="H218" s="91"/>
      <c r="I218" s="91"/>
      <c r="J218" s="91"/>
      <c r="K218" s="91"/>
      <c r="L218" s="91"/>
      <c r="M218" s="91"/>
      <c r="N218" s="91"/>
      <c r="O218" s="91"/>
      <c r="P218" s="91"/>
      <c r="Q218" s="91"/>
      <c r="R218" s="91"/>
      <c r="S218" s="91"/>
    </row>
    <row r="219" spans="1:19" ht="12.75" customHeight="1" x14ac:dyDescent="0.2">
      <c r="A219" s="80"/>
      <c r="B219" s="90"/>
      <c r="C219" s="15"/>
      <c r="D219" s="239"/>
      <c r="E219" s="91"/>
      <c r="F219" s="91"/>
      <c r="G219" s="91"/>
      <c r="H219" s="91"/>
      <c r="I219" s="91"/>
      <c r="J219" s="91"/>
      <c r="K219" s="91"/>
      <c r="L219" s="91"/>
      <c r="M219" s="91"/>
      <c r="N219" s="91"/>
      <c r="O219" s="91"/>
      <c r="P219" s="91"/>
      <c r="Q219" s="91"/>
      <c r="R219" s="91"/>
      <c r="S219" s="91"/>
    </row>
    <row r="220" spans="1:19" ht="12.75" customHeight="1" x14ac:dyDescent="0.2">
      <c r="A220" s="80"/>
      <c r="B220" s="90"/>
      <c r="C220" s="15"/>
      <c r="D220" s="239"/>
      <c r="E220" s="91"/>
      <c r="F220" s="91"/>
      <c r="G220" s="91"/>
      <c r="H220" s="91"/>
      <c r="I220" s="91"/>
      <c r="J220" s="91"/>
      <c r="K220" s="91"/>
      <c r="L220" s="91"/>
      <c r="M220" s="91"/>
      <c r="N220" s="91"/>
      <c r="O220" s="91"/>
      <c r="P220" s="91"/>
      <c r="Q220" s="91"/>
      <c r="R220" s="91"/>
      <c r="S220" s="91"/>
    </row>
    <row r="221" spans="1:19" ht="12.75" customHeight="1" x14ac:dyDescent="0.2">
      <c r="A221" s="80"/>
      <c r="B221" s="90"/>
      <c r="C221" s="15"/>
      <c r="D221" s="239"/>
      <c r="E221" s="91"/>
      <c r="F221" s="91"/>
      <c r="G221" s="91"/>
      <c r="H221" s="91"/>
      <c r="I221" s="91"/>
      <c r="J221" s="91"/>
      <c r="K221" s="91"/>
      <c r="L221" s="91"/>
      <c r="M221" s="91"/>
      <c r="N221" s="91"/>
      <c r="O221" s="91"/>
      <c r="P221" s="91"/>
      <c r="Q221" s="91"/>
      <c r="R221" s="91"/>
      <c r="S221" s="91"/>
    </row>
    <row r="222" spans="1:19" ht="12.75" customHeight="1" x14ac:dyDescent="0.2">
      <c r="A222" s="80"/>
      <c r="B222" s="90"/>
      <c r="C222" s="15"/>
      <c r="D222" s="239"/>
      <c r="E222" s="91"/>
      <c r="F222" s="91"/>
      <c r="G222" s="91"/>
      <c r="H222" s="91"/>
      <c r="I222" s="91"/>
      <c r="J222" s="91"/>
      <c r="K222" s="91"/>
      <c r="L222" s="91"/>
      <c r="M222" s="91"/>
      <c r="N222" s="91"/>
      <c r="O222" s="91"/>
      <c r="P222" s="91"/>
      <c r="Q222" s="91"/>
      <c r="R222" s="91"/>
      <c r="S222" s="91"/>
    </row>
    <row r="223" spans="1:19" ht="12.75" customHeight="1" x14ac:dyDescent="0.2">
      <c r="A223" s="80"/>
      <c r="B223" s="90"/>
      <c r="C223" s="15"/>
      <c r="D223" s="239"/>
      <c r="E223" s="91"/>
      <c r="F223" s="91"/>
      <c r="G223" s="91"/>
      <c r="H223" s="91"/>
      <c r="I223" s="91"/>
      <c r="J223" s="91"/>
      <c r="K223" s="91"/>
      <c r="L223" s="91"/>
      <c r="M223" s="91"/>
      <c r="N223" s="91"/>
      <c r="O223" s="91"/>
      <c r="P223" s="91"/>
      <c r="Q223" s="91"/>
      <c r="R223" s="91"/>
      <c r="S223" s="91"/>
    </row>
    <row r="224" spans="1:19" ht="12.75" customHeight="1" x14ac:dyDescent="0.2">
      <c r="A224" s="80"/>
      <c r="B224" s="90"/>
      <c r="C224" s="15"/>
      <c r="D224" s="239"/>
      <c r="E224" s="91"/>
      <c r="F224" s="91"/>
      <c r="G224" s="91"/>
      <c r="H224" s="91"/>
      <c r="I224" s="91"/>
      <c r="J224" s="91"/>
      <c r="K224" s="91"/>
      <c r="L224" s="91"/>
      <c r="M224" s="91"/>
      <c r="N224" s="91"/>
      <c r="O224" s="91"/>
      <c r="P224" s="91"/>
      <c r="Q224" s="91"/>
      <c r="R224" s="91"/>
      <c r="S224" s="91"/>
    </row>
    <row r="225" spans="1:19" ht="12.75" customHeight="1" x14ac:dyDescent="0.2">
      <c r="A225" s="80"/>
      <c r="B225" s="90"/>
      <c r="C225" s="15"/>
      <c r="D225" s="239"/>
      <c r="E225" s="91"/>
      <c r="F225" s="91"/>
      <c r="G225" s="91"/>
      <c r="H225" s="91"/>
      <c r="I225" s="91"/>
      <c r="J225" s="91"/>
      <c r="K225" s="91"/>
      <c r="L225" s="91"/>
      <c r="M225" s="91"/>
      <c r="N225" s="91"/>
      <c r="O225" s="91"/>
      <c r="P225" s="91"/>
      <c r="Q225" s="91"/>
      <c r="R225" s="91"/>
      <c r="S225" s="91"/>
    </row>
    <row r="226" spans="1:19" ht="12.75" customHeight="1" x14ac:dyDescent="0.2">
      <c r="A226" s="80"/>
      <c r="B226" s="90"/>
      <c r="C226" s="15"/>
      <c r="D226" s="239"/>
      <c r="E226" s="91"/>
      <c r="F226" s="91"/>
      <c r="G226" s="91"/>
      <c r="H226" s="91"/>
      <c r="I226" s="91"/>
      <c r="J226" s="91"/>
      <c r="K226" s="91"/>
      <c r="L226" s="91"/>
      <c r="M226" s="91"/>
      <c r="N226" s="91"/>
      <c r="O226" s="91"/>
      <c r="P226" s="91"/>
      <c r="Q226" s="91"/>
      <c r="R226" s="91"/>
      <c r="S226" s="91"/>
    </row>
    <row r="227" spans="1:19" ht="12.75" customHeight="1" x14ac:dyDescent="0.2">
      <c r="A227" s="80"/>
      <c r="B227" s="90"/>
      <c r="C227" s="15"/>
      <c r="D227" s="239"/>
      <c r="E227" s="91"/>
      <c r="F227" s="91"/>
      <c r="G227" s="91"/>
      <c r="H227" s="91"/>
      <c r="I227" s="91"/>
      <c r="J227" s="91"/>
      <c r="K227" s="91"/>
      <c r="L227" s="91"/>
      <c r="M227" s="91"/>
      <c r="N227" s="91"/>
      <c r="O227" s="91"/>
      <c r="P227" s="91"/>
      <c r="Q227" s="91"/>
      <c r="R227" s="91"/>
      <c r="S227" s="91"/>
    </row>
    <row r="228" spans="1:19" ht="12.75" customHeight="1" x14ac:dyDescent="0.2">
      <c r="A228" s="80"/>
      <c r="B228" s="90"/>
      <c r="C228" s="15"/>
      <c r="D228" s="239"/>
      <c r="E228" s="91"/>
      <c r="F228" s="91"/>
      <c r="G228" s="91"/>
      <c r="H228" s="91"/>
      <c r="I228" s="91"/>
      <c r="J228" s="91"/>
      <c r="K228" s="91"/>
      <c r="L228" s="91"/>
      <c r="M228" s="91"/>
      <c r="N228" s="91"/>
      <c r="O228" s="91"/>
      <c r="P228" s="91"/>
      <c r="Q228" s="91"/>
      <c r="R228" s="91"/>
      <c r="S228" s="91"/>
    </row>
    <row r="229" spans="1:19" ht="12.75" customHeight="1" x14ac:dyDescent="0.2">
      <c r="A229" s="80"/>
      <c r="B229" s="90"/>
      <c r="C229" s="15"/>
      <c r="D229" s="239"/>
      <c r="E229" s="91"/>
      <c r="F229" s="91"/>
      <c r="G229" s="91"/>
      <c r="H229" s="91"/>
      <c r="I229" s="91"/>
      <c r="J229" s="91"/>
      <c r="K229" s="91"/>
      <c r="L229" s="91"/>
      <c r="M229" s="91"/>
      <c r="N229" s="91"/>
      <c r="O229" s="91"/>
      <c r="P229" s="91"/>
      <c r="Q229" s="91"/>
      <c r="R229" s="91"/>
      <c r="S229" s="91"/>
    </row>
    <row r="230" spans="1:19" ht="12.75" customHeight="1" x14ac:dyDescent="0.2">
      <c r="A230" s="80"/>
      <c r="B230" s="90"/>
      <c r="C230" s="15"/>
      <c r="D230" s="239"/>
      <c r="E230" s="91"/>
      <c r="F230" s="91"/>
      <c r="G230" s="91"/>
      <c r="H230" s="91"/>
      <c r="I230" s="91"/>
      <c r="J230" s="91"/>
      <c r="K230" s="91"/>
      <c r="L230" s="91"/>
      <c r="M230" s="91"/>
      <c r="N230" s="91"/>
      <c r="O230" s="91"/>
      <c r="P230" s="91"/>
      <c r="Q230" s="91"/>
      <c r="R230" s="91"/>
      <c r="S230" s="91"/>
    </row>
    <row r="231" spans="1:19" ht="12.75" customHeight="1" x14ac:dyDescent="0.2">
      <c r="A231" s="80"/>
      <c r="B231" s="90"/>
      <c r="C231" s="15"/>
      <c r="D231" s="239"/>
      <c r="E231" s="91"/>
      <c r="F231" s="91"/>
      <c r="G231" s="91"/>
      <c r="H231" s="91"/>
      <c r="I231" s="91"/>
      <c r="J231" s="91"/>
      <c r="K231" s="91"/>
      <c r="L231" s="91"/>
      <c r="M231" s="91"/>
      <c r="N231" s="91"/>
      <c r="O231" s="91"/>
      <c r="P231" s="91"/>
      <c r="Q231" s="91"/>
      <c r="R231" s="91"/>
      <c r="S231" s="91"/>
    </row>
    <row r="232" spans="1:19" ht="12.75" customHeight="1" x14ac:dyDescent="0.2">
      <c r="A232" s="80"/>
      <c r="B232" s="90"/>
      <c r="C232" s="15"/>
      <c r="D232" s="239"/>
      <c r="E232" s="91"/>
      <c r="F232" s="91"/>
      <c r="G232" s="91"/>
      <c r="H232" s="91"/>
      <c r="I232" s="91"/>
      <c r="J232" s="91"/>
      <c r="K232" s="91"/>
      <c r="L232" s="91"/>
      <c r="M232" s="91"/>
      <c r="N232" s="91"/>
      <c r="O232" s="91"/>
      <c r="P232" s="91"/>
      <c r="Q232" s="91"/>
      <c r="R232" s="91"/>
      <c r="S232" s="91"/>
    </row>
    <row r="233" spans="1:19" ht="12.75" customHeight="1" x14ac:dyDescent="0.2">
      <c r="A233" s="80"/>
      <c r="B233" s="90"/>
      <c r="C233" s="15"/>
      <c r="D233" s="239"/>
      <c r="E233" s="91"/>
      <c r="F233" s="91"/>
      <c r="G233" s="91"/>
      <c r="H233" s="91"/>
      <c r="I233" s="91"/>
      <c r="J233" s="91"/>
      <c r="K233" s="91"/>
      <c r="L233" s="91"/>
      <c r="M233" s="91"/>
      <c r="N233" s="91"/>
      <c r="O233" s="91"/>
      <c r="P233" s="91"/>
      <c r="Q233" s="91"/>
      <c r="R233" s="91"/>
      <c r="S233" s="91"/>
    </row>
    <row r="234" spans="1:19" ht="12.75" customHeight="1" x14ac:dyDescent="0.2">
      <c r="A234" s="80"/>
      <c r="B234" s="90"/>
      <c r="C234" s="15"/>
      <c r="D234" s="239"/>
      <c r="E234" s="91"/>
      <c r="F234" s="91"/>
      <c r="G234" s="91"/>
      <c r="H234" s="91"/>
      <c r="I234" s="91"/>
      <c r="J234" s="91"/>
      <c r="K234" s="91"/>
      <c r="L234" s="91"/>
      <c r="M234" s="91"/>
      <c r="N234" s="91"/>
      <c r="O234" s="91"/>
      <c r="P234" s="91"/>
      <c r="Q234" s="91"/>
      <c r="R234" s="91"/>
      <c r="S234" s="91"/>
    </row>
    <row r="235" spans="1:19" ht="12.75" customHeight="1" x14ac:dyDescent="0.2">
      <c r="A235" s="80"/>
      <c r="B235" s="90"/>
      <c r="C235" s="15"/>
      <c r="D235" s="239"/>
      <c r="E235" s="91"/>
      <c r="F235" s="91"/>
      <c r="G235" s="91"/>
      <c r="H235" s="91"/>
      <c r="I235" s="91"/>
      <c r="J235" s="91"/>
      <c r="K235" s="91"/>
      <c r="L235" s="91"/>
      <c r="M235" s="91"/>
      <c r="N235" s="91"/>
      <c r="O235" s="91"/>
      <c r="P235" s="91"/>
      <c r="Q235" s="91"/>
      <c r="R235" s="91"/>
      <c r="S235" s="91"/>
    </row>
    <row r="236" spans="1:19" ht="12.75" customHeight="1" x14ac:dyDescent="0.2">
      <c r="A236" s="80"/>
      <c r="B236" s="90"/>
      <c r="C236" s="15"/>
      <c r="D236" s="239"/>
      <c r="E236" s="91"/>
      <c r="F236" s="91"/>
      <c r="G236" s="91"/>
      <c r="H236" s="91"/>
      <c r="I236" s="91"/>
      <c r="J236" s="91"/>
      <c r="K236" s="91"/>
      <c r="L236" s="91"/>
      <c r="M236" s="91"/>
      <c r="N236" s="91"/>
      <c r="O236" s="91"/>
      <c r="P236" s="91"/>
      <c r="Q236" s="91"/>
      <c r="R236" s="91"/>
      <c r="S236" s="91"/>
    </row>
    <row r="237" spans="1:19" ht="12.75" customHeight="1" x14ac:dyDescent="0.2">
      <c r="A237" s="80"/>
      <c r="B237" s="90"/>
      <c r="C237" s="15"/>
      <c r="D237" s="239"/>
      <c r="E237" s="91"/>
      <c r="F237" s="91"/>
      <c r="G237" s="91"/>
      <c r="H237" s="91"/>
      <c r="I237" s="91"/>
      <c r="J237" s="91"/>
      <c r="K237" s="91"/>
      <c r="L237" s="91"/>
      <c r="M237" s="91"/>
      <c r="N237" s="91"/>
      <c r="O237" s="91"/>
      <c r="P237" s="91"/>
      <c r="Q237" s="91"/>
      <c r="R237" s="91"/>
      <c r="S237" s="91"/>
    </row>
    <row r="238" spans="1:19" ht="12.75" customHeight="1" x14ac:dyDescent="0.2">
      <c r="A238" s="80"/>
      <c r="B238" s="90"/>
      <c r="C238" s="15"/>
      <c r="D238" s="239"/>
      <c r="E238" s="91"/>
      <c r="F238" s="91"/>
      <c r="G238" s="91"/>
      <c r="H238" s="91"/>
      <c r="I238" s="91"/>
      <c r="J238" s="91"/>
      <c r="K238" s="91"/>
      <c r="L238" s="91"/>
      <c r="M238" s="91"/>
      <c r="N238" s="91"/>
      <c r="O238" s="91"/>
      <c r="P238" s="91"/>
      <c r="Q238" s="91"/>
      <c r="R238" s="91"/>
      <c r="S238" s="91"/>
    </row>
    <row r="239" spans="1:19" ht="12.75" customHeight="1" x14ac:dyDescent="0.2">
      <c r="A239" s="80"/>
      <c r="B239" s="90"/>
      <c r="C239" s="15"/>
      <c r="D239" s="239"/>
      <c r="E239" s="91"/>
      <c r="F239" s="91"/>
      <c r="G239" s="91"/>
      <c r="H239" s="91"/>
      <c r="I239" s="91"/>
      <c r="J239" s="91"/>
      <c r="K239" s="91"/>
      <c r="L239" s="91"/>
      <c r="M239" s="91"/>
      <c r="N239" s="91"/>
      <c r="O239" s="91"/>
      <c r="P239" s="91"/>
      <c r="Q239" s="91"/>
      <c r="R239" s="91"/>
      <c r="S239" s="91"/>
    </row>
    <row r="240" spans="1:19" ht="12.75" customHeight="1" x14ac:dyDescent="0.2">
      <c r="A240" s="80"/>
      <c r="B240" s="90"/>
      <c r="C240" s="15"/>
      <c r="D240" s="239"/>
      <c r="E240" s="91"/>
      <c r="F240" s="91"/>
      <c r="G240" s="91"/>
      <c r="H240" s="91"/>
      <c r="I240" s="91"/>
      <c r="J240" s="91"/>
      <c r="K240" s="91"/>
      <c r="L240" s="91"/>
      <c r="M240" s="91"/>
      <c r="N240" s="91"/>
      <c r="O240" s="91"/>
      <c r="P240" s="91"/>
      <c r="Q240" s="91"/>
      <c r="R240" s="91"/>
      <c r="S240" s="91"/>
    </row>
    <row r="241" spans="1:19" ht="12.75" customHeight="1" x14ac:dyDescent="0.2">
      <c r="A241" s="80"/>
      <c r="B241" s="90"/>
      <c r="C241" s="15"/>
      <c r="D241" s="239"/>
      <c r="E241" s="91"/>
      <c r="F241" s="91"/>
      <c r="G241" s="91"/>
      <c r="H241" s="91"/>
      <c r="I241" s="91"/>
      <c r="J241" s="91"/>
      <c r="K241" s="91"/>
      <c r="L241" s="91"/>
      <c r="M241" s="91"/>
      <c r="N241" s="91"/>
      <c r="O241" s="91"/>
      <c r="P241" s="91"/>
      <c r="Q241" s="91"/>
      <c r="R241" s="91"/>
      <c r="S241" s="91"/>
    </row>
    <row r="242" spans="1:19" ht="12.75" customHeight="1" x14ac:dyDescent="0.2">
      <c r="A242" s="80"/>
      <c r="B242" s="90"/>
      <c r="C242" s="15"/>
      <c r="D242" s="239"/>
      <c r="E242" s="91"/>
      <c r="F242" s="91"/>
      <c r="G242" s="91"/>
      <c r="H242" s="91"/>
      <c r="I242" s="91"/>
      <c r="J242" s="91"/>
      <c r="K242" s="91"/>
      <c r="L242" s="91"/>
      <c r="M242" s="91"/>
      <c r="N242" s="91"/>
      <c r="O242" s="91"/>
      <c r="P242" s="91"/>
      <c r="Q242" s="91"/>
      <c r="R242" s="91"/>
      <c r="S242" s="91"/>
    </row>
    <row r="243" spans="1:19" ht="12.75" customHeight="1" x14ac:dyDescent="0.2">
      <c r="A243" s="80"/>
      <c r="B243" s="90"/>
      <c r="C243" s="15"/>
      <c r="D243" s="239"/>
      <c r="E243" s="91"/>
      <c r="F243" s="91"/>
      <c r="G243" s="91"/>
      <c r="H243" s="91"/>
      <c r="I243" s="91"/>
      <c r="J243" s="91"/>
      <c r="K243" s="91"/>
      <c r="L243" s="91"/>
      <c r="M243" s="91"/>
      <c r="N243" s="91"/>
      <c r="O243" s="91"/>
      <c r="P243" s="91"/>
      <c r="Q243" s="91"/>
      <c r="R243" s="91"/>
      <c r="S243" s="91"/>
    </row>
    <row r="244" spans="1:19" ht="12.75" customHeight="1" x14ac:dyDescent="0.2">
      <c r="A244" s="80"/>
      <c r="B244" s="90"/>
      <c r="C244" s="15"/>
      <c r="D244" s="239"/>
      <c r="E244" s="91"/>
      <c r="F244" s="91"/>
      <c r="G244" s="91"/>
      <c r="H244" s="91"/>
      <c r="I244" s="91"/>
      <c r="J244" s="91"/>
      <c r="K244" s="91"/>
      <c r="L244" s="91"/>
      <c r="M244" s="91"/>
      <c r="N244" s="91"/>
      <c r="O244" s="91"/>
      <c r="P244" s="91"/>
      <c r="Q244" s="91"/>
      <c r="R244" s="91"/>
      <c r="S244" s="91"/>
    </row>
    <row r="245" spans="1:19" ht="12.75" customHeight="1" x14ac:dyDescent="0.2">
      <c r="A245" s="80"/>
      <c r="B245" s="90"/>
      <c r="C245" s="15"/>
      <c r="D245" s="239"/>
      <c r="E245" s="91"/>
      <c r="F245" s="91"/>
      <c r="G245" s="91"/>
      <c r="H245" s="91"/>
      <c r="I245" s="91"/>
      <c r="J245" s="91"/>
      <c r="K245" s="91"/>
      <c r="L245" s="91"/>
      <c r="M245" s="91"/>
      <c r="N245" s="91"/>
      <c r="O245" s="91"/>
      <c r="P245" s="91"/>
      <c r="Q245" s="91"/>
      <c r="R245" s="91"/>
      <c r="S245" s="91"/>
    </row>
    <row r="246" spans="1:19" ht="12.75" customHeight="1" x14ac:dyDescent="0.2">
      <c r="A246" s="80"/>
      <c r="B246" s="90"/>
      <c r="C246" s="15"/>
      <c r="D246" s="239"/>
      <c r="E246" s="91"/>
      <c r="F246" s="91"/>
      <c r="G246" s="91"/>
      <c r="H246" s="91"/>
      <c r="I246" s="91"/>
      <c r="J246" s="91"/>
      <c r="K246" s="91"/>
      <c r="L246" s="91"/>
      <c r="M246" s="91"/>
      <c r="N246" s="91"/>
      <c r="O246" s="91"/>
      <c r="P246" s="91"/>
      <c r="Q246" s="91"/>
      <c r="R246" s="91"/>
      <c r="S246" s="91"/>
    </row>
    <row r="247" spans="1:19" ht="12.75" customHeight="1" x14ac:dyDescent="0.2">
      <c r="A247" s="80"/>
      <c r="B247" s="90"/>
      <c r="C247" s="15"/>
      <c r="D247" s="239"/>
      <c r="E247" s="91"/>
      <c r="F247" s="91"/>
      <c r="G247" s="91"/>
      <c r="H247" s="91"/>
      <c r="I247" s="91"/>
      <c r="J247" s="91"/>
      <c r="K247" s="91"/>
      <c r="L247" s="91"/>
      <c r="M247" s="91"/>
      <c r="N247" s="91"/>
      <c r="O247" s="91"/>
      <c r="P247" s="91"/>
      <c r="Q247" s="91"/>
      <c r="R247" s="91"/>
      <c r="S247" s="91"/>
    </row>
    <row r="248" spans="1:19" ht="12.75" customHeight="1" x14ac:dyDescent="0.2">
      <c r="A248" s="80"/>
      <c r="B248" s="90"/>
      <c r="C248" s="15"/>
      <c r="D248" s="239"/>
      <c r="E248" s="91"/>
      <c r="F248" s="91"/>
      <c r="G248" s="91"/>
      <c r="H248" s="91"/>
      <c r="I248" s="91"/>
      <c r="J248" s="91"/>
      <c r="K248" s="91"/>
      <c r="L248" s="91"/>
      <c r="M248" s="91"/>
      <c r="N248" s="91"/>
      <c r="O248" s="91"/>
      <c r="P248" s="91"/>
      <c r="Q248" s="91"/>
      <c r="R248" s="91"/>
      <c r="S248" s="91"/>
    </row>
    <row r="249" spans="1:19" ht="12.75" customHeight="1" x14ac:dyDescent="0.2">
      <c r="A249" s="80"/>
      <c r="B249" s="90"/>
      <c r="C249" s="15"/>
      <c r="D249" s="239"/>
      <c r="E249" s="91"/>
      <c r="F249" s="91"/>
      <c r="G249" s="91"/>
      <c r="H249" s="91"/>
      <c r="I249" s="91"/>
      <c r="J249" s="91"/>
      <c r="K249" s="91"/>
      <c r="L249" s="91"/>
      <c r="M249" s="91"/>
      <c r="N249" s="91"/>
      <c r="O249" s="91"/>
      <c r="P249" s="91"/>
      <c r="Q249" s="91"/>
      <c r="R249" s="91"/>
      <c r="S249" s="91"/>
    </row>
    <row r="250" spans="1:19" ht="12.75" customHeight="1" x14ac:dyDescent="0.2">
      <c r="A250" s="80"/>
      <c r="B250" s="90"/>
      <c r="C250" s="15"/>
      <c r="D250" s="239"/>
      <c r="E250" s="91"/>
      <c r="F250" s="91"/>
      <c r="G250" s="91"/>
      <c r="H250" s="91"/>
      <c r="I250" s="91"/>
      <c r="J250" s="91"/>
      <c r="K250" s="91"/>
      <c r="L250" s="91"/>
      <c r="M250" s="91"/>
      <c r="N250" s="91"/>
      <c r="O250" s="91"/>
      <c r="P250" s="91"/>
      <c r="Q250" s="91"/>
      <c r="R250" s="91"/>
      <c r="S250" s="91"/>
    </row>
    <row r="251" spans="1:19" ht="12.75" customHeight="1" x14ac:dyDescent="0.2">
      <c r="A251" s="80"/>
      <c r="B251" s="90"/>
      <c r="C251" s="15"/>
      <c r="D251" s="239"/>
      <c r="E251" s="91"/>
      <c r="F251" s="91"/>
      <c r="G251" s="91"/>
      <c r="H251" s="91"/>
      <c r="I251" s="91"/>
      <c r="J251" s="91"/>
      <c r="K251" s="91"/>
      <c r="L251" s="91"/>
      <c r="M251" s="91"/>
      <c r="N251" s="91"/>
      <c r="O251" s="91"/>
      <c r="P251" s="91"/>
      <c r="Q251" s="91"/>
      <c r="R251" s="91"/>
      <c r="S251" s="91"/>
    </row>
    <row r="252" spans="1:19" ht="12.75" customHeight="1" x14ac:dyDescent="0.2">
      <c r="A252" s="80"/>
      <c r="B252" s="90"/>
      <c r="C252" s="15"/>
      <c r="D252" s="239"/>
      <c r="E252" s="91"/>
      <c r="F252" s="91"/>
      <c r="G252" s="91"/>
      <c r="H252" s="91"/>
      <c r="I252" s="91"/>
      <c r="J252" s="91"/>
      <c r="K252" s="91"/>
      <c r="L252" s="91"/>
      <c r="M252" s="91"/>
      <c r="N252" s="91"/>
      <c r="O252" s="91"/>
      <c r="P252" s="91"/>
      <c r="Q252" s="91"/>
      <c r="R252" s="91"/>
      <c r="S252" s="91"/>
    </row>
    <row r="253" spans="1:19" ht="12.75" customHeight="1" x14ac:dyDescent="0.2">
      <c r="A253" s="80"/>
      <c r="B253" s="90"/>
      <c r="C253" s="15"/>
      <c r="D253" s="239"/>
      <c r="E253" s="91"/>
      <c r="F253" s="91"/>
      <c r="G253" s="91"/>
      <c r="H253" s="91"/>
      <c r="I253" s="91"/>
      <c r="J253" s="91"/>
      <c r="K253" s="91"/>
      <c r="L253" s="91"/>
      <c r="M253" s="91"/>
      <c r="N253" s="91"/>
      <c r="O253" s="91"/>
      <c r="P253" s="91"/>
      <c r="Q253" s="91"/>
      <c r="R253" s="91"/>
      <c r="S253" s="91"/>
    </row>
    <row r="254" spans="1:19" ht="12.75" customHeight="1" x14ac:dyDescent="0.2">
      <c r="A254" s="80"/>
      <c r="B254" s="90"/>
      <c r="C254" s="15"/>
      <c r="D254" s="239"/>
      <c r="E254" s="91"/>
      <c r="F254" s="91"/>
      <c r="G254" s="91"/>
      <c r="H254" s="91"/>
      <c r="I254" s="91"/>
      <c r="J254" s="91"/>
      <c r="K254" s="91"/>
      <c r="L254" s="91"/>
      <c r="M254" s="91"/>
      <c r="N254" s="91"/>
      <c r="O254" s="91"/>
      <c r="P254" s="91"/>
      <c r="Q254" s="91"/>
      <c r="R254" s="91"/>
      <c r="S254" s="91"/>
    </row>
    <row r="255" spans="1:19" ht="12.75" customHeight="1" x14ac:dyDescent="0.2">
      <c r="A255" s="80"/>
      <c r="B255" s="90"/>
      <c r="C255" s="15"/>
      <c r="D255" s="239"/>
      <c r="E255" s="91"/>
      <c r="F255" s="91"/>
      <c r="G255" s="91"/>
      <c r="H255" s="91"/>
      <c r="I255" s="91"/>
      <c r="J255" s="91"/>
      <c r="K255" s="91"/>
      <c r="L255" s="91"/>
      <c r="M255" s="91"/>
      <c r="N255" s="91"/>
      <c r="O255" s="91"/>
      <c r="P255" s="91"/>
      <c r="Q255" s="91"/>
      <c r="R255" s="91"/>
      <c r="S255" s="91"/>
    </row>
    <row r="256" spans="1:19" ht="12.75" customHeight="1" x14ac:dyDescent="0.2">
      <c r="A256" s="80"/>
      <c r="B256" s="90"/>
      <c r="C256" s="15"/>
      <c r="D256" s="239"/>
      <c r="E256" s="91"/>
      <c r="F256" s="91"/>
      <c r="G256" s="91"/>
      <c r="H256" s="91"/>
      <c r="I256" s="91"/>
      <c r="J256" s="91"/>
      <c r="K256" s="91"/>
      <c r="L256" s="91"/>
      <c r="M256" s="91"/>
      <c r="N256" s="91"/>
      <c r="O256" s="91"/>
      <c r="P256" s="91"/>
      <c r="Q256" s="91"/>
      <c r="R256" s="91"/>
      <c r="S256" s="91"/>
    </row>
    <row r="257" spans="1:19" ht="12.75" customHeight="1" x14ac:dyDescent="0.2">
      <c r="A257" s="80"/>
      <c r="B257" s="90"/>
      <c r="C257" s="15"/>
      <c r="D257" s="239"/>
      <c r="E257" s="91"/>
      <c r="F257" s="91"/>
      <c r="G257" s="91"/>
      <c r="H257" s="91"/>
      <c r="I257" s="91"/>
      <c r="J257" s="91"/>
      <c r="K257" s="91"/>
      <c r="L257" s="91"/>
      <c r="M257" s="91"/>
      <c r="N257" s="91"/>
      <c r="O257" s="91"/>
      <c r="P257" s="91"/>
      <c r="Q257" s="91"/>
      <c r="R257" s="91"/>
      <c r="S257" s="91"/>
    </row>
    <row r="258" spans="1:19" ht="12.75" customHeight="1" x14ac:dyDescent="0.2">
      <c r="A258" s="80"/>
      <c r="B258" s="90"/>
      <c r="C258" s="15"/>
      <c r="D258" s="239"/>
      <c r="E258" s="91"/>
      <c r="F258" s="91"/>
      <c r="G258" s="91"/>
      <c r="H258" s="91"/>
      <c r="I258" s="91"/>
      <c r="J258" s="91"/>
      <c r="K258" s="91"/>
      <c r="L258" s="91"/>
      <c r="M258" s="91"/>
      <c r="N258" s="91"/>
      <c r="O258" s="91"/>
      <c r="P258" s="91"/>
      <c r="Q258" s="91"/>
      <c r="R258" s="91"/>
      <c r="S258" s="91"/>
    </row>
    <row r="259" spans="1:19" ht="12.75" customHeight="1" x14ac:dyDescent="0.2">
      <c r="A259" s="80"/>
      <c r="B259" s="90"/>
      <c r="C259" s="15"/>
      <c r="D259" s="239"/>
      <c r="E259" s="91"/>
      <c r="F259" s="91"/>
      <c r="G259" s="91"/>
      <c r="H259" s="91"/>
      <c r="I259" s="91"/>
      <c r="J259" s="91"/>
      <c r="K259" s="91"/>
      <c r="L259" s="91"/>
      <c r="M259" s="91"/>
      <c r="N259" s="91"/>
      <c r="O259" s="91"/>
      <c r="P259" s="91"/>
      <c r="Q259" s="91"/>
      <c r="R259" s="91"/>
      <c r="S259" s="91"/>
    </row>
    <row r="260" spans="1:19" ht="12.75" customHeight="1" x14ac:dyDescent="0.2">
      <c r="A260" s="80"/>
      <c r="B260" s="90"/>
      <c r="C260" s="15"/>
      <c r="D260" s="239"/>
      <c r="E260" s="91"/>
      <c r="F260" s="91"/>
      <c r="G260" s="91"/>
      <c r="H260" s="91"/>
      <c r="I260" s="91"/>
      <c r="J260" s="91"/>
      <c r="K260" s="91"/>
      <c r="L260" s="91"/>
      <c r="M260" s="91"/>
      <c r="N260" s="91"/>
      <c r="O260" s="91"/>
      <c r="P260" s="91"/>
      <c r="Q260" s="91"/>
      <c r="R260" s="91"/>
      <c r="S260" s="91"/>
    </row>
    <row r="261" spans="1:19" ht="12.75" customHeight="1" x14ac:dyDescent="0.2">
      <c r="A261" s="80"/>
      <c r="B261" s="90"/>
      <c r="C261" s="15"/>
      <c r="D261" s="239"/>
      <c r="E261" s="91"/>
      <c r="F261" s="91"/>
      <c r="G261" s="91"/>
      <c r="H261" s="91"/>
      <c r="I261" s="91"/>
      <c r="J261" s="91"/>
      <c r="K261" s="91"/>
      <c r="L261" s="91"/>
      <c r="M261" s="91"/>
      <c r="N261" s="91"/>
      <c r="O261" s="91"/>
      <c r="P261" s="91"/>
      <c r="Q261" s="91"/>
      <c r="R261" s="91"/>
      <c r="S261" s="91"/>
    </row>
    <row r="262" spans="1:19" ht="12.75" customHeight="1" x14ac:dyDescent="0.2">
      <c r="A262" s="80"/>
      <c r="B262" s="90"/>
      <c r="C262" s="15"/>
      <c r="D262" s="239"/>
      <c r="E262" s="91"/>
      <c r="F262" s="91"/>
      <c r="G262" s="91"/>
      <c r="H262" s="91"/>
      <c r="I262" s="91"/>
      <c r="J262" s="91"/>
      <c r="K262" s="91"/>
      <c r="L262" s="91"/>
      <c r="M262" s="91"/>
      <c r="N262" s="91"/>
      <c r="O262" s="91"/>
      <c r="P262" s="91"/>
      <c r="Q262" s="91"/>
      <c r="R262" s="91"/>
      <c r="S262" s="91"/>
    </row>
    <row r="263" spans="1:19" ht="12.75" customHeight="1" x14ac:dyDescent="0.2">
      <c r="A263" s="80"/>
      <c r="B263" s="90"/>
      <c r="C263" s="15"/>
      <c r="D263" s="239"/>
      <c r="E263" s="91"/>
      <c r="F263" s="91"/>
      <c r="G263" s="91"/>
      <c r="H263" s="91"/>
      <c r="I263" s="91"/>
      <c r="J263" s="91"/>
      <c r="K263" s="91"/>
      <c r="L263" s="91"/>
      <c r="M263" s="91"/>
      <c r="N263" s="91"/>
      <c r="O263" s="91"/>
      <c r="P263" s="91"/>
      <c r="Q263" s="91"/>
      <c r="R263" s="91"/>
      <c r="S263" s="91"/>
    </row>
    <row r="264" spans="1:19" ht="12.75" customHeight="1" x14ac:dyDescent="0.2">
      <c r="A264" s="80"/>
      <c r="B264" s="90"/>
      <c r="C264" s="15"/>
      <c r="D264" s="239"/>
      <c r="E264" s="91"/>
      <c r="F264" s="91"/>
      <c r="G264" s="91"/>
      <c r="H264" s="91"/>
      <c r="I264" s="91"/>
      <c r="J264" s="91"/>
      <c r="K264" s="91"/>
      <c r="L264" s="91"/>
      <c r="M264" s="91"/>
      <c r="N264" s="91"/>
      <c r="O264" s="91"/>
      <c r="P264" s="91"/>
      <c r="Q264" s="91"/>
      <c r="R264" s="91"/>
      <c r="S264" s="91"/>
    </row>
    <row r="265" spans="1:19" ht="12.75" customHeight="1" x14ac:dyDescent="0.2">
      <c r="A265" s="80"/>
      <c r="B265" s="90"/>
      <c r="C265" s="15"/>
      <c r="D265" s="239"/>
      <c r="E265" s="91"/>
      <c r="F265" s="91"/>
      <c r="G265" s="91"/>
      <c r="H265" s="91"/>
      <c r="I265" s="91"/>
      <c r="J265" s="91"/>
      <c r="K265" s="91"/>
      <c r="L265" s="91"/>
      <c r="M265" s="91"/>
      <c r="N265" s="91"/>
      <c r="O265" s="91"/>
      <c r="P265" s="91"/>
      <c r="Q265" s="91"/>
      <c r="R265" s="91"/>
      <c r="S265" s="91"/>
    </row>
    <row r="266" spans="1:19" ht="12.75" customHeight="1" x14ac:dyDescent="0.2">
      <c r="A266" s="80"/>
      <c r="B266" s="90"/>
      <c r="C266" s="15"/>
      <c r="D266" s="239"/>
      <c r="E266" s="91"/>
      <c r="F266" s="91"/>
      <c r="G266" s="91"/>
      <c r="H266" s="91"/>
      <c r="I266" s="91"/>
      <c r="J266" s="91"/>
      <c r="K266" s="91"/>
      <c r="L266" s="91"/>
      <c r="M266" s="91"/>
      <c r="N266" s="91"/>
      <c r="O266" s="91"/>
      <c r="P266" s="91"/>
      <c r="Q266" s="91"/>
      <c r="R266" s="91"/>
      <c r="S266" s="91"/>
    </row>
    <row r="267" spans="1:19" ht="12.75" customHeight="1" x14ac:dyDescent="0.2">
      <c r="A267" s="80"/>
      <c r="B267" s="90"/>
      <c r="C267" s="15"/>
      <c r="D267" s="239"/>
      <c r="E267" s="91"/>
      <c r="F267" s="91"/>
      <c r="G267" s="91"/>
      <c r="H267" s="91"/>
      <c r="I267" s="91"/>
      <c r="J267" s="91"/>
      <c r="K267" s="91"/>
      <c r="L267" s="91"/>
      <c r="M267" s="91"/>
      <c r="N267" s="91"/>
      <c r="O267" s="91"/>
      <c r="P267" s="91"/>
      <c r="Q267" s="91"/>
      <c r="R267" s="91"/>
      <c r="S267" s="91"/>
    </row>
    <row r="268" spans="1:19" ht="12.75" customHeight="1" x14ac:dyDescent="0.2">
      <c r="A268" s="80"/>
      <c r="B268" s="90"/>
      <c r="C268" s="15"/>
      <c r="D268" s="239"/>
      <c r="E268" s="91"/>
      <c r="F268" s="91"/>
      <c r="G268" s="91"/>
      <c r="H268" s="91"/>
      <c r="I268" s="91"/>
      <c r="J268" s="91"/>
      <c r="K268" s="91"/>
      <c r="L268" s="91"/>
      <c r="M268" s="91"/>
      <c r="N268" s="91"/>
      <c r="O268" s="91"/>
      <c r="P268" s="91"/>
      <c r="Q268" s="91"/>
      <c r="R268" s="91"/>
      <c r="S268" s="91"/>
    </row>
    <row r="269" spans="1:19" ht="12.75" customHeight="1" x14ac:dyDescent="0.2">
      <c r="A269" s="80"/>
      <c r="B269" s="90"/>
      <c r="C269" s="15"/>
      <c r="D269" s="239"/>
      <c r="E269" s="91"/>
      <c r="F269" s="91"/>
      <c r="G269" s="91"/>
      <c r="H269" s="91"/>
      <c r="I269" s="91"/>
      <c r="J269" s="91"/>
      <c r="K269" s="91"/>
      <c r="L269" s="91"/>
      <c r="M269" s="91"/>
      <c r="N269" s="91"/>
      <c r="O269" s="91"/>
      <c r="P269" s="91"/>
      <c r="Q269" s="91"/>
      <c r="R269" s="91"/>
      <c r="S269" s="91"/>
    </row>
    <row r="270" spans="1:19" ht="12.75" customHeight="1" x14ac:dyDescent="0.2">
      <c r="A270" s="80"/>
      <c r="B270" s="90"/>
      <c r="C270" s="15"/>
      <c r="D270" s="239"/>
      <c r="E270" s="91"/>
      <c r="F270" s="91"/>
      <c r="G270" s="91"/>
      <c r="H270" s="91"/>
      <c r="I270" s="91"/>
      <c r="J270" s="91"/>
      <c r="K270" s="91"/>
      <c r="L270" s="91"/>
      <c r="M270" s="91"/>
      <c r="N270" s="91"/>
      <c r="O270" s="91"/>
      <c r="P270" s="91"/>
      <c r="Q270" s="91"/>
      <c r="R270" s="91"/>
      <c r="S270" s="91"/>
    </row>
    <row r="271" spans="1:19" ht="12.75" customHeight="1" x14ac:dyDescent="0.2">
      <c r="A271" s="80"/>
      <c r="B271" s="90"/>
      <c r="C271" s="15"/>
      <c r="D271" s="239"/>
      <c r="E271" s="91"/>
      <c r="F271" s="91"/>
      <c r="G271" s="91"/>
      <c r="H271" s="91"/>
      <c r="I271" s="91"/>
      <c r="J271" s="91"/>
      <c r="K271" s="91"/>
      <c r="L271" s="91"/>
      <c r="M271" s="91"/>
      <c r="N271" s="91"/>
      <c r="O271" s="91"/>
      <c r="P271" s="91"/>
      <c r="Q271" s="91"/>
      <c r="R271" s="91"/>
      <c r="S271" s="91"/>
    </row>
    <row r="272" spans="1:19" ht="12.75" customHeight="1" x14ac:dyDescent="0.2">
      <c r="A272" s="80"/>
      <c r="B272" s="90"/>
      <c r="C272" s="15"/>
      <c r="D272" s="239"/>
      <c r="E272" s="91"/>
      <c r="F272" s="91"/>
      <c r="G272" s="91"/>
      <c r="H272" s="91"/>
      <c r="I272" s="91"/>
      <c r="J272" s="91"/>
      <c r="K272" s="91"/>
      <c r="L272" s="91"/>
      <c r="M272" s="91"/>
      <c r="N272" s="91"/>
      <c r="O272" s="91"/>
      <c r="P272" s="91"/>
      <c r="Q272" s="91"/>
      <c r="R272" s="91"/>
      <c r="S272" s="91"/>
    </row>
    <row r="273" spans="1:19" ht="12.75" customHeight="1" x14ac:dyDescent="0.2">
      <c r="A273" s="80"/>
      <c r="B273" s="90"/>
      <c r="C273" s="15"/>
      <c r="D273" s="239"/>
      <c r="E273" s="91"/>
      <c r="F273" s="91"/>
      <c r="G273" s="91"/>
      <c r="H273" s="91"/>
      <c r="I273" s="91"/>
      <c r="J273" s="91"/>
      <c r="K273" s="91"/>
      <c r="L273" s="91"/>
      <c r="M273" s="91"/>
      <c r="N273" s="91"/>
      <c r="O273" s="91"/>
      <c r="P273" s="91"/>
      <c r="Q273" s="91"/>
      <c r="R273" s="91"/>
      <c r="S273" s="91"/>
    </row>
    <row r="274" spans="1:19" ht="12.75" customHeight="1" x14ac:dyDescent="0.2">
      <c r="A274" s="80"/>
      <c r="B274" s="90"/>
      <c r="C274" s="15"/>
      <c r="D274" s="239"/>
      <c r="E274" s="91"/>
      <c r="F274" s="91"/>
      <c r="G274" s="91"/>
      <c r="H274" s="91"/>
      <c r="I274" s="91"/>
      <c r="J274" s="91"/>
      <c r="K274" s="91"/>
      <c r="L274" s="91"/>
      <c r="M274" s="91"/>
      <c r="N274" s="91"/>
      <c r="O274" s="91"/>
      <c r="P274" s="91"/>
      <c r="Q274" s="91"/>
      <c r="R274" s="91"/>
      <c r="S274" s="91"/>
    </row>
    <row r="275" spans="1:19" ht="12.75" customHeight="1" x14ac:dyDescent="0.2">
      <c r="A275" s="80"/>
      <c r="B275" s="90"/>
      <c r="C275" s="15"/>
      <c r="D275" s="239"/>
      <c r="E275" s="91"/>
      <c r="F275" s="91"/>
      <c r="G275" s="91"/>
      <c r="H275" s="91"/>
      <c r="I275" s="91"/>
      <c r="J275" s="91"/>
      <c r="K275" s="91"/>
      <c r="L275" s="91"/>
      <c r="M275" s="91"/>
      <c r="N275" s="91"/>
      <c r="O275" s="91"/>
      <c r="P275" s="91"/>
      <c r="Q275" s="91"/>
      <c r="R275" s="91"/>
      <c r="S275" s="91"/>
    </row>
    <row r="276" spans="1:19" ht="12.75" customHeight="1" x14ac:dyDescent="0.2">
      <c r="A276" s="80"/>
      <c r="B276" s="90"/>
      <c r="C276" s="15"/>
      <c r="D276" s="239"/>
      <c r="E276" s="91"/>
      <c r="F276" s="91"/>
      <c r="G276" s="91"/>
      <c r="H276" s="91"/>
      <c r="I276" s="91"/>
      <c r="J276" s="91"/>
      <c r="K276" s="91"/>
      <c r="L276" s="91"/>
      <c r="M276" s="91"/>
      <c r="N276" s="91"/>
      <c r="O276" s="91"/>
      <c r="P276" s="91"/>
      <c r="Q276" s="91"/>
      <c r="R276" s="91"/>
      <c r="S276" s="91"/>
    </row>
    <row r="277" spans="1:19" ht="12.75" customHeight="1" x14ac:dyDescent="0.2">
      <c r="A277" s="80"/>
      <c r="B277" s="90"/>
      <c r="C277" s="15"/>
      <c r="D277" s="239"/>
      <c r="E277" s="91"/>
      <c r="F277" s="91"/>
      <c r="G277" s="91"/>
      <c r="H277" s="91"/>
      <c r="I277" s="91"/>
      <c r="J277" s="91"/>
      <c r="K277" s="91"/>
      <c r="L277" s="91"/>
      <c r="M277" s="91"/>
      <c r="N277" s="91"/>
      <c r="O277" s="91"/>
      <c r="P277" s="91"/>
      <c r="Q277" s="91"/>
      <c r="R277" s="91"/>
      <c r="S277" s="91"/>
    </row>
    <row r="278" spans="1:19" ht="12.75" customHeight="1" x14ac:dyDescent="0.2">
      <c r="A278" s="80"/>
      <c r="B278" s="90"/>
      <c r="C278" s="15"/>
      <c r="D278" s="239"/>
      <c r="E278" s="91"/>
      <c r="F278" s="91"/>
      <c r="G278" s="91"/>
      <c r="H278" s="91"/>
      <c r="I278" s="91"/>
      <c r="J278" s="91"/>
      <c r="K278" s="91"/>
      <c r="L278" s="91"/>
      <c r="M278" s="91"/>
      <c r="N278" s="91"/>
      <c r="O278" s="91"/>
      <c r="P278" s="91"/>
      <c r="Q278" s="91"/>
      <c r="R278" s="91"/>
      <c r="S278" s="91"/>
    </row>
    <row r="279" spans="1:19" ht="12.75" customHeight="1" x14ac:dyDescent="0.2">
      <c r="A279" s="80"/>
      <c r="B279" s="90"/>
      <c r="C279" s="15"/>
      <c r="D279" s="239"/>
      <c r="E279" s="91"/>
      <c r="F279" s="91"/>
      <c r="G279" s="91"/>
      <c r="H279" s="91"/>
      <c r="I279" s="91"/>
      <c r="J279" s="91"/>
      <c r="K279" s="91"/>
      <c r="L279" s="91"/>
      <c r="M279" s="91"/>
      <c r="N279" s="91"/>
      <c r="O279" s="91"/>
      <c r="P279" s="91"/>
      <c r="Q279" s="91"/>
      <c r="R279" s="91"/>
      <c r="S279" s="91"/>
    </row>
    <row r="280" spans="1:19" ht="12.75" customHeight="1" x14ac:dyDescent="0.2">
      <c r="A280" s="80"/>
      <c r="B280" s="90"/>
      <c r="C280" s="15"/>
      <c r="D280" s="239"/>
      <c r="E280" s="91"/>
      <c r="F280" s="91"/>
      <c r="G280" s="91"/>
      <c r="H280" s="91"/>
      <c r="I280" s="91"/>
      <c r="J280" s="91"/>
      <c r="K280" s="91"/>
      <c r="L280" s="91"/>
      <c r="M280" s="91"/>
      <c r="N280" s="91"/>
      <c r="O280" s="91"/>
      <c r="P280" s="91"/>
      <c r="Q280" s="91"/>
      <c r="R280" s="91"/>
      <c r="S280" s="91"/>
    </row>
    <row r="281" spans="1:19" ht="12.75" customHeight="1" x14ac:dyDescent="0.2">
      <c r="A281" s="80"/>
      <c r="B281" s="90"/>
      <c r="C281" s="15"/>
      <c r="D281" s="239"/>
      <c r="E281" s="91"/>
      <c r="F281" s="91"/>
      <c r="G281" s="91"/>
      <c r="H281" s="91"/>
      <c r="I281" s="91"/>
      <c r="J281" s="91"/>
      <c r="K281" s="91"/>
      <c r="L281" s="91"/>
      <c r="M281" s="91"/>
      <c r="N281" s="91"/>
      <c r="O281" s="91"/>
      <c r="P281" s="91"/>
      <c r="Q281" s="91"/>
      <c r="R281" s="91"/>
      <c r="S281" s="91"/>
    </row>
    <row r="282" spans="1:19" ht="12.75" customHeight="1" x14ac:dyDescent="0.2">
      <c r="A282" s="80"/>
      <c r="B282" s="90"/>
      <c r="C282" s="15"/>
      <c r="D282" s="239"/>
      <c r="E282" s="91"/>
      <c r="F282" s="91"/>
      <c r="G282" s="91"/>
      <c r="H282" s="91"/>
      <c r="I282" s="91"/>
      <c r="J282" s="91"/>
      <c r="K282" s="91"/>
      <c r="L282" s="91"/>
      <c r="M282" s="91"/>
      <c r="N282" s="91"/>
      <c r="O282" s="91"/>
      <c r="P282" s="91"/>
      <c r="Q282" s="91"/>
      <c r="R282" s="91"/>
      <c r="S282" s="91"/>
    </row>
    <row r="283" spans="1:19" ht="12.75" customHeight="1" x14ac:dyDescent="0.2">
      <c r="A283" s="80"/>
      <c r="B283" s="90"/>
      <c r="C283" s="15"/>
      <c r="D283" s="239"/>
      <c r="E283" s="91"/>
      <c r="F283" s="91"/>
      <c r="G283" s="91"/>
      <c r="H283" s="91"/>
      <c r="I283" s="91"/>
      <c r="J283" s="91"/>
      <c r="K283" s="91"/>
      <c r="L283" s="91"/>
      <c r="M283" s="91"/>
      <c r="N283" s="91"/>
      <c r="O283" s="91"/>
      <c r="P283" s="91"/>
      <c r="Q283" s="91"/>
      <c r="R283" s="91"/>
      <c r="S283" s="91"/>
    </row>
    <row r="284" spans="1:19" ht="12.75" customHeight="1" x14ac:dyDescent="0.2">
      <c r="A284" s="80"/>
      <c r="B284" s="90"/>
      <c r="C284" s="15"/>
      <c r="D284" s="239"/>
      <c r="E284" s="91"/>
      <c r="F284" s="91"/>
      <c r="G284" s="91"/>
      <c r="H284" s="91"/>
      <c r="I284" s="91"/>
      <c r="J284" s="91"/>
      <c r="K284" s="91"/>
      <c r="L284" s="91"/>
      <c r="M284" s="91"/>
      <c r="N284" s="91"/>
      <c r="O284" s="91"/>
      <c r="P284" s="91"/>
      <c r="Q284" s="91"/>
      <c r="R284" s="91"/>
      <c r="S284" s="91"/>
    </row>
    <row r="285" spans="1:19" ht="12.75" customHeight="1" x14ac:dyDescent="0.2">
      <c r="A285" s="80"/>
      <c r="B285" s="90"/>
      <c r="C285" s="15"/>
      <c r="D285" s="239"/>
      <c r="E285" s="91"/>
      <c r="F285" s="91"/>
      <c r="G285" s="91"/>
      <c r="H285" s="91"/>
      <c r="I285" s="91"/>
      <c r="J285" s="91"/>
      <c r="K285" s="91"/>
      <c r="L285" s="91"/>
      <c r="M285" s="91"/>
      <c r="N285" s="91"/>
      <c r="O285" s="91"/>
      <c r="P285" s="91"/>
      <c r="Q285" s="91"/>
      <c r="R285" s="91"/>
      <c r="S285" s="91"/>
    </row>
    <row r="286" spans="1:19" ht="12.75" customHeight="1" x14ac:dyDescent="0.2">
      <c r="A286" s="80"/>
      <c r="B286" s="90"/>
      <c r="C286" s="15"/>
      <c r="D286" s="239"/>
      <c r="E286" s="91"/>
      <c r="F286" s="91"/>
      <c r="G286" s="91"/>
      <c r="H286" s="91"/>
      <c r="I286" s="91"/>
      <c r="J286" s="91"/>
      <c r="K286" s="91"/>
      <c r="L286" s="91"/>
      <c r="M286" s="91"/>
      <c r="N286" s="91"/>
      <c r="O286" s="91"/>
      <c r="P286" s="91"/>
      <c r="Q286" s="91"/>
      <c r="R286" s="91"/>
      <c r="S286" s="91"/>
    </row>
    <row r="287" spans="1:19" ht="12.75" customHeight="1" x14ac:dyDescent="0.2">
      <c r="A287" s="80"/>
      <c r="B287" s="90"/>
      <c r="C287" s="15"/>
      <c r="D287" s="239"/>
      <c r="E287" s="91"/>
      <c r="F287" s="91"/>
      <c r="G287" s="91"/>
      <c r="H287" s="91"/>
      <c r="I287" s="91"/>
      <c r="J287" s="91"/>
      <c r="K287" s="91"/>
      <c r="L287" s="91"/>
      <c r="M287" s="91"/>
      <c r="N287" s="91"/>
      <c r="O287" s="91"/>
      <c r="P287" s="91"/>
      <c r="Q287" s="91"/>
      <c r="R287" s="91"/>
      <c r="S287" s="91"/>
    </row>
    <row r="288" spans="1:19" ht="12.75" customHeight="1" x14ac:dyDescent="0.2">
      <c r="A288" s="80"/>
      <c r="B288" s="90"/>
      <c r="C288" s="15"/>
      <c r="D288" s="239"/>
      <c r="E288" s="91"/>
      <c r="F288" s="91"/>
      <c r="G288" s="91"/>
      <c r="H288" s="91"/>
      <c r="I288" s="91"/>
      <c r="J288" s="91"/>
      <c r="K288" s="91"/>
      <c r="L288" s="91"/>
      <c r="M288" s="91"/>
      <c r="N288" s="91"/>
      <c r="O288" s="91"/>
      <c r="P288" s="91"/>
      <c r="Q288" s="91"/>
      <c r="R288" s="91"/>
      <c r="S288" s="91"/>
    </row>
    <row r="289" spans="1:19" ht="12.75" customHeight="1" x14ac:dyDescent="0.2">
      <c r="A289" s="80"/>
      <c r="B289" s="90"/>
      <c r="C289" s="15"/>
      <c r="D289" s="239"/>
      <c r="E289" s="91"/>
      <c r="F289" s="91"/>
      <c r="G289" s="91"/>
      <c r="H289" s="91"/>
      <c r="I289" s="91"/>
      <c r="J289" s="91"/>
      <c r="K289" s="91"/>
      <c r="L289" s="91"/>
      <c r="M289" s="91"/>
      <c r="N289" s="91"/>
      <c r="O289" s="91"/>
      <c r="P289" s="91"/>
      <c r="Q289" s="91"/>
      <c r="R289" s="91"/>
      <c r="S289" s="91"/>
    </row>
    <row r="290" spans="1:19" ht="12.75" customHeight="1" x14ac:dyDescent="0.2">
      <c r="A290" s="80"/>
      <c r="B290" s="90"/>
      <c r="C290" s="15"/>
      <c r="D290" s="239"/>
      <c r="E290" s="91"/>
      <c r="F290" s="91"/>
      <c r="G290" s="91"/>
      <c r="H290" s="91"/>
      <c r="I290" s="91"/>
      <c r="J290" s="91"/>
      <c r="K290" s="91"/>
      <c r="L290" s="91"/>
      <c r="M290" s="91"/>
      <c r="N290" s="91"/>
      <c r="O290" s="91"/>
      <c r="P290" s="91"/>
      <c r="Q290" s="91"/>
      <c r="R290" s="91"/>
      <c r="S290" s="91"/>
    </row>
    <row r="291" spans="1:19" ht="12.75" customHeight="1" x14ac:dyDescent="0.2">
      <c r="A291" s="80"/>
      <c r="B291" s="90"/>
      <c r="C291" s="15"/>
      <c r="D291" s="239"/>
      <c r="E291" s="91"/>
      <c r="F291" s="91"/>
      <c r="G291" s="91"/>
      <c r="H291" s="91"/>
      <c r="I291" s="91"/>
      <c r="J291" s="91"/>
      <c r="K291" s="91"/>
      <c r="L291" s="91"/>
      <c r="M291" s="91"/>
      <c r="N291" s="91"/>
      <c r="O291" s="91"/>
      <c r="P291" s="91"/>
      <c r="Q291" s="91"/>
      <c r="R291" s="91"/>
      <c r="S291" s="91"/>
    </row>
    <row r="292" spans="1:19" ht="12.75" customHeight="1" x14ac:dyDescent="0.2">
      <c r="A292" s="80"/>
      <c r="B292" s="90"/>
      <c r="C292" s="15"/>
      <c r="D292" s="239"/>
      <c r="E292" s="91"/>
      <c r="F292" s="91"/>
      <c r="G292" s="91"/>
      <c r="H292" s="91"/>
      <c r="I292" s="91"/>
      <c r="J292" s="91"/>
      <c r="K292" s="91"/>
      <c r="L292" s="91"/>
      <c r="M292" s="91"/>
      <c r="N292" s="91"/>
      <c r="O292" s="91"/>
      <c r="P292" s="91"/>
      <c r="Q292" s="91"/>
      <c r="R292" s="91"/>
      <c r="S292" s="91"/>
    </row>
    <row r="293" spans="1:19" ht="12.75" customHeight="1" x14ac:dyDescent="0.2">
      <c r="A293" s="80"/>
      <c r="B293" s="90"/>
      <c r="C293" s="15"/>
      <c r="D293" s="239"/>
      <c r="E293" s="91"/>
      <c r="F293" s="91"/>
      <c r="G293" s="91"/>
      <c r="H293" s="91"/>
      <c r="I293" s="91"/>
      <c r="J293" s="91"/>
      <c r="K293" s="91"/>
      <c r="L293" s="91"/>
      <c r="M293" s="91"/>
      <c r="N293" s="91"/>
      <c r="O293" s="91"/>
      <c r="P293" s="91"/>
      <c r="Q293" s="91"/>
      <c r="R293" s="91"/>
      <c r="S293" s="91"/>
    </row>
    <row r="294" spans="1:19" ht="12.75" customHeight="1" x14ac:dyDescent="0.2">
      <c r="A294" s="80"/>
      <c r="B294" s="90"/>
      <c r="C294" s="15"/>
      <c r="D294" s="239"/>
      <c r="E294" s="91"/>
      <c r="F294" s="91"/>
      <c r="G294" s="91"/>
      <c r="H294" s="91"/>
      <c r="I294" s="91"/>
      <c r="J294" s="91"/>
      <c r="K294" s="91"/>
      <c r="L294" s="91"/>
      <c r="M294" s="91"/>
      <c r="N294" s="91"/>
      <c r="O294" s="91"/>
      <c r="P294" s="91"/>
      <c r="Q294" s="91"/>
      <c r="R294" s="91"/>
      <c r="S294" s="91"/>
    </row>
    <row r="295" spans="1:19" ht="12.75" customHeight="1" x14ac:dyDescent="0.2">
      <c r="A295" s="80"/>
      <c r="B295" s="90"/>
      <c r="C295" s="15"/>
      <c r="D295" s="239"/>
      <c r="E295" s="91"/>
      <c r="F295" s="91"/>
      <c r="G295" s="91"/>
      <c r="H295" s="91"/>
      <c r="I295" s="91"/>
      <c r="J295" s="91"/>
      <c r="K295" s="91"/>
      <c r="L295" s="91"/>
      <c r="M295" s="91"/>
      <c r="N295" s="91"/>
      <c r="O295" s="91"/>
      <c r="P295" s="91"/>
      <c r="Q295" s="91"/>
      <c r="R295" s="91"/>
      <c r="S295" s="91"/>
    </row>
    <row r="296" spans="1:19" ht="12.75" customHeight="1" x14ac:dyDescent="0.2">
      <c r="A296" s="80"/>
      <c r="B296" s="90"/>
      <c r="C296" s="15"/>
      <c r="D296" s="239"/>
      <c r="E296" s="91"/>
      <c r="F296" s="91"/>
      <c r="G296" s="91"/>
      <c r="H296" s="91"/>
      <c r="I296" s="91"/>
      <c r="J296" s="91"/>
      <c r="K296" s="91"/>
      <c r="L296" s="91"/>
      <c r="M296" s="91"/>
      <c r="N296" s="91"/>
      <c r="O296" s="91"/>
      <c r="P296" s="91"/>
      <c r="Q296" s="91"/>
      <c r="R296" s="91"/>
      <c r="S296" s="91"/>
    </row>
    <row r="297" spans="1:19" ht="12.75" customHeight="1" x14ac:dyDescent="0.2">
      <c r="A297" s="80"/>
      <c r="B297" s="90"/>
      <c r="C297" s="15"/>
      <c r="D297" s="239"/>
      <c r="E297" s="91"/>
      <c r="F297" s="91"/>
      <c r="G297" s="91"/>
      <c r="H297" s="91"/>
      <c r="I297" s="91"/>
      <c r="J297" s="91"/>
      <c r="K297" s="91"/>
      <c r="L297" s="91"/>
      <c r="M297" s="91"/>
      <c r="N297" s="91"/>
      <c r="O297" s="91"/>
      <c r="P297" s="91"/>
      <c r="Q297" s="91"/>
      <c r="R297" s="91"/>
      <c r="S297" s="91"/>
    </row>
    <row r="298" spans="1:19" ht="12.75" customHeight="1" x14ac:dyDescent="0.2">
      <c r="A298" s="80"/>
      <c r="B298" s="90"/>
      <c r="C298" s="15"/>
      <c r="D298" s="239"/>
      <c r="E298" s="91"/>
      <c r="F298" s="91"/>
      <c r="G298" s="91"/>
      <c r="H298" s="91"/>
      <c r="I298" s="91"/>
      <c r="J298" s="91"/>
      <c r="K298" s="91"/>
      <c r="L298" s="91"/>
      <c r="M298" s="91"/>
      <c r="N298" s="91"/>
      <c r="O298" s="91"/>
      <c r="P298" s="91"/>
      <c r="Q298" s="91"/>
      <c r="R298" s="91"/>
      <c r="S298" s="91"/>
    </row>
    <row r="299" spans="1:19" ht="12.75" customHeight="1" x14ac:dyDescent="0.2">
      <c r="A299" s="80"/>
      <c r="B299" s="90"/>
      <c r="C299" s="15"/>
      <c r="D299" s="239"/>
      <c r="E299" s="91"/>
      <c r="F299" s="91"/>
      <c r="G299" s="91"/>
      <c r="H299" s="91"/>
      <c r="I299" s="91"/>
      <c r="J299" s="91"/>
      <c r="K299" s="91"/>
      <c r="L299" s="91"/>
      <c r="M299" s="91"/>
      <c r="N299" s="91"/>
      <c r="O299" s="91"/>
      <c r="P299" s="91"/>
      <c r="Q299" s="91"/>
      <c r="R299" s="91"/>
      <c r="S299" s="91"/>
    </row>
    <row r="300" spans="1:19" ht="12.75" customHeight="1" x14ac:dyDescent="0.2">
      <c r="A300" s="80"/>
      <c r="B300" s="90"/>
      <c r="C300" s="15"/>
      <c r="D300" s="239"/>
      <c r="E300" s="91"/>
      <c r="F300" s="91"/>
      <c r="G300" s="91"/>
      <c r="H300" s="91"/>
      <c r="I300" s="91"/>
      <c r="J300" s="91"/>
      <c r="K300" s="91"/>
      <c r="L300" s="91"/>
      <c r="M300" s="91"/>
      <c r="N300" s="91"/>
      <c r="O300" s="91"/>
      <c r="P300" s="91"/>
      <c r="Q300" s="91"/>
      <c r="R300" s="91"/>
      <c r="S300" s="91"/>
    </row>
    <row r="301" spans="1:19" ht="12.75" customHeight="1" x14ac:dyDescent="0.2">
      <c r="A301" s="80"/>
      <c r="B301" s="90"/>
      <c r="C301" s="15"/>
      <c r="D301" s="239"/>
      <c r="E301" s="91"/>
      <c r="F301" s="91"/>
      <c r="G301" s="91"/>
      <c r="H301" s="91"/>
      <c r="I301" s="91"/>
      <c r="J301" s="91"/>
      <c r="K301" s="91"/>
      <c r="L301" s="91"/>
      <c r="M301" s="91"/>
      <c r="N301" s="91"/>
      <c r="O301" s="91"/>
      <c r="P301" s="91"/>
      <c r="Q301" s="91"/>
      <c r="R301" s="91"/>
      <c r="S301" s="91"/>
    </row>
    <row r="302" spans="1:19" ht="12.75" customHeight="1" x14ac:dyDescent="0.2">
      <c r="A302" s="80"/>
      <c r="B302" s="90"/>
      <c r="C302" s="15"/>
      <c r="D302" s="239"/>
      <c r="E302" s="91"/>
      <c r="F302" s="91"/>
      <c r="G302" s="91"/>
      <c r="H302" s="91"/>
      <c r="I302" s="91"/>
      <c r="J302" s="91"/>
      <c r="K302" s="91"/>
      <c r="L302" s="91"/>
      <c r="M302" s="91"/>
      <c r="N302" s="91"/>
      <c r="O302" s="91"/>
      <c r="P302" s="91"/>
      <c r="Q302" s="91"/>
      <c r="R302" s="91"/>
      <c r="S302" s="91"/>
    </row>
    <row r="303" spans="1:19" ht="12.75" customHeight="1" x14ac:dyDescent="0.2">
      <c r="A303" s="80"/>
      <c r="B303" s="90"/>
      <c r="C303" s="15"/>
      <c r="D303" s="239"/>
      <c r="E303" s="91"/>
      <c r="F303" s="91"/>
      <c r="G303" s="91"/>
      <c r="H303" s="91"/>
      <c r="I303" s="91"/>
      <c r="J303" s="91"/>
      <c r="K303" s="91"/>
      <c r="L303" s="91"/>
      <c r="M303" s="91"/>
      <c r="N303" s="91"/>
      <c r="O303" s="91"/>
      <c r="P303" s="91"/>
      <c r="Q303" s="91"/>
      <c r="R303" s="91"/>
      <c r="S303" s="91"/>
    </row>
    <row r="304" spans="1:19" ht="12.75" customHeight="1" x14ac:dyDescent="0.2">
      <c r="A304" s="80"/>
      <c r="B304" s="90"/>
      <c r="C304" s="15"/>
      <c r="D304" s="239"/>
      <c r="E304" s="91"/>
      <c r="F304" s="91"/>
      <c r="G304" s="91"/>
      <c r="H304" s="91"/>
      <c r="I304" s="91"/>
      <c r="J304" s="91"/>
      <c r="K304" s="91"/>
      <c r="L304" s="91"/>
      <c r="M304" s="91"/>
      <c r="N304" s="91"/>
      <c r="O304" s="91"/>
      <c r="P304" s="91"/>
      <c r="Q304" s="91"/>
      <c r="R304" s="91"/>
      <c r="S304" s="91"/>
    </row>
    <row r="305" spans="1:19" ht="12.75" customHeight="1" x14ac:dyDescent="0.2">
      <c r="A305" s="80"/>
      <c r="B305" s="90"/>
      <c r="C305" s="15"/>
      <c r="D305" s="239"/>
      <c r="E305" s="91"/>
      <c r="F305" s="91"/>
      <c r="G305" s="91"/>
      <c r="H305" s="91"/>
      <c r="I305" s="91"/>
      <c r="J305" s="91"/>
      <c r="K305" s="91"/>
      <c r="L305" s="91"/>
      <c r="M305" s="91"/>
      <c r="N305" s="91"/>
      <c r="O305" s="91"/>
      <c r="P305" s="91"/>
      <c r="Q305" s="91"/>
      <c r="R305" s="91"/>
      <c r="S305" s="91"/>
    </row>
    <row r="306" spans="1:19" ht="12.75" customHeight="1" x14ac:dyDescent="0.2">
      <c r="A306" s="80"/>
      <c r="B306" s="90"/>
      <c r="C306" s="15"/>
      <c r="D306" s="239"/>
      <c r="E306" s="91"/>
      <c r="F306" s="91"/>
      <c r="G306" s="91"/>
      <c r="H306" s="91"/>
      <c r="I306" s="91"/>
      <c r="J306" s="91"/>
      <c r="K306" s="91"/>
      <c r="L306" s="91"/>
      <c r="M306" s="91"/>
      <c r="N306" s="91"/>
      <c r="O306" s="91"/>
      <c r="P306" s="91"/>
      <c r="Q306" s="91"/>
      <c r="R306" s="91"/>
      <c r="S306" s="91"/>
    </row>
    <row r="307" spans="1:19" ht="12.75" customHeight="1" x14ac:dyDescent="0.2">
      <c r="A307" s="80"/>
      <c r="B307" s="90"/>
      <c r="C307" s="15"/>
      <c r="D307" s="239"/>
      <c r="E307" s="91"/>
      <c r="F307" s="91"/>
      <c r="G307" s="91"/>
      <c r="H307" s="91"/>
      <c r="I307" s="91"/>
      <c r="J307" s="91"/>
      <c r="K307" s="91"/>
      <c r="L307" s="91"/>
      <c r="M307" s="91"/>
      <c r="N307" s="91"/>
      <c r="O307" s="91"/>
      <c r="P307" s="91"/>
      <c r="Q307" s="91"/>
      <c r="R307" s="91"/>
      <c r="S307" s="91"/>
    </row>
    <row r="308" spans="1:19" ht="12.75" customHeight="1" x14ac:dyDescent="0.2">
      <c r="A308" s="80"/>
      <c r="B308" s="90"/>
      <c r="C308" s="15"/>
      <c r="D308" s="239"/>
      <c r="E308" s="91"/>
      <c r="F308" s="91"/>
      <c r="G308" s="91"/>
      <c r="H308" s="91"/>
      <c r="I308" s="91"/>
      <c r="J308" s="91"/>
      <c r="K308" s="91"/>
      <c r="L308" s="91"/>
      <c r="M308" s="91"/>
      <c r="N308" s="91"/>
      <c r="O308" s="91"/>
      <c r="P308" s="91"/>
      <c r="Q308" s="91"/>
      <c r="R308" s="91"/>
      <c r="S308" s="91"/>
    </row>
    <row r="309" spans="1:19" ht="12.75" customHeight="1" x14ac:dyDescent="0.2">
      <c r="A309" s="80"/>
      <c r="B309" s="90"/>
      <c r="C309" s="15"/>
      <c r="D309" s="239"/>
      <c r="E309" s="91"/>
      <c r="F309" s="91"/>
      <c r="G309" s="91"/>
      <c r="H309" s="91"/>
      <c r="I309" s="91"/>
      <c r="J309" s="91"/>
      <c r="K309" s="91"/>
      <c r="L309" s="91"/>
      <c r="M309" s="91"/>
      <c r="N309" s="91"/>
      <c r="O309" s="91"/>
      <c r="P309" s="91"/>
      <c r="Q309" s="91"/>
      <c r="R309" s="91"/>
      <c r="S309" s="91"/>
    </row>
    <row r="310" spans="1:19" ht="12.75" customHeight="1" x14ac:dyDescent="0.2">
      <c r="A310" s="80"/>
      <c r="B310" s="90"/>
      <c r="C310" s="15"/>
      <c r="D310" s="239"/>
      <c r="E310" s="91"/>
      <c r="F310" s="91"/>
      <c r="G310" s="91"/>
      <c r="H310" s="91"/>
      <c r="I310" s="91"/>
      <c r="J310" s="91"/>
      <c r="K310" s="91"/>
      <c r="L310" s="91"/>
      <c r="M310" s="91"/>
      <c r="N310" s="91"/>
      <c r="O310" s="91"/>
      <c r="P310" s="91"/>
      <c r="Q310" s="91"/>
      <c r="R310" s="91"/>
      <c r="S310" s="91"/>
    </row>
    <row r="311" spans="1:19" ht="12.75" customHeight="1" x14ac:dyDescent="0.2">
      <c r="A311" s="80"/>
      <c r="B311" s="90"/>
      <c r="C311" s="15"/>
      <c r="D311" s="239"/>
      <c r="E311" s="91"/>
      <c r="F311" s="91"/>
      <c r="G311" s="91"/>
      <c r="H311" s="91"/>
      <c r="I311" s="91"/>
      <c r="J311" s="91"/>
      <c r="K311" s="91"/>
      <c r="L311" s="91"/>
      <c r="M311" s="91"/>
      <c r="N311" s="91"/>
      <c r="O311" s="91"/>
      <c r="P311" s="91"/>
      <c r="Q311" s="91"/>
      <c r="R311" s="91"/>
      <c r="S311" s="91"/>
    </row>
    <row r="312" spans="1:19" ht="12.75" customHeight="1" x14ac:dyDescent="0.2">
      <c r="A312" s="80"/>
      <c r="B312" s="90"/>
      <c r="C312" s="15"/>
      <c r="D312" s="239"/>
      <c r="E312" s="91"/>
      <c r="F312" s="91"/>
      <c r="G312" s="91"/>
      <c r="H312" s="91"/>
      <c r="I312" s="91"/>
      <c r="J312" s="91"/>
      <c r="K312" s="91"/>
      <c r="L312" s="91"/>
      <c r="M312" s="91"/>
      <c r="N312" s="91"/>
      <c r="O312" s="91"/>
      <c r="P312" s="91"/>
      <c r="Q312" s="91"/>
      <c r="R312" s="91"/>
      <c r="S312" s="91"/>
    </row>
    <row r="313" spans="1:19" ht="12.75" customHeight="1" x14ac:dyDescent="0.2">
      <c r="A313" s="80"/>
      <c r="B313" s="90"/>
      <c r="C313" s="15"/>
      <c r="D313" s="239"/>
      <c r="E313" s="91"/>
      <c r="F313" s="91"/>
      <c r="G313" s="91"/>
      <c r="H313" s="91"/>
      <c r="I313" s="91"/>
      <c r="J313" s="91"/>
      <c r="K313" s="91"/>
      <c r="L313" s="91"/>
      <c r="M313" s="91"/>
      <c r="N313" s="91"/>
      <c r="O313" s="91"/>
      <c r="P313" s="91"/>
      <c r="Q313" s="91"/>
      <c r="R313" s="91"/>
      <c r="S313" s="91"/>
    </row>
    <row r="314" spans="1:19" ht="12.75" customHeight="1" x14ac:dyDescent="0.2">
      <c r="A314" s="80"/>
      <c r="B314" s="90"/>
      <c r="C314" s="15"/>
      <c r="D314" s="239"/>
      <c r="E314" s="91"/>
      <c r="F314" s="91"/>
      <c r="G314" s="91"/>
      <c r="H314" s="91"/>
      <c r="I314" s="91"/>
      <c r="J314" s="91"/>
      <c r="K314" s="91"/>
      <c r="L314" s="91"/>
      <c r="M314" s="91"/>
      <c r="N314" s="91"/>
      <c r="O314" s="91"/>
      <c r="P314" s="91"/>
      <c r="Q314" s="91"/>
      <c r="R314" s="91"/>
      <c r="S314" s="91"/>
    </row>
    <row r="315" spans="1:19" ht="12.75" customHeight="1" x14ac:dyDescent="0.2">
      <c r="A315" s="80"/>
      <c r="B315" s="90"/>
      <c r="C315" s="15"/>
      <c r="D315" s="239"/>
      <c r="E315" s="91"/>
      <c r="F315" s="91"/>
      <c r="G315" s="91"/>
      <c r="H315" s="91"/>
      <c r="I315" s="91"/>
      <c r="J315" s="91"/>
      <c r="K315" s="91"/>
      <c r="L315" s="91"/>
      <c r="M315" s="91"/>
      <c r="N315" s="91"/>
      <c r="O315" s="91"/>
      <c r="P315" s="91"/>
      <c r="Q315" s="91"/>
      <c r="R315" s="91"/>
      <c r="S315" s="91"/>
    </row>
    <row r="316" spans="1:19" ht="12.75" customHeight="1" x14ac:dyDescent="0.2">
      <c r="A316" s="80"/>
      <c r="B316" s="90"/>
      <c r="C316" s="15"/>
      <c r="D316" s="239"/>
      <c r="E316" s="91"/>
      <c r="F316" s="91"/>
      <c r="G316" s="91"/>
      <c r="H316" s="91"/>
      <c r="I316" s="91"/>
      <c r="J316" s="91"/>
      <c r="K316" s="91"/>
      <c r="L316" s="91"/>
      <c r="M316" s="91"/>
      <c r="N316" s="91"/>
      <c r="O316" s="91"/>
      <c r="P316" s="91"/>
      <c r="Q316" s="91"/>
      <c r="R316" s="91"/>
      <c r="S316" s="91"/>
    </row>
    <row r="317" spans="1:19" ht="12.75" customHeight="1" x14ac:dyDescent="0.2">
      <c r="A317" s="80"/>
      <c r="B317" s="90"/>
      <c r="C317" s="15"/>
      <c r="D317" s="239"/>
      <c r="E317" s="91"/>
      <c r="F317" s="91"/>
      <c r="G317" s="91"/>
      <c r="H317" s="91"/>
      <c r="I317" s="91"/>
      <c r="J317" s="91"/>
      <c r="K317" s="91"/>
      <c r="L317" s="91"/>
      <c r="M317" s="91"/>
      <c r="N317" s="91"/>
      <c r="O317" s="91"/>
      <c r="P317" s="91"/>
      <c r="Q317" s="91"/>
      <c r="R317" s="91"/>
      <c r="S317" s="91"/>
    </row>
    <row r="318" spans="1:19" ht="12.75" customHeight="1" x14ac:dyDescent="0.2">
      <c r="A318" s="80"/>
      <c r="B318" s="90"/>
      <c r="C318" s="15"/>
      <c r="D318" s="239"/>
      <c r="E318" s="91"/>
      <c r="F318" s="91"/>
      <c r="G318" s="91"/>
      <c r="H318" s="91"/>
      <c r="I318" s="91"/>
      <c r="J318" s="91"/>
      <c r="K318" s="91"/>
      <c r="L318" s="91"/>
      <c r="M318" s="91"/>
      <c r="N318" s="91"/>
      <c r="O318" s="91"/>
      <c r="P318" s="91"/>
      <c r="Q318" s="91"/>
      <c r="R318" s="91"/>
      <c r="S318" s="91"/>
    </row>
    <row r="319" spans="1:19" ht="12.75" customHeight="1" x14ac:dyDescent="0.2">
      <c r="A319" s="80"/>
      <c r="B319" s="90"/>
      <c r="C319" s="15"/>
      <c r="D319" s="239"/>
      <c r="E319" s="91"/>
      <c r="F319" s="91"/>
      <c r="G319" s="91"/>
      <c r="H319" s="91"/>
      <c r="I319" s="91"/>
      <c r="J319" s="91"/>
      <c r="K319" s="91"/>
      <c r="L319" s="91"/>
      <c r="M319" s="91"/>
      <c r="N319" s="91"/>
      <c r="O319" s="91"/>
      <c r="P319" s="91"/>
      <c r="Q319" s="91"/>
      <c r="R319" s="91"/>
      <c r="S319" s="91"/>
    </row>
    <row r="320" spans="1:19" ht="12.75" customHeight="1" x14ac:dyDescent="0.2">
      <c r="A320" s="80"/>
      <c r="B320" s="90"/>
      <c r="C320" s="15"/>
      <c r="D320" s="239"/>
      <c r="E320" s="91"/>
      <c r="F320" s="91"/>
      <c r="G320" s="91"/>
      <c r="H320" s="91"/>
      <c r="I320" s="91"/>
      <c r="J320" s="91"/>
      <c r="K320" s="91"/>
      <c r="L320" s="91"/>
      <c r="M320" s="91"/>
      <c r="N320" s="91"/>
      <c r="O320" s="91"/>
      <c r="P320" s="91"/>
      <c r="Q320" s="91"/>
      <c r="R320" s="91"/>
      <c r="S320" s="91"/>
    </row>
    <row r="321" spans="1:19" ht="12.75" customHeight="1" x14ac:dyDescent="0.2">
      <c r="A321" s="80"/>
      <c r="B321" s="90"/>
      <c r="C321" s="15"/>
      <c r="D321" s="239"/>
      <c r="E321" s="91"/>
      <c r="F321" s="91"/>
      <c r="G321" s="91"/>
      <c r="H321" s="91"/>
      <c r="I321" s="91"/>
      <c r="J321" s="91"/>
      <c r="K321" s="91"/>
      <c r="L321" s="91"/>
      <c r="M321" s="91"/>
      <c r="N321" s="91"/>
      <c r="O321" s="91"/>
      <c r="P321" s="91"/>
      <c r="Q321" s="91"/>
      <c r="R321" s="91"/>
      <c r="S321" s="91"/>
    </row>
    <row r="322" spans="1:19" ht="12.75" customHeight="1" x14ac:dyDescent="0.2">
      <c r="A322" s="80"/>
      <c r="B322" s="90"/>
      <c r="C322" s="15"/>
      <c r="D322" s="239"/>
      <c r="E322" s="91"/>
      <c r="F322" s="91"/>
      <c r="G322" s="91"/>
      <c r="H322" s="91"/>
      <c r="I322" s="91"/>
      <c r="J322" s="91"/>
      <c r="K322" s="91"/>
      <c r="L322" s="91"/>
      <c r="M322" s="91"/>
      <c r="N322" s="91"/>
      <c r="O322" s="91"/>
      <c r="P322" s="91"/>
      <c r="Q322" s="91"/>
      <c r="R322" s="91"/>
      <c r="S322" s="91"/>
    </row>
    <row r="323" spans="1:19" ht="12.75" customHeight="1" x14ac:dyDescent="0.2"/>
    <row r="324" spans="1:19" ht="12.75" customHeight="1" x14ac:dyDescent="0.2"/>
    <row r="325" spans="1:19" ht="12.75" customHeight="1" x14ac:dyDescent="0.2"/>
    <row r="326" spans="1:19" ht="12.75" customHeight="1" x14ac:dyDescent="0.2"/>
    <row r="327" spans="1:19" ht="12.75" customHeight="1" x14ac:dyDescent="0.2"/>
    <row r="328" spans="1:19" ht="12.75" customHeight="1" x14ac:dyDescent="0.2"/>
    <row r="329" spans="1:19" ht="12.75" customHeight="1" x14ac:dyDescent="0.2"/>
    <row r="330" spans="1:19" ht="12.75" customHeight="1" x14ac:dyDescent="0.2"/>
    <row r="331" spans="1:19" ht="12.75" customHeight="1" x14ac:dyDescent="0.2"/>
    <row r="332" spans="1:19" ht="12.75" customHeight="1" x14ac:dyDescent="0.2"/>
    <row r="333" spans="1:19" ht="12.75" customHeight="1" x14ac:dyDescent="0.2"/>
    <row r="334" spans="1:19" ht="12.75" customHeight="1" x14ac:dyDescent="0.2"/>
    <row r="335" spans="1:19" ht="12.75" customHeight="1" x14ac:dyDescent="0.2"/>
    <row r="336" spans="1:19"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hidden="1" customHeight="1" x14ac:dyDescent="0.2"/>
    <row r="698" ht="12.75" hidden="1" customHeight="1" x14ac:dyDescent="0.2"/>
    <row r="699" ht="12.75" hidden="1"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sheetData>
  <autoFilter ref="A10:W72">
    <sortState ref="A12:W71">
      <sortCondition ref="A10:A88"/>
    </sortState>
  </autoFilter>
  <customSheetViews>
    <customSheetView guid="{45C8AF51-29EC-46A5-AB7F-1F0634E55D82}" scale="60" showAutoFilter="1" hiddenRows="1" hiddenColumns="1" topLeftCell="A85">
      <pane ySplit="13.72" topLeftCell="A532"/>
      <selection activeCell="A101" sqref="A101"/>
      <pageMargins left="0.28999999999999998" right="0.2" top="0.6692913385826772" bottom="0.9055118110236221" header="0.43" footer="0.59055118110236227"/>
      <printOptions horizontalCentered="1"/>
      <pageSetup paperSize="14" scale="75" orientation="landscape" r:id="rId1"/>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10:W70">
        <sortState ref="A12:W70">
          <sortCondition ref="A10:A87"/>
        </sortState>
      </autoFilter>
    </customSheetView>
    <customSheetView guid="{FCC3B493-4306-43B2-9C73-76324485DD47}" scale="60" showAutoFilter="1" hiddenRows="1" hiddenColumns="1">
      <pane xSplit="4" ySplit="16" topLeftCell="E17" activePane="bottomRight" state="frozen"/>
      <selection pane="bottomRight" activeCell="A11" sqref="A11:A70"/>
      <pageMargins left="0.28999999999999998" right="0.2" top="0.6692913385826772" bottom="0.9055118110236221" header="0.43" footer="0.59055118110236227"/>
      <printOptions horizontalCentered="1"/>
      <pageSetup paperSize="14" scale="75" orientation="landscape" r:id="rId2"/>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10:XFD70"/>
    </customSheetView>
    <customSheetView guid="{AEDE1BDB-8710-4CDA-8488-31F49D423ACE}" scale="60" filter="1" showAutoFilter="1" hiddenRows="1" hiddenColumns="1">
      <pane xSplit="3" ySplit="83" topLeftCell="S138" activePane="bottomRight" state="frozenSplit"/>
      <selection pane="bottomRight" activeCell="S153" sqref="S153"/>
      <pageMargins left="0.28999999999999998" right="0.2" top="0.6692913385826772" bottom="0.9055118110236221" header="0.43" footer="0.59055118110236227"/>
      <printOptions horizontalCentered="1"/>
      <pageSetup paperSize="14" scale="75" orientation="landscape" r:id="rId3"/>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10:W84">
        <filterColumn colId="18">
          <filters>
            <filter val="Inviable Sanitariamente"/>
          </filters>
        </filterColumn>
      </autoFilter>
    </customSheetView>
    <customSheetView guid="{75DD7674-E7DE-4BB1-A36D-76AA33452CB3}" scale="60" showAutoFilter="1" hiddenRows="1" hiddenColumns="1">
      <selection activeCell="C78" sqref="C78"/>
      <pageMargins left="0.28999999999999998" right="0.2" top="0.6692913385826772" bottom="0.9055118110236221" header="0.43" footer="0.59055118110236227"/>
      <printOptions horizontalCentered="1"/>
      <pageSetup paperSize="14" scale="75" orientation="landscape" r:id="rId4"/>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10:W70">
        <sortState ref="A12:W70">
          <sortCondition ref="A10:A87"/>
        </sortState>
      </autoFilter>
    </customSheetView>
  </customSheetViews>
  <mergeCells count="19">
    <mergeCell ref="H5:J6"/>
    <mergeCell ref="K5:M6"/>
    <mergeCell ref="N5:P6"/>
    <mergeCell ref="Q5:R6"/>
    <mergeCell ref="S5:S6"/>
    <mergeCell ref="B1:D1"/>
    <mergeCell ref="B2:D2"/>
    <mergeCell ref="B3:D3"/>
    <mergeCell ref="B5:D5"/>
    <mergeCell ref="E5:G6"/>
    <mergeCell ref="C74:S75"/>
    <mergeCell ref="C9:C10"/>
    <mergeCell ref="A9:A10"/>
    <mergeCell ref="B9:B10"/>
    <mergeCell ref="D9:D10"/>
    <mergeCell ref="S9:S10"/>
    <mergeCell ref="E9:P9"/>
    <mergeCell ref="R9:R10"/>
    <mergeCell ref="Q9:Q10"/>
  </mergeCells>
  <conditionalFormatting sqref="Q11:Q39 Q41:Q72">
    <cfRule type="containsBlanks" dxfId="4188" priority="980" stopIfTrue="1">
      <formula>LEN(TRIM(Q11))=0</formula>
    </cfRule>
    <cfRule type="cellIs" dxfId="4187" priority="981" stopIfTrue="1" operator="between">
      <formula>80.1</formula>
      <formula>100</formula>
    </cfRule>
    <cfRule type="cellIs" dxfId="4186" priority="982" stopIfTrue="1" operator="between">
      <formula>35.1</formula>
      <formula>80</formula>
    </cfRule>
    <cfRule type="cellIs" dxfId="4185" priority="983" stopIfTrue="1" operator="between">
      <formula>14.1</formula>
      <formula>35</formula>
    </cfRule>
    <cfRule type="cellIs" dxfId="4184" priority="984" stopIfTrue="1" operator="between">
      <formula>5.1</formula>
      <formula>14</formula>
    </cfRule>
    <cfRule type="cellIs" dxfId="4183" priority="985" stopIfTrue="1" operator="between">
      <formula>0</formula>
      <formula>5</formula>
    </cfRule>
    <cfRule type="containsBlanks" dxfId="4182" priority="986" stopIfTrue="1">
      <formula>LEN(TRIM(Q11))=0</formula>
    </cfRule>
  </conditionalFormatting>
  <conditionalFormatting sqref="R20:R27 R11:R16">
    <cfRule type="cellIs" dxfId="4181" priority="460" stopIfTrue="1" operator="equal">
      <formula>"NO"</formula>
    </cfRule>
  </conditionalFormatting>
  <conditionalFormatting sqref="R17">
    <cfRule type="cellIs" dxfId="4180" priority="270" stopIfTrue="1" operator="equal">
      <formula>"NO"</formula>
    </cfRule>
  </conditionalFormatting>
  <conditionalFormatting sqref="Q17:Q18">
    <cfRule type="containsBlanks" dxfId="4179" priority="263" stopIfTrue="1">
      <formula>LEN(TRIM(Q17))=0</formula>
    </cfRule>
    <cfRule type="cellIs" dxfId="4178" priority="264" stopIfTrue="1" operator="between">
      <formula>80.1</formula>
      <formula>100</formula>
    </cfRule>
    <cfRule type="cellIs" dxfId="4177" priority="265" stopIfTrue="1" operator="between">
      <formula>35.1</formula>
      <formula>80</formula>
    </cfRule>
    <cfRule type="cellIs" dxfId="4176" priority="266" stopIfTrue="1" operator="between">
      <formula>14.1</formula>
      <formula>35</formula>
    </cfRule>
    <cfRule type="cellIs" dxfId="4175" priority="267" stopIfTrue="1" operator="between">
      <formula>5.1</formula>
      <formula>14</formula>
    </cfRule>
    <cfRule type="cellIs" dxfId="4174" priority="268" stopIfTrue="1" operator="between">
      <formula>0</formula>
      <formula>5</formula>
    </cfRule>
    <cfRule type="containsBlanks" dxfId="4173" priority="269" stopIfTrue="1">
      <formula>LEN(TRIM(Q17))=0</formula>
    </cfRule>
  </conditionalFormatting>
  <conditionalFormatting sqref="R19">
    <cfRule type="cellIs" dxfId="4172" priority="255" stopIfTrue="1" operator="equal">
      <formula>"NO"</formula>
    </cfRule>
  </conditionalFormatting>
  <conditionalFormatting sqref="R18">
    <cfRule type="cellIs" dxfId="4171" priority="247" stopIfTrue="1" operator="equal">
      <formula>"NO"</formula>
    </cfRule>
  </conditionalFormatting>
  <conditionalFormatting sqref="S11:S39 S41:S72">
    <cfRule type="cellIs" dxfId="4170" priority="42" stopIfTrue="1" operator="equal">
      <formula>"INVIABLE SANITARIAMENTE"</formula>
    </cfRule>
  </conditionalFormatting>
  <conditionalFormatting sqref="S11:S39 S41:S72">
    <cfRule type="containsText" dxfId="4169" priority="30" stopIfTrue="1" operator="containsText" text="INVIABLE SANITARIAMENTE">
      <formula>NOT(ISERROR(SEARCH("INVIABLE SANITARIAMENTE",S11)))</formula>
    </cfRule>
    <cfRule type="containsText" dxfId="4168" priority="31" stopIfTrue="1" operator="containsText" text="ALTO">
      <formula>NOT(ISERROR(SEARCH("ALTO",S11)))</formula>
    </cfRule>
    <cfRule type="containsText" dxfId="4167" priority="32" stopIfTrue="1" operator="containsText" text="MEDIO">
      <formula>NOT(ISERROR(SEARCH("MEDIO",S11)))</formula>
    </cfRule>
    <cfRule type="containsText" dxfId="4166" priority="33" stopIfTrue="1" operator="containsText" text="BAJO">
      <formula>NOT(ISERROR(SEARCH("BAJO",S11)))</formula>
    </cfRule>
    <cfRule type="containsText" dxfId="4165" priority="34" stopIfTrue="1" operator="containsText" text="SIN RIESGO">
      <formula>NOT(ISERROR(SEARCH("SIN RIESGO",S11)))</formula>
    </cfRule>
  </conditionalFormatting>
  <conditionalFormatting sqref="S11:S39 S41:S72">
    <cfRule type="containsText" dxfId="4164" priority="29" stopIfTrue="1" operator="containsText" text="SIN RIESGO">
      <formula>NOT(ISERROR(SEARCH("SIN RIESGO",S11)))</formula>
    </cfRule>
  </conditionalFormatting>
  <conditionalFormatting sqref="Q72:R72 E11:P39 E41:P72">
    <cfRule type="containsBlanks" dxfId="4163" priority="22" stopIfTrue="1">
      <formula>LEN(TRIM(E11))=0</formula>
    </cfRule>
    <cfRule type="cellIs" dxfId="4162" priority="23" stopIfTrue="1" operator="between">
      <formula>79.1</formula>
      <formula>100</formula>
    </cfRule>
    <cfRule type="cellIs" dxfId="4161" priority="24" stopIfTrue="1" operator="between">
      <formula>34.1</formula>
      <formula>79</formula>
    </cfRule>
    <cfRule type="cellIs" dxfId="4160" priority="25" stopIfTrue="1" operator="between">
      <formula>13.1</formula>
      <formula>34</formula>
    </cfRule>
    <cfRule type="cellIs" dxfId="4159" priority="26" stopIfTrue="1" operator="between">
      <formula>5.1</formula>
      <formula>13</formula>
    </cfRule>
    <cfRule type="cellIs" dxfId="4158" priority="27" stopIfTrue="1" operator="between">
      <formula>0</formula>
      <formula>5</formula>
    </cfRule>
    <cfRule type="containsBlanks" dxfId="4157" priority="28" stopIfTrue="1">
      <formula>LEN(TRIM(E11))=0</formula>
    </cfRule>
  </conditionalFormatting>
  <conditionalFormatting sqref="Q40">
    <cfRule type="containsBlanks" dxfId="4156" priority="15" stopIfTrue="1">
      <formula>LEN(TRIM(Q40))=0</formula>
    </cfRule>
    <cfRule type="cellIs" dxfId="4155" priority="16" stopIfTrue="1" operator="between">
      <formula>80.1</formula>
      <formula>100</formula>
    </cfRule>
    <cfRule type="cellIs" dxfId="4154" priority="17" stopIfTrue="1" operator="between">
      <formula>35.1</formula>
      <formula>80</formula>
    </cfRule>
    <cfRule type="cellIs" dxfId="4153" priority="18" stopIfTrue="1" operator="between">
      <formula>14.1</formula>
      <formula>35</formula>
    </cfRule>
    <cfRule type="cellIs" dxfId="4152" priority="19" stopIfTrue="1" operator="between">
      <formula>5.1</formula>
      <formula>14</formula>
    </cfRule>
    <cfRule type="cellIs" dxfId="4151" priority="20" stopIfTrue="1" operator="between">
      <formula>0</formula>
      <formula>5</formula>
    </cfRule>
    <cfRule type="containsBlanks" dxfId="4150" priority="21" stopIfTrue="1">
      <formula>LEN(TRIM(Q40))=0</formula>
    </cfRule>
  </conditionalFormatting>
  <conditionalFormatting sqref="S40">
    <cfRule type="cellIs" dxfId="4149" priority="14" stopIfTrue="1" operator="equal">
      <formula>"INVIABLE SANITARIAMENTE"</formula>
    </cfRule>
  </conditionalFormatting>
  <conditionalFormatting sqref="S40">
    <cfRule type="containsText" dxfId="4148" priority="9" stopIfTrue="1" operator="containsText" text="INVIABLE SANITARIAMENTE">
      <formula>NOT(ISERROR(SEARCH("INVIABLE SANITARIAMENTE",S40)))</formula>
    </cfRule>
    <cfRule type="containsText" dxfId="4147" priority="10" stopIfTrue="1" operator="containsText" text="ALTO">
      <formula>NOT(ISERROR(SEARCH("ALTO",S40)))</formula>
    </cfRule>
    <cfRule type="containsText" dxfId="4146" priority="11" stopIfTrue="1" operator="containsText" text="MEDIO">
      <formula>NOT(ISERROR(SEARCH("MEDIO",S40)))</formula>
    </cfRule>
    <cfRule type="containsText" dxfId="4145" priority="12" stopIfTrue="1" operator="containsText" text="BAJO">
      <formula>NOT(ISERROR(SEARCH("BAJO",S40)))</formula>
    </cfRule>
    <cfRule type="containsText" dxfId="4144" priority="13" stopIfTrue="1" operator="containsText" text="SIN RIESGO">
      <formula>NOT(ISERROR(SEARCH("SIN RIESGO",S40)))</formula>
    </cfRule>
  </conditionalFormatting>
  <conditionalFormatting sqref="S40">
    <cfRule type="containsText" dxfId="4143" priority="8" stopIfTrue="1" operator="containsText" text="SIN RIESGO">
      <formula>NOT(ISERROR(SEARCH("SIN RIESGO",S40)))</formula>
    </cfRule>
  </conditionalFormatting>
  <conditionalFormatting sqref="E40:P40">
    <cfRule type="containsBlanks" dxfId="4142" priority="1" stopIfTrue="1">
      <formula>LEN(TRIM(E40))=0</formula>
    </cfRule>
    <cfRule type="cellIs" dxfId="4141" priority="2" stopIfTrue="1" operator="between">
      <formula>79.1</formula>
      <formula>100</formula>
    </cfRule>
    <cfRule type="cellIs" dxfId="4140" priority="3" stopIfTrue="1" operator="between">
      <formula>34.1</formula>
      <formula>79</formula>
    </cfRule>
    <cfRule type="cellIs" dxfId="4139" priority="4" stopIfTrue="1" operator="between">
      <formula>13.1</formula>
      <formula>34</formula>
    </cfRule>
    <cfRule type="cellIs" dxfId="4138" priority="5" stopIfTrue="1" operator="between">
      <formula>5.1</formula>
      <formula>13</formula>
    </cfRule>
    <cfRule type="cellIs" dxfId="4137" priority="6" stopIfTrue="1" operator="between">
      <formula>0</formula>
      <formula>5</formula>
    </cfRule>
    <cfRule type="containsBlanks" dxfId="4136" priority="7" stopIfTrue="1">
      <formula>LEN(TRIM(E40))=0</formula>
    </cfRule>
  </conditionalFormatting>
  <printOptions horizontalCentered="1"/>
  <pageMargins left="0.28999999999999998" right="0.2" top="0.6692913385826772" bottom="0.9055118110236221" header="0.43" footer="0.59055118110236227"/>
  <pageSetup paperSize="14" scale="75" orientation="landscape" r:id="rId5"/>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theme="0"/>
  </sheetPr>
  <dimension ref="A1:BR91"/>
  <sheetViews>
    <sheetView zoomScale="70" zoomScaleNormal="70" workbookViewId="0">
      <pane xSplit="3" ySplit="7" topLeftCell="D8" activePane="bottomRight" state="frozenSplit"/>
      <selection pane="topRight" activeCell="D1" sqref="D1"/>
      <selection pane="bottomLeft" activeCell="A8" sqref="A8"/>
      <selection pane="bottomRight" activeCell="A11" sqref="A11"/>
    </sheetView>
  </sheetViews>
  <sheetFormatPr baseColWidth="10" defaultRowHeight="12.75" x14ac:dyDescent="0.2"/>
  <cols>
    <col min="1" max="1" width="35.140625" style="34" customWidth="1"/>
    <col min="2" max="2" width="48.85546875" style="14" customWidth="1"/>
    <col min="3" max="3" width="59.42578125" style="14" customWidth="1"/>
    <col min="4" max="4" width="24.7109375" style="14" customWidth="1"/>
    <col min="5" max="18" width="10.7109375" style="13" customWidth="1"/>
    <col min="19" max="19" width="42.85546875" style="13" bestFit="1" customWidth="1"/>
    <col min="20" max="20" width="9.85546875" style="13" customWidth="1"/>
    <col min="21" max="16384" width="11.42578125" style="13"/>
  </cols>
  <sheetData>
    <row r="1" spans="1:23" s="7" customFormat="1" ht="18" customHeight="1" x14ac:dyDescent="0.2">
      <c r="A1" s="108"/>
      <c r="B1" s="326" t="s">
        <v>254</v>
      </c>
      <c r="C1" s="326"/>
      <c r="D1" s="326"/>
      <c r="E1" s="86"/>
      <c r="F1" s="86"/>
      <c r="G1" s="86"/>
      <c r="H1" s="86"/>
      <c r="I1" s="86"/>
      <c r="J1" s="86"/>
      <c r="K1" s="86"/>
      <c r="L1" s="86"/>
      <c r="M1" s="86"/>
      <c r="N1" s="86"/>
      <c r="O1" s="86"/>
      <c r="P1" s="86"/>
      <c r="Q1" s="86"/>
      <c r="R1" s="87"/>
      <c r="S1" s="39" t="s">
        <v>492</v>
      </c>
      <c r="T1" s="3"/>
      <c r="U1" s="5"/>
      <c r="V1" s="6"/>
      <c r="W1" s="6"/>
    </row>
    <row r="2" spans="1:23" s="9" customFormat="1" ht="18" customHeight="1" x14ac:dyDescent="0.2">
      <c r="A2" s="108"/>
      <c r="B2" s="326" t="s">
        <v>4587</v>
      </c>
      <c r="C2" s="326"/>
      <c r="D2" s="326"/>
      <c r="E2" s="310"/>
      <c r="F2" s="310"/>
      <c r="G2" s="310"/>
      <c r="H2" s="310"/>
      <c r="I2" s="310"/>
      <c r="J2" s="310"/>
      <c r="K2" s="310"/>
      <c r="L2" s="310"/>
      <c r="M2" s="310"/>
      <c r="N2" s="310"/>
      <c r="O2" s="310"/>
      <c r="P2" s="310"/>
      <c r="Q2" s="310"/>
      <c r="R2" s="88"/>
      <c r="S2" s="40" t="s">
        <v>255</v>
      </c>
      <c r="T2" s="3"/>
      <c r="U2" s="8"/>
      <c r="V2" s="6"/>
      <c r="W2" s="6"/>
    </row>
    <row r="3" spans="1:23" s="7" customFormat="1" ht="18" customHeight="1" x14ac:dyDescent="0.2">
      <c r="A3" s="108"/>
      <c r="B3" s="327" t="s">
        <v>4588</v>
      </c>
      <c r="C3" s="327"/>
      <c r="D3" s="327"/>
      <c r="E3" s="309"/>
      <c r="F3" s="309"/>
      <c r="G3" s="309"/>
      <c r="H3" s="309"/>
      <c r="I3" s="309"/>
      <c r="J3" s="309"/>
      <c r="K3" s="309"/>
      <c r="L3" s="309"/>
      <c r="M3" s="309"/>
      <c r="N3" s="309"/>
      <c r="O3" s="309"/>
      <c r="P3" s="309"/>
      <c r="Q3" s="309"/>
      <c r="R3" s="89"/>
      <c r="S3" s="40" t="s">
        <v>493</v>
      </c>
      <c r="T3" s="3"/>
      <c r="U3" s="5"/>
      <c r="V3" s="6"/>
      <c r="W3" s="6"/>
    </row>
    <row r="4" spans="1:23" s="7" customFormat="1" ht="18" customHeight="1" x14ac:dyDescent="0.25">
      <c r="A4" s="108"/>
      <c r="B4" s="60" t="s">
        <v>4119</v>
      </c>
      <c r="C4" s="309"/>
      <c r="D4" s="309"/>
      <c r="E4" s="37"/>
      <c r="F4" s="37"/>
      <c r="G4" s="37"/>
      <c r="H4" s="37"/>
      <c r="I4" s="37"/>
      <c r="J4" s="37"/>
      <c r="K4" s="37"/>
      <c r="L4" s="37"/>
      <c r="M4" s="37"/>
      <c r="N4" s="37"/>
      <c r="O4" s="37"/>
      <c r="P4" s="37"/>
      <c r="Q4" s="37"/>
      <c r="R4" s="38"/>
      <c r="S4" s="40" t="s">
        <v>256</v>
      </c>
      <c r="T4" s="3"/>
      <c r="U4" s="5"/>
      <c r="V4" s="6"/>
      <c r="W4" s="6"/>
    </row>
    <row r="5" spans="1:23" s="32" customFormat="1" ht="15" customHeight="1" x14ac:dyDescent="0.2">
      <c r="A5" s="109"/>
      <c r="B5" s="326" t="s">
        <v>4291</v>
      </c>
      <c r="C5" s="326"/>
      <c r="D5" s="326"/>
      <c r="E5" s="319" t="s">
        <v>251</v>
      </c>
      <c r="F5" s="319"/>
      <c r="G5" s="319"/>
      <c r="H5" s="314" t="s">
        <v>258</v>
      </c>
      <c r="I5" s="314"/>
      <c r="J5" s="314"/>
      <c r="K5" s="321" t="s">
        <v>491</v>
      </c>
      <c r="L5" s="321"/>
      <c r="M5" s="321"/>
      <c r="N5" s="318" t="s">
        <v>422</v>
      </c>
      <c r="O5" s="318"/>
      <c r="P5" s="318"/>
      <c r="Q5" s="334" t="s">
        <v>259</v>
      </c>
      <c r="R5" s="334"/>
      <c r="S5" s="313" t="s">
        <v>261</v>
      </c>
    </row>
    <row r="6" spans="1:23" s="32" customFormat="1" ht="16.5" customHeight="1" x14ac:dyDescent="0.2">
      <c r="A6" s="109"/>
      <c r="B6" s="174"/>
      <c r="C6" s="360"/>
      <c r="D6" s="359" t="s">
        <v>260</v>
      </c>
      <c r="E6" s="319"/>
      <c r="F6" s="319"/>
      <c r="G6" s="319"/>
      <c r="H6" s="314"/>
      <c r="I6" s="314"/>
      <c r="J6" s="314"/>
      <c r="K6" s="321"/>
      <c r="L6" s="321"/>
      <c r="M6" s="321"/>
      <c r="N6" s="318"/>
      <c r="O6" s="318"/>
      <c r="P6" s="318"/>
      <c r="Q6" s="334"/>
      <c r="R6" s="334"/>
      <c r="S6" s="313"/>
    </row>
    <row r="7" spans="1:23" s="32" customFormat="1" ht="6" customHeight="1" x14ac:dyDescent="0.2">
      <c r="A7" s="329"/>
      <c r="B7" s="329"/>
      <c r="C7" s="42"/>
      <c r="D7" s="42"/>
      <c r="E7" s="43"/>
      <c r="F7" s="43"/>
      <c r="G7" s="43"/>
      <c r="H7" s="43"/>
      <c r="I7" s="43"/>
      <c r="J7" s="43"/>
      <c r="K7" s="43"/>
      <c r="L7" s="43"/>
      <c r="M7" s="43"/>
      <c r="N7" s="43"/>
      <c r="O7" s="43"/>
      <c r="P7" s="43"/>
      <c r="Q7" s="43"/>
      <c r="R7" s="43"/>
      <c r="S7" s="41"/>
    </row>
    <row r="8" spans="1:23" ht="19.5" customHeight="1" x14ac:dyDescent="0.2">
      <c r="A8" s="504" t="s">
        <v>4627</v>
      </c>
      <c r="B8" s="51"/>
      <c r="C8" s="50"/>
      <c r="D8" s="50"/>
      <c r="E8" s="50"/>
      <c r="F8" s="50"/>
      <c r="G8" s="50"/>
      <c r="H8" s="50"/>
      <c r="I8" s="50"/>
      <c r="J8" s="50"/>
      <c r="K8" s="50"/>
      <c r="L8" s="50"/>
      <c r="M8" s="50"/>
      <c r="N8" s="50"/>
      <c r="O8" s="50"/>
      <c r="P8" s="50"/>
      <c r="Q8" s="50"/>
      <c r="R8" s="50"/>
      <c r="S8" s="49"/>
      <c r="T8" s="15"/>
    </row>
    <row r="9" spans="1:23" ht="32.1" customHeight="1" x14ac:dyDescent="0.2">
      <c r="A9" s="330" t="s">
        <v>37</v>
      </c>
      <c r="B9" s="328" t="s">
        <v>38</v>
      </c>
      <c r="C9" s="328" t="s">
        <v>257</v>
      </c>
      <c r="D9" s="337" t="s">
        <v>419</v>
      </c>
      <c r="E9" s="328" t="s">
        <v>33</v>
      </c>
      <c r="F9" s="328"/>
      <c r="G9" s="328"/>
      <c r="H9" s="328"/>
      <c r="I9" s="328"/>
      <c r="J9" s="328"/>
      <c r="K9" s="328"/>
      <c r="L9" s="328"/>
      <c r="M9" s="328"/>
      <c r="N9" s="328"/>
      <c r="O9" s="328"/>
      <c r="P9" s="328"/>
      <c r="Q9" s="335" t="s">
        <v>34</v>
      </c>
      <c r="R9" s="335" t="s">
        <v>36</v>
      </c>
      <c r="S9" s="328" t="s">
        <v>35</v>
      </c>
      <c r="T9" s="15"/>
    </row>
    <row r="10" spans="1:23" ht="32.1" customHeight="1" x14ac:dyDescent="0.2">
      <c r="A10" s="330"/>
      <c r="B10" s="328"/>
      <c r="C10" s="328"/>
      <c r="D10" s="338"/>
      <c r="E10" s="237" t="s">
        <v>21</v>
      </c>
      <c r="F10" s="237" t="s">
        <v>22</v>
      </c>
      <c r="G10" s="237" t="s">
        <v>23</v>
      </c>
      <c r="H10" s="237" t="s">
        <v>24</v>
      </c>
      <c r="I10" s="237" t="s">
        <v>25</v>
      </c>
      <c r="J10" s="237" t="s">
        <v>26</v>
      </c>
      <c r="K10" s="237" t="s">
        <v>27</v>
      </c>
      <c r="L10" s="237" t="s">
        <v>28</v>
      </c>
      <c r="M10" s="237" t="s">
        <v>29</v>
      </c>
      <c r="N10" s="237" t="s">
        <v>30</v>
      </c>
      <c r="O10" s="237" t="s">
        <v>31</v>
      </c>
      <c r="P10" s="237" t="s">
        <v>32</v>
      </c>
      <c r="Q10" s="335"/>
      <c r="R10" s="335"/>
      <c r="S10" s="328"/>
      <c r="T10" s="15"/>
    </row>
    <row r="11" spans="1:23" ht="50.1" customHeight="1" x14ac:dyDescent="0.2">
      <c r="A11" s="412" t="s">
        <v>188</v>
      </c>
      <c r="B11" s="445" t="s">
        <v>1471</v>
      </c>
      <c r="C11" s="406" t="s">
        <v>4170</v>
      </c>
      <c r="D11" s="364">
        <v>42</v>
      </c>
      <c r="E11" s="460"/>
      <c r="F11" s="460"/>
      <c r="G11" s="460"/>
      <c r="H11" s="460"/>
      <c r="I11" s="460"/>
      <c r="J11" s="460"/>
      <c r="K11" s="460"/>
      <c r="L11" s="460"/>
      <c r="M11" s="460"/>
      <c r="N11" s="460"/>
      <c r="O11" s="460"/>
      <c r="P11" s="460"/>
      <c r="Q11" s="374" t="e">
        <f t="shared" ref="Q11:Q44" si="0">AVERAGE(E11:P11)</f>
        <v>#DIV/0!</v>
      </c>
      <c r="R11" s="375" t="e">
        <f t="shared" ref="R11:R44" si="1">IF(Q11&lt;5,"SI","NO")</f>
        <v>#DIV/0!</v>
      </c>
      <c r="S11" s="376" t="e">
        <f t="shared" ref="S11:S44" si="2">IF(Q11&lt;=5,"Sin Riesgo",IF(Q11 &lt;=14,"Bajo",IF(Q11&lt;=35,"Medio",IF(Q11&lt;=80,"Alto","Inviable Sanitariamente"))))</f>
        <v>#DIV/0!</v>
      </c>
      <c r="T11" s="15"/>
    </row>
    <row r="12" spans="1:23" ht="50.1" customHeight="1" x14ac:dyDescent="0.2">
      <c r="A12" s="412" t="s">
        <v>188</v>
      </c>
      <c r="B12" s="445" t="s">
        <v>1472</v>
      </c>
      <c r="C12" s="406" t="s">
        <v>4171</v>
      </c>
      <c r="D12" s="364">
        <v>24</v>
      </c>
      <c r="E12" s="460"/>
      <c r="F12" s="460"/>
      <c r="G12" s="460"/>
      <c r="H12" s="460"/>
      <c r="I12" s="460"/>
      <c r="J12" s="460"/>
      <c r="K12" s="460"/>
      <c r="L12" s="460"/>
      <c r="M12" s="460"/>
      <c r="N12" s="460"/>
      <c r="O12" s="460"/>
      <c r="P12" s="460"/>
      <c r="Q12" s="440" t="e">
        <f t="shared" si="0"/>
        <v>#DIV/0!</v>
      </c>
      <c r="R12" s="395" t="e">
        <f t="shared" si="1"/>
        <v>#DIV/0!</v>
      </c>
      <c r="S12" s="376" t="e">
        <f t="shared" si="2"/>
        <v>#DIV/0!</v>
      </c>
      <c r="T12" s="15"/>
    </row>
    <row r="13" spans="1:23" ht="50.1" customHeight="1" x14ac:dyDescent="0.2">
      <c r="A13" s="412" t="s">
        <v>188</v>
      </c>
      <c r="B13" s="445" t="s">
        <v>1473</v>
      </c>
      <c r="C13" s="406" t="s">
        <v>4172</v>
      </c>
      <c r="D13" s="364">
        <v>54</v>
      </c>
      <c r="E13" s="460"/>
      <c r="F13" s="460"/>
      <c r="G13" s="460"/>
      <c r="H13" s="460"/>
      <c r="I13" s="460"/>
      <c r="J13" s="460"/>
      <c r="K13" s="460"/>
      <c r="L13" s="460"/>
      <c r="M13" s="460"/>
      <c r="N13" s="460"/>
      <c r="O13" s="460"/>
      <c r="P13" s="460"/>
      <c r="Q13" s="440" t="e">
        <f t="shared" si="0"/>
        <v>#DIV/0!</v>
      </c>
      <c r="R13" s="395" t="e">
        <f t="shared" si="1"/>
        <v>#DIV/0!</v>
      </c>
      <c r="S13" s="376" t="e">
        <f t="shared" si="2"/>
        <v>#DIV/0!</v>
      </c>
      <c r="T13" s="15"/>
    </row>
    <row r="14" spans="1:23" ht="50.1" customHeight="1" x14ac:dyDescent="0.2">
      <c r="A14" s="412" t="s">
        <v>188</v>
      </c>
      <c r="B14" s="445" t="s">
        <v>1474</v>
      </c>
      <c r="C14" s="406" t="s">
        <v>4173</v>
      </c>
      <c r="D14" s="364">
        <v>19</v>
      </c>
      <c r="E14" s="460"/>
      <c r="F14" s="460"/>
      <c r="G14" s="460"/>
      <c r="H14" s="460"/>
      <c r="I14" s="460"/>
      <c r="J14" s="460"/>
      <c r="K14" s="460"/>
      <c r="L14" s="460"/>
      <c r="M14" s="460"/>
      <c r="N14" s="460"/>
      <c r="O14" s="460"/>
      <c r="P14" s="460"/>
      <c r="Q14" s="440" t="e">
        <f t="shared" si="0"/>
        <v>#DIV/0!</v>
      </c>
      <c r="R14" s="395" t="e">
        <f t="shared" si="1"/>
        <v>#DIV/0!</v>
      </c>
      <c r="S14" s="376" t="e">
        <f t="shared" si="2"/>
        <v>#DIV/0!</v>
      </c>
      <c r="T14" s="15"/>
    </row>
    <row r="15" spans="1:23" ht="50.1" customHeight="1" x14ac:dyDescent="0.2">
      <c r="A15" s="412" t="s">
        <v>188</v>
      </c>
      <c r="B15" s="445" t="s">
        <v>1475</v>
      </c>
      <c r="C15" s="406" t="s">
        <v>4174</v>
      </c>
      <c r="D15" s="364">
        <v>9</v>
      </c>
      <c r="E15" s="460"/>
      <c r="F15" s="460"/>
      <c r="G15" s="460"/>
      <c r="H15" s="460"/>
      <c r="I15" s="460"/>
      <c r="J15" s="460"/>
      <c r="K15" s="460"/>
      <c r="L15" s="460"/>
      <c r="M15" s="460"/>
      <c r="N15" s="460"/>
      <c r="O15" s="460"/>
      <c r="P15" s="460"/>
      <c r="Q15" s="374" t="e">
        <f t="shared" si="0"/>
        <v>#DIV/0!</v>
      </c>
      <c r="R15" s="375" t="e">
        <f t="shared" si="1"/>
        <v>#DIV/0!</v>
      </c>
      <c r="S15" s="376" t="e">
        <f t="shared" si="2"/>
        <v>#DIV/0!</v>
      </c>
      <c r="T15" s="15"/>
    </row>
    <row r="16" spans="1:23" ht="50.1" customHeight="1" x14ac:dyDescent="0.2">
      <c r="A16" s="412" t="s">
        <v>188</v>
      </c>
      <c r="B16" s="445" t="s">
        <v>1476</v>
      </c>
      <c r="C16" s="406" t="s">
        <v>4175</v>
      </c>
      <c r="D16" s="364">
        <v>39</v>
      </c>
      <c r="E16" s="460"/>
      <c r="F16" s="460"/>
      <c r="G16" s="460"/>
      <c r="H16" s="460"/>
      <c r="I16" s="460"/>
      <c r="J16" s="460"/>
      <c r="K16" s="460"/>
      <c r="L16" s="460"/>
      <c r="M16" s="460"/>
      <c r="N16" s="460"/>
      <c r="O16" s="460"/>
      <c r="P16" s="460"/>
      <c r="Q16" s="440" t="e">
        <f t="shared" si="0"/>
        <v>#DIV/0!</v>
      </c>
      <c r="R16" s="395" t="e">
        <f t="shared" si="1"/>
        <v>#DIV/0!</v>
      </c>
      <c r="S16" s="376" t="e">
        <f t="shared" si="2"/>
        <v>#DIV/0!</v>
      </c>
      <c r="T16" s="15"/>
    </row>
    <row r="17" spans="1:32" ht="50.1" customHeight="1" x14ac:dyDescent="0.2">
      <c r="A17" s="412" t="s">
        <v>188</v>
      </c>
      <c r="B17" s="445" t="s">
        <v>1477</v>
      </c>
      <c r="C17" s="406" t="s">
        <v>4176</v>
      </c>
      <c r="D17" s="364">
        <v>12</v>
      </c>
      <c r="E17" s="460"/>
      <c r="F17" s="460"/>
      <c r="G17" s="460"/>
      <c r="H17" s="460"/>
      <c r="I17" s="460"/>
      <c r="J17" s="460"/>
      <c r="K17" s="460"/>
      <c r="L17" s="460"/>
      <c r="M17" s="460"/>
      <c r="N17" s="460"/>
      <c r="O17" s="460"/>
      <c r="P17" s="460"/>
      <c r="Q17" s="440" t="e">
        <f t="shared" si="0"/>
        <v>#DIV/0!</v>
      </c>
      <c r="R17" s="395" t="e">
        <f t="shared" si="1"/>
        <v>#DIV/0!</v>
      </c>
      <c r="S17" s="376" t="e">
        <f t="shared" si="2"/>
        <v>#DIV/0!</v>
      </c>
      <c r="T17" s="15"/>
    </row>
    <row r="18" spans="1:32" ht="50.1" customHeight="1" x14ac:dyDescent="0.2">
      <c r="A18" s="412" t="s">
        <v>188</v>
      </c>
      <c r="B18" s="445" t="s">
        <v>1478</v>
      </c>
      <c r="C18" s="406" t="s">
        <v>4177</v>
      </c>
      <c r="D18" s="364">
        <v>65</v>
      </c>
      <c r="E18" s="460"/>
      <c r="F18" s="460"/>
      <c r="G18" s="460"/>
      <c r="H18" s="460"/>
      <c r="I18" s="460"/>
      <c r="J18" s="460"/>
      <c r="K18" s="460"/>
      <c r="L18" s="460"/>
      <c r="M18" s="460"/>
      <c r="N18" s="460"/>
      <c r="O18" s="460"/>
      <c r="P18" s="460"/>
      <c r="Q18" s="440" t="e">
        <f t="shared" si="0"/>
        <v>#DIV/0!</v>
      </c>
      <c r="R18" s="395" t="e">
        <f t="shared" si="1"/>
        <v>#DIV/0!</v>
      </c>
      <c r="S18" s="376" t="e">
        <f t="shared" si="2"/>
        <v>#DIV/0!</v>
      </c>
      <c r="T18" s="15"/>
    </row>
    <row r="19" spans="1:32" ht="50.1" customHeight="1" x14ac:dyDescent="0.2">
      <c r="A19" s="412" t="s">
        <v>188</v>
      </c>
      <c r="B19" s="445" t="s">
        <v>1479</v>
      </c>
      <c r="C19" s="406" t="s">
        <v>4178</v>
      </c>
      <c r="D19" s="364">
        <v>8</v>
      </c>
      <c r="E19" s="460"/>
      <c r="F19" s="460"/>
      <c r="G19" s="460"/>
      <c r="H19" s="460"/>
      <c r="I19" s="460"/>
      <c r="J19" s="460"/>
      <c r="K19" s="460"/>
      <c r="L19" s="460"/>
      <c r="M19" s="460"/>
      <c r="N19" s="460"/>
      <c r="O19" s="460"/>
      <c r="P19" s="460"/>
      <c r="Q19" s="374" t="e">
        <f t="shared" si="0"/>
        <v>#DIV/0!</v>
      </c>
      <c r="R19" s="375" t="e">
        <f t="shared" si="1"/>
        <v>#DIV/0!</v>
      </c>
      <c r="S19" s="376" t="e">
        <f t="shared" si="2"/>
        <v>#DIV/0!</v>
      </c>
      <c r="T19" s="16"/>
    </row>
    <row r="20" spans="1:32" ht="50.1" customHeight="1" x14ac:dyDescent="0.2">
      <c r="A20" s="412" t="s">
        <v>189</v>
      </c>
      <c r="B20" s="412" t="s">
        <v>1480</v>
      </c>
      <c r="C20" s="406" t="s">
        <v>4179</v>
      </c>
      <c r="D20" s="433">
        <v>387</v>
      </c>
      <c r="E20" s="460"/>
      <c r="F20" s="460"/>
      <c r="G20" s="460"/>
      <c r="H20" s="460"/>
      <c r="I20" s="460"/>
      <c r="J20" s="460"/>
      <c r="K20" s="460"/>
      <c r="L20" s="460"/>
      <c r="M20" s="460"/>
      <c r="N20" s="460"/>
      <c r="O20" s="460">
        <v>53.3</v>
      </c>
      <c r="P20" s="460"/>
      <c r="Q20" s="440">
        <f t="shared" si="0"/>
        <v>53.3</v>
      </c>
      <c r="R20" s="395" t="str">
        <f t="shared" si="1"/>
        <v>NO</v>
      </c>
      <c r="S20" s="376" t="str">
        <f t="shared" si="2"/>
        <v>Alto</v>
      </c>
      <c r="T20" s="16"/>
    </row>
    <row r="21" spans="1:32" ht="50.1" customHeight="1" x14ac:dyDescent="0.2">
      <c r="A21" s="412" t="s">
        <v>189</v>
      </c>
      <c r="B21" s="412" t="s">
        <v>1481</v>
      </c>
      <c r="C21" s="421" t="s">
        <v>4100</v>
      </c>
      <c r="D21" s="455">
        <v>26</v>
      </c>
      <c r="E21" s="460"/>
      <c r="F21" s="460"/>
      <c r="G21" s="460"/>
      <c r="H21" s="460"/>
      <c r="I21" s="460"/>
      <c r="J21" s="460"/>
      <c r="K21" s="460"/>
      <c r="L21" s="460"/>
      <c r="M21" s="460"/>
      <c r="N21" s="460">
        <v>53.1</v>
      </c>
      <c r="O21" s="460"/>
      <c r="P21" s="460"/>
      <c r="Q21" s="440">
        <f t="shared" si="0"/>
        <v>53.1</v>
      </c>
      <c r="R21" s="395" t="str">
        <f t="shared" si="1"/>
        <v>NO</v>
      </c>
      <c r="S21" s="376" t="str">
        <f t="shared" si="2"/>
        <v>Alto</v>
      </c>
      <c r="T21" s="16"/>
    </row>
    <row r="22" spans="1:32" ht="50.1" customHeight="1" x14ac:dyDescent="0.2">
      <c r="A22" s="412" t="s">
        <v>189</v>
      </c>
      <c r="B22" s="412" t="s">
        <v>1482</v>
      </c>
      <c r="C22" s="412" t="s">
        <v>4180</v>
      </c>
      <c r="D22" s="433">
        <v>202</v>
      </c>
      <c r="E22" s="460"/>
      <c r="F22" s="460"/>
      <c r="G22" s="460"/>
      <c r="H22" s="460"/>
      <c r="I22" s="460"/>
      <c r="J22" s="460"/>
      <c r="K22" s="460"/>
      <c r="L22" s="460"/>
      <c r="M22" s="460"/>
      <c r="N22" s="460">
        <v>53.1</v>
      </c>
      <c r="O22" s="460"/>
      <c r="P22" s="460"/>
      <c r="Q22" s="440">
        <f t="shared" si="0"/>
        <v>53.1</v>
      </c>
      <c r="R22" s="395" t="str">
        <f t="shared" si="1"/>
        <v>NO</v>
      </c>
      <c r="S22" s="376" t="str">
        <f t="shared" si="2"/>
        <v>Alto</v>
      </c>
      <c r="T22" s="16"/>
    </row>
    <row r="23" spans="1:32" ht="50.1" customHeight="1" x14ac:dyDescent="0.2">
      <c r="A23" s="447" t="s">
        <v>189</v>
      </c>
      <c r="B23" s="447" t="s">
        <v>1483</v>
      </c>
      <c r="C23" s="447" t="s">
        <v>4181</v>
      </c>
      <c r="D23" s="456">
        <v>115</v>
      </c>
      <c r="E23" s="460"/>
      <c r="F23" s="460"/>
      <c r="G23" s="460"/>
      <c r="H23" s="460"/>
      <c r="I23" s="460"/>
      <c r="J23" s="460"/>
      <c r="K23" s="460"/>
      <c r="L23" s="460">
        <v>85</v>
      </c>
      <c r="M23" s="460"/>
      <c r="N23" s="460"/>
      <c r="O23" s="460"/>
      <c r="P23" s="460"/>
      <c r="Q23" s="461">
        <f>AVERAGE(E23:P23)</f>
        <v>85</v>
      </c>
      <c r="R23" s="462" t="str">
        <f>IF(Q23&lt;5,"SI","NO")</f>
        <v>NO</v>
      </c>
      <c r="S23" s="376" t="str">
        <f>IF(Q23&lt;=5,"Sin Riesgo",IF(Q23 &lt;=14,"Bajo",IF(Q23&lt;=35,"Medio",IF(Q23&lt;=80,"Alto","Inviable Sanitariamente"))))</f>
        <v>Inviable Sanitariamente</v>
      </c>
      <c r="T23" s="16"/>
    </row>
    <row r="24" spans="1:32" ht="50.1" customHeight="1" x14ac:dyDescent="0.2">
      <c r="A24" s="447" t="s">
        <v>189</v>
      </c>
      <c r="B24" s="447" t="s">
        <v>4247</v>
      </c>
      <c r="C24" s="447" t="s">
        <v>4290</v>
      </c>
      <c r="D24" s="456"/>
      <c r="E24" s="460"/>
      <c r="F24" s="460"/>
      <c r="G24" s="460"/>
      <c r="H24" s="460"/>
      <c r="I24" s="460"/>
      <c r="J24" s="460"/>
      <c r="K24" s="460"/>
      <c r="L24" s="460"/>
      <c r="M24" s="460"/>
      <c r="N24" s="460"/>
      <c r="O24" s="460"/>
      <c r="P24" s="460"/>
      <c r="Q24" s="461" t="e">
        <f>AVERAGE(E24:P24)</f>
        <v>#DIV/0!</v>
      </c>
      <c r="R24" s="462" t="e">
        <f>IF(Q24&lt;5,"SI","NO")</f>
        <v>#DIV/0!</v>
      </c>
      <c r="S24" s="376" t="e">
        <f>IF(Q24&lt;=5,"Sin Riesgo",IF(Q24 &lt;=14,"Bajo",IF(Q24&lt;=35,"Medio",IF(Q24&lt;=80,"Alto","Inviable Sanitariamente"))))</f>
        <v>#DIV/0!</v>
      </c>
      <c r="T24" s="16"/>
    </row>
    <row r="25" spans="1:32" ht="50.1" customHeight="1" x14ac:dyDescent="0.2">
      <c r="A25" s="447" t="s">
        <v>189</v>
      </c>
      <c r="B25" s="447" t="s">
        <v>4246</v>
      </c>
      <c r="C25" s="447" t="s">
        <v>4290</v>
      </c>
      <c r="D25" s="456"/>
      <c r="E25" s="460"/>
      <c r="F25" s="460"/>
      <c r="G25" s="460"/>
      <c r="H25" s="460"/>
      <c r="I25" s="460"/>
      <c r="J25" s="460"/>
      <c r="K25" s="460"/>
      <c r="L25" s="460"/>
      <c r="M25" s="460"/>
      <c r="N25" s="460"/>
      <c r="O25" s="460"/>
      <c r="P25" s="460"/>
      <c r="Q25" s="461" t="e">
        <f t="shared" si="0"/>
        <v>#DIV/0!</v>
      </c>
      <c r="R25" s="462" t="e">
        <f t="shared" si="1"/>
        <v>#DIV/0!</v>
      </c>
      <c r="S25" s="376" t="e">
        <f t="shared" si="2"/>
        <v>#DIV/0!</v>
      </c>
      <c r="T25" s="16"/>
    </row>
    <row r="26" spans="1:32" s="76" customFormat="1" ht="50.1" customHeight="1" x14ac:dyDescent="0.2">
      <c r="A26" s="412" t="s">
        <v>189</v>
      </c>
      <c r="B26" s="412" t="s">
        <v>1484</v>
      </c>
      <c r="C26" s="412" t="s">
        <v>4182</v>
      </c>
      <c r="D26" s="433">
        <v>34</v>
      </c>
      <c r="E26" s="460"/>
      <c r="F26" s="460"/>
      <c r="G26" s="460"/>
      <c r="H26" s="460"/>
      <c r="I26" s="460"/>
      <c r="J26" s="460"/>
      <c r="K26" s="460"/>
      <c r="L26" s="460">
        <v>91.4</v>
      </c>
      <c r="M26" s="460"/>
      <c r="N26" s="460"/>
      <c r="O26" s="460"/>
      <c r="P26" s="460"/>
      <c r="Q26" s="440">
        <f t="shared" si="0"/>
        <v>91.4</v>
      </c>
      <c r="R26" s="395" t="str">
        <f t="shared" si="1"/>
        <v>NO</v>
      </c>
      <c r="S26" s="376" t="str">
        <f t="shared" si="2"/>
        <v>Inviable Sanitariamente</v>
      </c>
      <c r="T26" s="16"/>
      <c r="U26" s="91"/>
      <c r="V26" s="91"/>
      <c r="W26" s="91"/>
      <c r="X26" s="91"/>
      <c r="Y26" s="91"/>
      <c r="Z26" s="91"/>
      <c r="AA26" s="91"/>
      <c r="AB26" s="91"/>
      <c r="AC26" s="91"/>
      <c r="AD26" s="91"/>
      <c r="AE26" s="91"/>
      <c r="AF26" s="215"/>
    </row>
    <row r="27" spans="1:32" ht="50.1" customHeight="1" x14ac:dyDescent="0.2">
      <c r="A27" s="457" t="s">
        <v>189</v>
      </c>
      <c r="B27" s="457" t="s">
        <v>1485</v>
      </c>
      <c r="C27" s="454" t="s">
        <v>4183</v>
      </c>
      <c r="D27" s="458">
        <v>27</v>
      </c>
      <c r="E27" s="463"/>
      <c r="F27" s="463"/>
      <c r="G27" s="463"/>
      <c r="H27" s="463"/>
      <c r="I27" s="463"/>
      <c r="J27" s="463"/>
      <c r="K27" s="463"/>
      <c r="L27" s="463"/>
      <c r="M27" s="463"/>
      <c r="N27" s="463">
        <v>53.3</v>
      </c>
      <c r="O27" s="463"/>
      <c r="P27" s="463"/>
      <c r="Q27" s="464">
        <f t="shared" si="0"/>
        <v>53.3</v>
      </c>
      <c r="R27" s="465" t="str">
        <f t="shared" si="1"/>
        <v>NO</v>
      </c>
      <c r="S27" s="376" t="str">
        <f t="shared" si="2"/>
        <v>Alto</v>
      </c>
      <c r="T27" s="16"/>
    </row>
    <row r="28" spans="1:32" ht="32.1" customHeight="1" x14ac:dyDescent="0.2">
      <c r="A28" s="412" t="s">
        <v>3947</v>
      </c>
      <c r="B28" s="445" t="s">
        <v>1486</v>
      </c>
      <c r="C28" s="445" t="s">
        <v>1487</v>
      </c>
      <c r="D28" s="364">
        <v>49</v>
      </c>
      <c r="E28" s="460"/>
      <c r="F28" s="460"/>
      <c r="G28" s="460"/>
      <c r="H28" s="460"/>
      <c r="I28" s="460"/>
      <c r="J28" s="460"/>
      <c r="K28" s="460"/>
      <c r="L28" s="460"/>
      <c r="M28" s="460"/>
      <c r="N28" s="460"/>
      <c r="O28" s="460"/>
      <c r="P28" s="460">
        <v>97.35</v>
      </c>
      <c r="Q28" s="374">
        <f t="shared" si="0"/>
        <v>97.35</v>
      </c>
      <c r="R28" s="375" t="str">
        <f t="shared" si="1"/>
        <v>NO</v>
      </c>
      <c r="S28" s="376" t="str">
        <f t="shared" si="2"/>
        <v>Inviable Sanitariamente</v>
      </c>
      <c r="T28" s="16"/>
    </row>
    <row r="29" spans="1:32" ht="32.1" customHeight="1" x14ac:dyDescent="0.2">
      <c r="A29" s="412" t="s">
        <v>3947</v>
      </c>
      <c r="B29" s="445" t="s">
        <v>1488</v>
      </c>
      <c r="C29" s="445" t="s">
        <v>1489</v>
      </c>
      <c r="D29" s="364">
        <v>149</v>
      </c>
      <c r="E29" s="460"/>
      <c r="F29" s="460"/>
      <c r="G29" s="460"/>
      <c r="H29" s="460"/>
      <c r="I29" s="460"/>
      <c r="J29" s="460"/>
      <c r="K29" s="460">
        <v>55</v>
      </c>
      <c r="L29" s="460"/>
      <c r="M29" s="460"/>
      <c r="N29" s="460"/>
      <c r="O29" s="460"/>
      <c r="P29" s="460"/>
      <c r="Q29" s="374">
        <f t="shared" si="0"/>
        <v>55</v>
      </c>
      <c r="R29" s="375" t="str">
        <f t="shared" si="1"/>
        <v>NO</v>
      </c>
      <c r="S29" s="376" t="str">
        <f t="shared" si="2"/>
        <v>Alto</v>
      </c>
      <c r="T29" s="16"/>
    </row>
    <row r="30" spans="1:32" ht="32.1" customHeight="1" x14ac:dyDescent="0.2">
      <c r="A30" s="412" t="s">
        <v>3947</v>
      </c>
      <c r="B30" s="445" t="s">
        <v>1490</v>
      </c>
      <c r="C30" s="445" t="s">
        <v>1491</v>
      </c>
      <c r="D30" s="364"/>
      <c r="E30" s="460"/>
      <c r="F30" s="460"/>
      <c r="G30" s="460"/>
      <c r="H30" s="460"/>
      <c r="I30" s="460"/>
      <c r="J30" s="460"/>
      <c r="K30" s="460"/>
      <c r="L30" s="460"/>
      <c r="M30" s="460"/>
      <c r="N30" s="460"/>
      <c r="O30" s="460"/>
      <c r="P30" s="460"/>
      <c r="Q30" s="374" t="e">
        <f t="shared" si="0"/>
        <v>#DIV/0!</v>
      </c>
      <c r="R30" s="375" t="e">
        <f t="shared" si="1"/>
        <v>#DIV/0!</v>
      </c>
      <c r="S30" s="376" t="e">
        <f t="shared" si="2"/>
        <v>#DIV/0!</v>
      </c>
      <c r="T30" s="16"/>
    </row>
    <row r="31" spans="1:32" ht="32.1" customHeight="1" x14ac:dyDescent="0.2">
      <c r="A31" s="412" t="s">
        <v>3947</v>
      </c>
      <c r="B31" s="445" t="s">
        <v>723</v>
      </c>
      <c r="C31" s="445" t="s">
        <v>1492</v>
      </c>
      <c r="D31" s="364"/>
      <c r="E31" s="460"/>
      <c r="F31" s="460"/>
      <c r="G31" s="460"/>
      <c r="H31" s="460"/>
      <c r="I31" s="460"/>
      <c r="J31" s="460"/>
      <c r="K31" s="460"/>
      <c r="L31" s="460"/>
      <c r="M31" s="460"/>
      <c r="N31" s="460"/>
      <c r="O31" s="460"/>
      <c r="P31" s="460"/>
      <c r="Q31" s="374" t="e">
        <f t="shared" si="0"/>
        <v>#DIV/0!</v>
      </c>
      <c r="R31" s="375" t="e">
        <f t="shared" si="1"/>
        <v>#DIV/0!</v>
      </c>
      <c r="S31" s="376" t="e">
        <f t="shared" si="2"/>
        <v>#DIV/0!</v>
      </c>
      <c r="T31" s="16"/>
    </row>
    <row r="32" spans="1:32" ht="32.1" customHeight="1" x14ac:dyDescent="0.2">
      <c r="A32" s="412" t="s">
        <v>3947</v>
      </c>
      <c r="B32" s="445" t="s">
        <v>1493</v>
      </c>
      <c r="C32" s="445" t="s">
        <v>1494</v>
      </c>
      <c r="D32" s="377" t="s">
        <v>4548</v>
      </c>
      <c r="E32" s="460"/>
      <c r="F32" s="460"/>
      <c r="G32" s="460"/>
      <c r="H32" s="460"/>
      <c r="I32" s="460"/>
      <c r="J32" s="460"/>
      <c r="K32" s="460"/>
      <c r="L32" s="460"/>
      <c r="M32" s="460"/>
      <c r="N32" s="460"/>
      <c r="O32" s="460"/>
      <c r="P32" s="460">
        <v>26.55</v>
      </c>
      <c r="Q32" s="374">
        <f t="shared" si="0"/>
        <v>26.55</v>
      </c>
      <c r="R32" s="375" t="str">
        <f t="shared" si="1"/>
        <v>NO</v>
      </c>
      <c r="S32" s="376" t="str">
        <f t="shared" si="2"/>
        <v>Medio</v>
      </c>
      <c r="T32" s="16"/>
    </row>
    <row r="33" spans="1:20" ht="32.1" customHeight="1" x14ac:dyDescent="0.2">
      <c r="A33" s="412" t="s">
        <v>3947</v>
      </c>
      <c r="B33" s="445" t="s">
        <v>1495</v>
      </c>
      <c r="C33" s="445" t="s">
        <v>1496</v>
      </c>
      <c r="D33" s="364">
        <v>150</v>
      </c>
      <c r="E33" s="460"/>
      <c r="F33" s="460"/>
      <c r="G33" s="460"/>
      <c r="H33" s="460"/>
      <c r="I33" s="460"/>
      <c r="J33" s="460"/>
      <c r="K33" s="460"/>
      <c r="L33" s="460"/>
      <c r="M33" s="460"/>
      <c r="N33" s="460">
        <v>97.35</v>
      </c>
      <c r="O33" s="460"/>
      <c r="P33" s="460"/>
      <c r="Q33" s="374">
        <f t="shared" si="0"/>
        <v>97.35</v>
      </c>
      <c r="R33" s="375" t="str">
        <f t="shared" si="1"/>
        <v>NO</v>
      </c>
      <c r="S33" s="376" t="str">
        <f t="shared" si="2"/>
        <v>Inviable Sanitariamente</v>
      </c>
      <c r="T33" s="16"/>
    </row>
    <row r="34" spans="1:20" ht="32.1" customHeight="1" x14ac:dyDescent="0.2">
      <c r="A34" s="412" t="s">
        <v>3947</v>
      </c>
      <c r="B34" s="445" t="s">
        <v>1497</v>
      </c>
      <c r="C34" s="445" t="s">
        <v>1498</v>
      </c>
      <c r="D34" s="364">
        <v>25</v>
      </c>
      <c r="E34" s="460"/>
      <c r="F34" s="460"/>
      <c r="G34" s="460"/>
      <c r="H34" s="460"/>
      <c r="I34" s="460"/>
      <c r="J34" s="460"/>
      <c r="K34" s="460"/>
      <c r="L34" s="460"/>
      <c r="M34" s="460"/>
      <c r="N34" s="460"/>
      <c r="O34" s="460"/>
      <c r="P34" s="460">
        <v>97.35</v>
      </c>
      <c r="Q34" s="374">
        <f t="shared" si="0"/>
        <v>97.35</v>
      </c>
      <c r="R34" s="375" t="str">
        <f t="shared" si="1"/>
        <v>NO</v>
      </c>
      <c r="S34" s="376" t="str">
        <f t="shared" si="2"/>
        <v>Inviable Sanitariamente</v>
      </c>
      <c r="T34" s="16"/>
    </row>
    <row r="35" spans="1:20" ht="32.1" customHeight="1" x14ac:dyDescent="0.2">
      <c r="A35" s="412" t="s">
        <v>3947</v>
      </c>
      <c r="B35" s="445" t="s">
        <v>1499</v>
      </c>
      <c r="C35" s="445" t="s">
        <v>1500</v>
      </c>
      <c r="D35" s="364">
        <v>78</v>
      </c>
      <c r="E35" s="460"/>
      <c r="F35" s="460"/>
      <c r="G35" s="460"/>
      <c r="H35" s="460"/>
      <c r="I35" s="460"/>
      <c r="J35" s="460"/>
      <c r="K35" s="460"/>
      <c r="L35" s="460"/>
      <c r="M35" s="460"/>
      <c r="N35" s="460"/>
      <c r="O35" s="460">
        <v>97.35</v>
      </c>
      <c r="P35" s="460"/>
      <c r="Q35" s="374">
        <f t="shared" si="0"/>
        <v>97.35</v>
      </c>
      <c r="R35" s="375" t="str">
        <f t="shared" si="1"/>
        <v>NO</v>
      </c>
      <c r="S35" s="376" t="str">
        <f t="shared" si="2"/>
        <v>Inviable Sanitariamente</v>
      </c>
      <c r="T35" s="16"/>
    </row>
    <row r="36" spans="1:20" ht="32.1" customHeight="1" x14ac:dyDescent="0.2">
      <c r="A36" s="412" t="s">
        <v>3947</v>
      </c>
      <c r="B36" s="445" t="s">
        <v>1501</v>
      </c>
      <c r="C36" s="445" t="s">
        <v>1502</v>
      </c>
      <c r="D36" s="364">
        <v>50</v>
      </c>
      <c r="E36" s="460"/>
      <c r="F36" s="460"/>
      <c r="G36" s="460"/>
      <c r="H36" s="460"/>
      <c r="I36" s="460"/>
      <c r="J36" s="460"/>
      <c r="K36" s="460">
        <v>55</v>
      </c>
      <c r="L36" s="460"/>
      <c r="M36" s="460"/>
      <c r="N36" s="460"/>
      <c r="O36" s="460"/>
      <c r="P36" s="460"/>
      <c r="Q36" s="374">
        <f t="shared" si="0"/>
        <v>55</v>
      </c>
      <c r="R36" s="375" t="str">
        <f t="shared" si="1"/>
        <v>NO</v>
      </c>
      <c r="S36" s="376" t="str">
        <f t="shared" si="2"/>
        <v>Alto</v>
      </c>
      <c r="T36" s="16"/>
    </row>
    <row r="37" spans="1:20" ht="32.1" customHeight="1" x14ac:dyDescent="0.2">
      <c r="A37" s="412" t="s">
        <v>3947</v>
      </c>
      <c r="B37" s="445" t="s">
        <v>1503</v>
      </c>
      <c r="C37" s="445" t="s">
        <v>1504</v>
      </c>
      <c r="D37" s="364">
        <v>181</v>
      </c>
      <c r="E37" s="460"/>
      <c r="F37" s="460"/>
      <c r="G37" s="460"/>
      <c r="H37" s="460"/>
      <c r="I37" s="460"/>
      <c r="J37" s="460"/>
      <c r="K37" s="460"/>
      <c r="L37" s="460"/>
      <c r="M37" s="460"/>
      <c r="N37" s="460"/>
      <c r="O37" s="460">
        <v>97.35</v>
      </c>
      <c r="P37" s="460"/>
      <c r="Q37" s="374">
        <f t="shared" si="0"/>
        <v>97.35</v>
      </c>
      <c r="R37" s="375" t="str">
        <f t="shared" si="1"/>
        <v>NO</v>
      </c>
      <c r="S37" s="376" t="str">
        <f t="shared" si="2"/>
        <v>Inviable Sanitariamente</v>
      </c>
      <c r="T37" s="16"/>
    </row>
    <row r="38" spans="1:20" ht="32.1" customHeight="1" x14ac:dyDescent="0.2">
      <c r="A38" s="412" t="s">
        <v>3947</v>
      </c>
      <c r="B38" s="445" t="s">
        <v>1505</v>
      </c>
      <c r="C38" s="445" t="s">
        <v>1506</v>
      </c>
      <c r="D38" s="364">
        <v>50</v>
      </c>
      <c r="E38" s="460"/>
      <c r="F38" s="460"/>
      <c r="G38" s="460"/>
      <c r="H38" s="460"/>
      <c r="I38" s="460"/>
      <c r="J38" s="460"/>
      <c r="K38" s="460">
        <v>55</v>
      </c>
      <c r="L38" s="460"/>
      <c r="M38" s="460"/>
      <c r="N38" s="460"/>
      <c r="O38" s="460"/>
      <c r="P38" s="460"/>
      <c r="Q38" s="374">
        <f t="shared" si="0"/>
        <v>55</v>
      </c>
      <c r="R38" s="375" t="str">
        <f t="shared" si="1"/>
        <v>NO</v>
      </c>
      <c r="S38" s="376" t="str">
        <f t="shared" si="2"/>
        <v>Alto</v>
      </c>
      <c r="T38" s="16"/>
    </row>
    <row r="39" spans="1:20" ht="32.1" customHeight="1" x14ac:dyDescent="0.2">
      <c r="A39" s="412" t="s">
        <v>3947</v>
      </c>
      <c r="B39" s="445" t="s">
        <v>1507</v>
      </c>
      <c r="C39" s="445" t="s">
        <v>1508</v>
      </c>
      <c r="D39" s="364">
        <v>117</v>
      </c>
      <c r="E39" s="460"/>
      <c r="F39" s="460"/>
      <c r="G39" s="460"/>
      <c r="H39" s="460"/>
      <c r="I39" s="460"/>
      <c r="J39" s="460"/>
      <c r="K39" s="460">
        <v>55</v>
      </c>
      <c r="L39" s="460"/>
      <c r="M39" s="460"/>
      <c r="N39" s="460"/>
      <c r="O39" s="460"/>
      <c r="P39" s="460"/>
      <c r="Q39" s="374">
        <f t="shared" si="0"/>
        <v>55</v>
      </c>
      <c r="R39" s="375" t="str">
        <f t="shared" si="1"/>
        <v>NO</v>
      </c>
      <c r="S39" s="376" t="str">
        <f t="shared" si="2"/>
        <v>Alto</v>
      </c>
      <c r="T39" s="16"/>
    </row>
    <row r="40" spans="1:20" ht="32.1" customHeight="1" x14ac:dyDescent="0.2">
      <c r="A40" s="412" t="s">
        <v>3947</v>
      </c>
      <c r="B40" s="445" t="s">
        <v>1509</v>
      </c>
      <c r="C40" s="445" t="s">
        <v>1510</v>
      </c>
      <c r="D40" s="364">
        <v>40</v>
      </c>
      <c r="E40" s="460"/>
      <c r="F40" s="460"/>
      <c r="G40" s="460"/>
      <c r="H40" s="460"/>
      <c r="I40" s="460"/>
      <c r="J40" s="460"/>
      <c r="K40" s="460"/>
      <c r="L40" s="460">
        <v>55</v>
      </c>
      <c r="M40" s="460"/>
      <c r="N40" s="460"/>
      <c r="O40" s="460"/>
      <c r="P40" s="460"/>
      <c r="Q40" s="374">
        <f t="shared" si="0"/>
        <v>55</v>
      </c>
      <c r="R40" s="375" t="str">
        <f t="shared" si="1"/>
        <v>NO</v>
      </c>
      <c r="S40" s="376" t="str">
        <f t="shared" si="2"/>
        <v>Alto</v>
      </c>
      <c r="T40" s="16"/>
    </row>
    <row r="41" spans="1:20" ht="32.1" customHeight="1" x14ac:dyDescent="0.2">
      <c r="A41" s="412" t="s">
        <v>3947</v>
      </c>
      <c r="B41" s="445" t="s">
        <v>1511</v>
      </c>
      <c r="C41" s="445" t="s">
        <v>1512</v>
      </c>
      <c r="D41" s="364">
        <v>36</v>
      </c>
      <c r="E41" s="460"/>
      <c r="F41" s="460"/>
      <c r="G41" s="460"/>
      <c r="H41" s="460"/>
      <c r="I41" s="460"/>
      <c r="J41" s="460">
        <v>55</v>
      </c>
      <c r="K41" s="460"/>
      <c r="L41" s="460"/>
      <c r="M41" s="460"/>
      <c r="N41" s="460"/>
      <c r="O41" s="460"/>
      <c r="P41" s="460"/>
      <c r="Q41" s="374">
        <f t="shared" si="0"/>
        <v>55</v>
      </c>
      <c r="R41" s="375" t="str">
        <f t="shared" si="1"/>
        <v>NO</v>
      </c>
      <c r="S41" s="376" t="str">
        <f t="shared" si="2"/>
        <v>Alto</v>
      </c>
      <c r="T41" s="16"/>
    </row>
    <row r="42" spans="1:20" ht="32.1" customHeight="1" x14ac:dyDescent="0.2">
      <c r="A42" s="412" t="s">
        <v>3947</v>
      </c>
      <c r="B42" s="445" t="s">
        <v>1513</v>
      </c>
      <c r="C42" s="445" t="s">
        <v>1514</v>
      </c>
      <c r="D42" s="364"/>
      <c r="E42" s="460"/>
      <c r="F42" s="460"/>
      <c r="G42" s="460"/>
      <c r="H42" s="460"/>
      <c r="I42" s="460"/>
      <c r="J42" s="460"/>
      <c r="K42" s="460"/>
      <c r="L42" s="460"/>
      <c r="M42" s="460"/>
      <c r="N42" s="460"/>
      <c r="O42" s="460"/>
      <c r="P42" s="460"/>
      <c r="Q42" s="374" t="e">
        <f t="shared" si="0"/>
        <v>#DIV/0!</v>
      </c>
      <c r="R42" s="375" t="e">
        <f t="shared" si="1"/>
        <v>#DIV/0!</v>
      </c>
      <c r="S42" s="376" t="e">
        <f t="shared" si="2"/>
        <v>#DIV/0!</v>
      </c>
      <c r="T42" s="16"/>
    </row>
    <row r="43" spans="1:20" ht="32.1" customHeight="1" x14ac:dyDescent="0.2">
      <c r="A43" s="412" t="s">
        <v>191</v>
      </c>
      <c r="B43" s="412" t="s">
        <v>1515</v>
      </c>
      <c r="C43" s="412" t="s">
        <v>1516</v>
      </c>
      <c r="D43" s="364">
        <v>150</v>
      </c>
      <c r="E43" s="460"/>
      <c r="F43" s="460"/>
      <c r="G43" s="460"/>
      <c r="H43" s="460"/>
      <c r="I43" s="460"/>
      <c r="J43" s="460">
        <v>0</v>
      </c>
      <c r="K43" s="460">
        <v>0</v>
      </c>
      <c r="L43" s="460"/>
      <c r="M43" s="460"/>
      <c r="N43" s="460"/>
      <c r="O43" s="460"/>
      <c r="P43" s="460"/>
      <c r="Q43" s="440">
        <f t="shared" si="0"/>
        <v>0</v>
      </c>
      <c r="R43" s="395" t="str">
        <f t="shared" si="1"/>
        <v>SI</v>
      </c>
      <c r="S43" s="376" t="str">
        <f t="shared" si="2"/>
        <v>Sin Riesgo</v>
      </c>
      <c r="T43" s="16"/>
    </row>
    <row r="44" spans="1:20" ht="32.1" customHeight="1" x14ac:dyDescent="0.2">
      <c r="A44" s="412" t="s">
        <v>191</v>
      </c>
      <c r="B44" s="412" t="s">
        <v>18</v>
      </c>
      <c r="C44" s="412" t="s">
        <v>1517</v>
      </c>
      <c r="D44" s="364">
        <v>4190</v>
      </c>
      <c r="E44" s="460"/>
      <c r="F44" s="460"/>
      <c r="G44" s="460"/>
      <c r="H44" s="460"/>
      <c r="I44" s="460"/>
      <c r="J44" s="460"/>
      <c r="K44" s="460">
        <v>0</v>
      </c>
      <c r="L44" s="460"/>
      <c r="M44" s="460"/>
      <c r="N44" s="460"/>
      <c r="O44" s="460"/>
      <c r="P44" s="460"/>
      <c r="Q44" s="440">
        <f t="shared" si="0"/>
        <v>0</v>
      </c>
      <c r="R44" s="395" t="str">
        <f t="shared" si="1"/>
        <v>SI</v>
      </c>
      <c r="S44" s="376" t="str">
        <f t="shared" si="2"/>
        <v>Sin Riesgo</v>
      </c>
      <c r="T44" s="16"/>
    </row>
    <row r="45" spans="1:20" ht="32.1" customHeight="1" x14ac:dyDescent="0.2">
      <c r="A45" s="412" t="s">
        <v>191</v>
      </c>
      <c r="B45" s="412" t="s">
        <v>1518</v>
      </c>
      <c r="C45" s="412" t="s">
        <v>1519</v>
      </c>
      <c r="D45" s="364">
        <v>4190</v>
      </c>
      <c r="E45" s="466">
        <v>0</v>
      </c>
      <c r="F45" s="466">
        <v>0</v>
      </c>
      <c r="G45" s="466">
        <v>0</v>
      </c>
      <c r="H45" s="466">
        <v>0</v>
      </c>
      <c r="I45" s="466">
        <v>0</v>
      </c>
      <c r="J45" s="466">
        <v>0</v>
      </c>
      <c r="K45" s="466">
        <v>0</v>
      </c>
      <c r="L45" s="466"/>
      <c r="M45" s="466"/>
      <c r="N45" s="466"/>
      <c r="O45" s="466"/>
      <c r="P45" s="466"/>
      <c r="Q45" s="467">
        <f t="shared" ref="Q45:Q76" si="3">AVERAGE(E45:P45)</f>
        <v>0</v>
      </c>
      <c r="R45" s="375" t="str">
        <f t="shared" ref="R45:R76" si="4">IF(Q45&lt;5,"SI","NO")</f>
        <v>SI</v>
      </c>
      <c r="S45" s="376" t="str">
        <f t="shared" ref="S45:S82" si="5">IF(Q45&lt;=5,"Sin Riesgo",IF(Q45 &lt;=14,"Bajo",IF(Q45&lt;=35,"Medio",IF(Q45&lt;=80,"Alto","Inviable Sanitariamente"))))</f>
        <v>Sin Riesgo</v>
      </c>
      <c r="T45" s="16"/>
    </row>
    <row r="46" spans="1:20" ht="32.1" customHeight="1" x14ac:dyDescent="0.2">
      <c r="A46" s="412" t="s">
        <v>191</v>
      </c>
      <c r="B46" s="412" t="s">
        <v>1520</v>
      </c>
      <c r="C46" s="412" t="s">
        <v>1521</v>
      </c>
      <c r="D46" s="364">
        <v>4190</v>
      </c>
      <c r="E46" s="466">
        <v>0</v>
      </c>
      <c r="F46" s="466">
        <v>0</v>
      </c>
      <c r="G46" s="466">
        <v>0</v>
      </c>
      <c r="H46" s="466">
        <v>0</v>
      </c>
      <c r="I46" s="466">
        <v>0</v>
      </c>
      <c r="J46" s="466">
        <v>0</v>
      </c>
      <c r="K46" s="466">
        <v>0</v>
      </c>
      <c r="L46" s="466"/>
      <c r="M46" s="466"/>
      <c r="N46" s="466"/>
      <c r="O46" s="466"/>
      <c r="P46" s="466"/>
      <c r="Q46" s="467">
        <f>AVERAGE(E46:P46)</f>
        <v>0</v>
      </c>
      <c r="R46" s="395" t="str">
        <f t="shared" si="4"/>
        <v>SI</v>
      </c>
      <c r="S46" s="376" t="str">
        <f t="shared" si="5"/>
        <v>Sin Riesgo</v>
      </c>
      <c r="T46" s="16"/>
    </row>
    <row r="47" spans="1:20" ht="32.1" customHeight="1" x14ac:dyDescent="0.2">
      <c r="A47" s="412" t="s">
        <v>191</v>
      </c>
      <c r="B47" s="412" t="s">
        <v>1522</v>
      </c>
      <c r="C47" s="412" t="s">
        <v>56</v>
      </c>
      <c r="D47" s="364">
        <v>20</v>
      </c>
      <c r="E47" s="460"/>
      <c r="F47" s="460"/>
      <c r="G47" s="460"/>
      <c r="H47" s="460"/>
      <c r="I47" s="460"/>
      <c r="J47" s="460"/>
      <c r="K47" s="460">
        <v>55.75</v>
      </c>
      <c r="L47" s="460"/>
      <c r="M47" s="460"/>
      <c r="N47" s="460"/>
      <c r="O47" s="460"/>
      <c r="P47" s="460"/>
      <c r="Q47" s="440">
        <f t="shared" si="3"/>
        <v>55.75</v>
      </c>
      <c r="R47" s="395" t="str">
        <f t="shared" si="4"/>
        <v>NO</v>
      </c>
      <c r="S47" s="376" t="str">
        <f t="shared" si="5"/>
        <v>Alto</v>
      </c>
      <c r="T47" s="16"/>
    </row>
    <row r="48" spans="1:20" ht="32.1" customHeight="1" x14ac:dyDescent="0.2">
      <c r="A48" s="412" t="s">
        <v>191</v>
      </c>
      <c r="B48" s="412" t="s">
        <v>20</v>
      </c>
      <c r="C48" s="412" t="s">
        <v>1523</v>
      </c>
      <c r="D48" s="364">
        <v>40</v>
      </c>
      <c r="E48" s="460"/>
      <c r="F48" s="460"/>
      <c r="G48" s="460"/>
      <c r="H48" s="460"/>
      <c r="I48" s="460">
        <v>0</v>
      </c>
      <c r="J48" s="460"/>
      <c r="K48" s="460"/>
      <c r="L48" s="460"/>
      <c r="M48" s="460"/>
      <c r="N48" s="460"/>
      <c r="O48" s="460"/>
      <c r="P48" s="460"/>
      <c r="Q48" s="374">
        <f t="shared" si="3"/>
        <v>0</v>
      </c>
      <c r="R48" s="375" t="str">
        <f t="shared" si="4"/>
        <v>SI</v>
      </c>
      <c r="S48" s="376" t="str">
        <f t="shared" si="5"/>
        <v>Sin Riesgo</v>
      </c>
      <c r="T48" s="16"/>
    </row>
    <row r="49" spans="1:20" ht="32.1" customHeight="1" x14ac:dyDescent="0.2">
      <c r="A49" s="412" t="s">
        <v>191</v>
      </c>
      <c r="B49" s="412" t="s">
        <v>1524</v>
      </c>
      <c r="C49" s="412" t="s">
        <v>56</v>
      </c>
      <c r="D49" s="364">
        <v>60</v>
      </c>
      <c r="E49" s="460">
        <v>55.75</v>
      </c>
      <c r="F49" s="460"/>
      <c r="G49" s="460"/>
      <c r="H49" s="460"/>
      <c r="I49" s="460"/>
      <c r="J49" s="460"/>
      <c r="K49" s="460"/>
      <c r="L49" s="460"/>
      <c r="M49" s="460"/>
      <c r="N49" s="460"/>
      <c r="O49" s="460"/>
      <c r="P49" s="460"/>
      <c r="Q49" s="440">
        <f t="shared" si="3"/>
        <v>55.75</v>
      </c>
      <c r="R49" s="395" t="str">
        <f t="shared" si="4"/>
        <v>NO</v>
      </c>
      <c r="S49" s="376" t="str">
        <f t="shared" si="5"/>
        <v>Alto</v>
      </c>
      <c r="T49" s="16"/>
    </row>
    <row r="50" spans="1:20" ht="32.1" customHeight="1" x14ac:dyDescent="0.2">
      <c r="A50" s="412" t="s">
        <v>55</v>
      </c>
      <c r="B50" s="406" t="s">
        <v>1525</v>
      </c>
      <c r="C50" s="406" t="s">
        <v>1526</v>
      </c>
      <c r="D50" s="459">
        <v>43</v>
      </c>
      <c r="E50" s="460"/>
      <c r="F50" s="460"/>
      <c r="G50" s="460"/>
      <c r="H50" s="460"/>
      <c r="I50" s="460"/>
      <c r="J50" s="460"/>
      <c r="K50" s="460"/>
      <c r="L50" s="460"/>
      <c r="M50" s="460">
        <v>41.96</v>
      </c>
      <c r="N50" s="460"/>
      <c r="O50" s="460"/>
      <c r="P50" s="460"/>
      <c r="Q50" s="374">
        <f t="shared" si="3"/>
        <v>41.96</v>
      </c>
      <c r="R50" s="375" t="str">
        <f t="shared" si="4"/>
        <v>NO</v>
      </c>
      <c r="S50" s="376" t="str">
        <f t="shared" si="5"/>
        <v>Alto</v>
      </c>
      <c r="T50" s="16"/>
    </row>
    <row r="51" spans="1:20" ht="32.1" customHeight="1" x14ac:dyDescent="0.2">
      <c r="A51" s="412" t="s">
        <v>55</v>
      </c>
      <c r="B51" s="406" t="s">
        <v>1527</v>
      </c>
      <c r="C51" s="406" t="s">
        <v>1528</v>
      </c>
      <c r="D51" s="459">
        <v>463</v>
      </c>
      <c r="E51" s="460"/>
      <c r="F51" s="460"/>
      <c r="G51" s="460"/>
      <c r="H51" s="460"/>
      <c r="I51" s="460"/>
      <c r="J51" s="460"/>
      <c r="K51" s="460"/>
      <c r="L51" s="460">
        <v>38.71</v>
      </c>
      <c r="M51" s="460"/>
      <c r="N51" s="460"/>
      <c r="O51" s="460"/>
      <c r="P51" s="460"/>
      <c r="Q51" s="374">
        <f t="shared" si="3"/>
        <v>38.71</v>
      </c>
      <c r="R51" s="375" t="str">
        <f t="shared" si="4"/>
        <v>NO</v>
      </c>
      <c r="S51" s="376" t="str">
        <f t="shared" si="5"/>
        <v>Alto</v>
      </c>
      <c r="T51" s="16"/>
    </row>
    <row r="52" spans="1:20" ht="32.1" customHeight="1" x14ac:dyDescent="0.2">
      <c r="A52" s="412" t="s">
        <v>55</v>
      </c>
      <c r="B52" s="406" t="s">
        <v>1529</v>
      </c>
      <c r="C52" s="406" t="s">
        <v>1530</v>
      </c>
      <c r="D52" s="459">
        <v>459</v>
      </c>
      <c r="E52" s="460"/>
      <c r="F52" s="460"/>
      <c r="G52" s="460"/>
      <c r="H52" s="460"/>
      <c r="I52" s="460"/>
      <c r="J52" s="460"/>
      <c r="K52" s="460"/>
      <c r="L52" s="460">
        <v>0</v>
      </c>
      <c r="M52" s="460">
        <v>0</v>
      </c>
      <c r="N52" s="460">
        <v>19.3</v>
      </c>
      <c r="O52" s="460">
        <v>0</v>
      </c>
      <c r="P52" s="460">
        <v>0</v>
      </c>
      <c r="Q52" s="374">
        <f t="shared" si="3"/>
        <v>3.8600000000000003</v>
      </c>
      <c r="R52" s="375" t="str">
        <f t="shared" si="4"/>
        <v>SI</v>
      </c>
      <c r="S52" s="376" t="str">
        <f t="shared" si="5"/>
        <v>Sin Riesgo</v>
      </c>
      <c r="T52" s="16"/>
    </row>
    <row r="53" spans="1:20" ht="32.1" customHeight="1" x14ac:dyDescent="0.2">
      <c r="A53" s="412" t="s">
        <v>55</v>
      </c>
      <c r="B53" s="406" t="s">
        <v>1531</v>
      </c>
      <c r="C53" s="406" t="s">
        <v>1532</v>
      </c>
      <c r="D53" s="459">
        <v>1892</v>
      </c>
      <c r="E53" s="460">
        <v>0</v>
      </c>
      <c r="F53" s="460">
        <v>0</v>
      </c>
      <c r="G53" s="460">
        <v>24.3</v>
      </c>
      <c r="H53" s="460"/>
      <c r="I53" s="460"/>
      <c r="J53" s="460"/>
      <c r="K53" s="460"/>
      <c r="L53" s="460">
        <v>21</v>
      </c>
      <c r="M53" s="460">
        <v>0</v>
      </c>
      <c r="N53" s="460">
        <v>0</v>
      </c>
      <c r="O53" s="460">
        <v>0</v>
      </c>
      <c r="P53" s="460">
        <v>0</v>
      </c>
      <c r="Q53" s="374">
        <f t="shared" si="3"/>
        <v>5.6624999999999996</v>
      </c>
      <c r="R53" s="375" t="str">
        <f t="shared" si="4"/>
        <v>NO</v>
      </c>
      <c r="S53" s="376" t="str">
        <f t="shared" si="5"/>
        <v>Bajo</v>
      </c>
      <c r="T53" s="16"/>
    </row>
    <row r="54" spans="1:20" ht="32.1" customHeight="1" x14ac:dyDescent="0.2">
      <c r="A54" s="412" t="s">
        <v>55</v>
      </c>
      <c r="B54" s="406" t="s">
        <v>2</v>
      </c>
      <c r="C54" s="406" t="s">
        <v>1533</v>
      </c>
      <c r="D54" s="459">
        <v>97</v>
      </c>
      <c r="E54" s="460"/>
      <c r="F54" s="460"/>
      <c r="G54" s="460"/>
      <c r="H54" s="460"/>
      <c r="I54" s="460"/>
      <c r="J54" s="460"/>
      <c r="K54" s="460"/>
      <c r="L54" s="460"/>
      <c r="M54" s="460">
        <v>62.94</v>
      </c>
      <c r="N54" s="460"/>
      <c r="O54" s="460"/>
      <c r="P54" s="460"/>
      <c r="Q54" s="374">
        <f t="shared" si="3"/>
        <v>62.94</v>
      </c>
      <c r="R54" s="375" t="str">
        <f t="shared" si="4"/>
        <v>NO</v>
      </c>
      <c r="S54" s="376" t="str">
        <f t="shared" si="5"/>
        <v>Alto</v>
      </c>
      <c r="T54" s="16"/>
    </row>
    <row r="55" spans="1:20" ht="32.1" customHeight="1" x14ac:dyDescent="0.2">
      <c r="A55" s="412" t="s">
        <v>55</v>
      </c>
      <c r="B55" s="406" t="s">
        <v>1534</v>
      </c>
      <c r="C55" s="406" t="s">
        <v>1535</v>
      </c>
      <c r="D55" s="459">
        <v>905</v>
      </c>
      <c r="E55" s="460"/>
      <c r="F55" s="460"/>
      <c r="G55" s="460"/>
      <c r="H55" s="460"/>
      <c r="I55" s="460"/>
      <c r="J55" s="460"/>
      <c r="K55" s="460"/>
      <c r="L55" s="460">
        <v>0</v>
      </c>
      <c r="M55" s="460">
        <v>0</v>
      </c>
      <c r="N55" s="460">
        <v>28.6</v>
      </c>
      <c r="O55" s="460">
        <v>0</v>
      </c>
      <c r="P55" s="460">
        <v>32.799999999999997</v>
      </c>
      <c r="Q55" s="374">
        <f t="shared" si="3"/>
        <v>12.28</v>
      </c>
      <c r="R55" s="375" t="str">
        <f t="shared" si="4"/>
        <v>NO</v>
      </c>
      <c r="S55" s="376" t="str">
        <f t="shared" si="5"/>
        <v>Bajo</v>
      </c>
      <c r="T55" s="16"/>
    </row>
    <row r="56" spans="1:20" ht="32.1" customHeight="1" x14ac:dyDescent="0.2">
      <c r="A56" s="412" t="s">
        <v>55</v>
      </c>
      <c r="B56" s="406" t="s">
        <v>1536</v>
      </c>
      <c r="C56" s="406" t="s">
        <v>1537</v>
      </c>
      <c r="D56" s="459">
        <v>1</v>
      </c>
      <c r="E56" s="460"/>
      <c r="F56" s="460"/>
      <c r="G56" s="460"/>
      <c r="H56" s="460"/>
      <c r="I56" s="460"/>
      <c r="J56" s="460"/>
      <c r="K56" s="460"/>
      <c r="L56" s="460">
        <v>86.9</v>
      </c>
      <c r="M56" s="460"/>
      <c r="N56" s="460"/>
      <c r="O56" s="460"/>
      <c r="P56" s="460">
        <v>65.81</v>
      </c>
      <c r="Q56" s="374">
        <f t="shared" si="3"/>
        <v>76.355000000000004</v>
      </c>
      <c r="R56" s="375" t="str">
        <f t="shared" si="4"/>
        <v>NO</v>
      </c>
      <c r="S56" s="376" t="str">
        <f t="shared" si="5"/>
        <v>Alto</v>
      </c>
      <c r="T56" s="16"/>
    </row>
    <row r="57" spans="1:20" ht="32.1" customHeight="1" x14ac:dyDescent="0.2">
      <c r="A57" s="412" t="s">
        <v>55</v>
      </c>
      <c r="B57" s="406" t="s">
        <v>1538</v>
      </c>
      <c r="C57" s="406" t="s">
        <v>1539</v>
      </c>
      <c r="D57" s="459">
        <v>50</v>
      </c>
      <c r="E57" s="460"/>
      <c r="F57" s="460"/>
      <c r="G57" s="460"/>
      <c r="H57" s="460"/>
      <c r="I57" s="460"/>
      <c r="J57" s="460"/>
      <c r="K57" s="460"/>
      <c r="L57" s="460"/>
      <c r="M57" s="460"/>
      <c r="N57" s="460"/>
      <c r="O57" s="460">
        <v>41.9</v>
      </c>
      <c r="P57" s="460"/>
      <c r="Q57" s="374">
        <f t="shared" si="3"/>
        <v>41.9</v>
      </c>
      <c r="R57" s="375" t="str">
        <f t="shared" si="4"/>
        <v>NO</v>
      </c>
      <c r="S57" s="376" t="str">
        <f t="shared" si="5"/>
        <v>Alto</v>
      </c>
      <c r="T57" s="16"/>
    </row>
    <row r="58" spans="1:20" ht="32.1" customHeight="1" x14ac:dyDescent="0.2">
      <c r="A58" s="412" t="s">
        <v>55</v>
      </c>
      <c r="B58" s="406" t="s">
        <v>1540</v>
      </c>
      <c r="C58" s="406" t="s">
        <v>1541</v>
      </c>
      <c r="D58" s="459">
        <v>75</v>
      </c>
      <c r="E58" s="460"/>
      <c r="F58" s="460"/>
      <c r="G58" s="460"/>
      <c r="H58" s="460"/>
      <c r="I58" s="460"/>
      <c r="J58" s="460"/>
      <c r="K58" s="460"/>
      <c r="L58" s="460"/>
      <c r="M58" s="460">
        <v>41.96</v>
      </c>
      <c r="N58" s="460"/>
      <c r="O58" s="460"/>
      <c r="P58" s="460"/>
      <c r="Q58" s="374">
        <f t="shared" si="3"/>
        <v>41.96</v>
      </c>
      <c r="R58" s="375" t="str">
        <f t="shared" si="4"/>
        <v>NO</v>
      </c>
      <c r="S58" s="376" t="str">
        <f t="shared" si="5"/>
        <v>Alto</v>
      </c>
      <c r="T58" s="16"/>
    </row>
    <row r="59" spans="1:20" ht="32.1" customHeight="1" x14ac:dyDescent="0.2">
      <c r="A59" s="412" t="s">
        <v>55</v>
      </c>
      <c r="B59" s="406" t="s">
        <v>1542</v>
      </c>
      <c r="C59" s="406" t="s">
        <v>1543</v>
      </c>
      <c r="D59" s="459">
        <v>325</v>
      </c>
      <c r="E59" s="460"/>
      <c r="F59" s="460"/>
      <c r="G59" s="460"/>
      <c r="H59" s="460"/>
      <c r="I59" s="460"/>
      <c r="J59" s="460"/>
      <c r="K59" s="460"/>
      <c r="L59" s="460">
        <v>0</v>
      </c>
      <c r="M59" s="460">
        <v>0</v>
      </c>
      <c r="N59" s="460">
        <v>0</v>
      </c>
      <c r="O59" s="460">
        <v>9</v>
      </c>
      <c r="P59" s="460">
        <v>0</v>
      </c>
      <c r="Q59" s="374">
        <f t="shared" si="3"/>
        <v>1.8</v>
      </c>
      <c r="R59" s="375" t="str">
        <f t="shared" si="4"/>
        <v>SI</v>
      </c>
      <c r="S59" s="376" t="str">
        <f t="shared" si="5"/>
        <v>Sin Riesgo</v>
      </c>
      <c r="T59" s="16"/>
    </row>
    <row r="60" spans="1:20" ht="32.1" customHeight="1" x14ac:dyDescent="0.2">
      <c r="A60" s="412" t="s">
        <v>55</v>
      </c>
      <c r="B60" s="406" t="s">
        <v>1544</v>
      </c>
      <c r="C60" s="406" t="s">
        <v>1545</v>
      </c>
      <c r="D60" s="459">
        <v>100</v>
      </c>
      <c r="E60" s="460"/>
      <c r="F60" s="460">
        <v>75.2</v>
      </c>
      <c r="G60" s="460"/>
      <c r="H60" s="460"/>
      <c r="I60" s="460"/>
      <c r="J60" s="460"/>
      <c r="K60" s="460"/>
      <c r="L60" s="460"/>
      <c r="M60" s="460"/>
      <c r="N60" s="460"/>
      <c r="O60" s="460"/>
      <c r="P60" s="460"/>
      <c r="Q60" s="374">
        <f t="shared" si="3"/>
        <v>75.2</v>
      </c>
      <c r="R60" s="375" t="str">
        <f t="shared" si="4"/>
        <v>NO</v>
      </c>
      <c r="S60" s="376" t="str">
        <f t="shared" si="5"/>
        <v>Alto</v>
      </c>
      <c r="T60" s="16"/>
    </row>
    <row r="61" spans="1:20" ht="32.1" customHeight="1" x14ac:dyDescent="0.2">
      <c r="A61" s="412" t="s">
        <v>3948</v>
      </c>
      <c r="B61" s="406" t="s">
        <v>1546</v>
      </c>
      <c r="C61" s="406" t="s">
        <v>1547</v>
      </c>
      <c r="D61" s="364">
        <v>74</v>
      </c>
      <c r="E61" s="460"/>
      <c r="F61" s="460"/>
      <c r="G61" s="460"/>
      <c r="H61" s="460"/>
      <c r="I61" s="460"/>
      <c r="J61" s="460"/>
      <c r="K61" s="460">
        <v>41.96</v>
      </c>
      <c r="L61" s="460"/>
      <c r="M61" s="460"/>
      <c r="N61" s="460"/>
      <c r="O61" s="460"/>
      <c r="P61" s="460"/>
      <c r="Q61" s="374">
        <f t="shared" si="3"/>
        <v>41.96</v>
      </c>
      <c r="R61" s="375" t="str">
        <f t="shared" si="4"/>
        <v>NO</v>
      </c>
      <c r="S61" s="376" t="str">
        <f t="shared" si="5"/>
        <v>Alto</v>
      </c>
      <c r="T61" s="16"/>
    </row>
    <row r="62" spans="1:20" ht="32.1" customHeight="1" x14ac:dyDescent="0.2">
      <c r="A62" s="412" t="s">
        <v>3948</v>
      </c>
      <c r="B62" s="406" t="s">
        <v>1548</v>
      </c>
      <c r="C62" s="406" t="s">
        <v>1549</v>
      </c>
      <c r="D62" s="364">
        <v>407</v>
      </c>
      <c r="E62" s="460"/>
      <c r="F62" s="460"/>
      <c r="G62" s="460"/>
      <c r="H62" s="460"/>
      <c r="I62" s="460"/>
      <c r="J62" s="460"/>
      <c r="K62" s="460"/>
      <c r="L62" s="460">
        <v>27</v>
      </c>
      <c r="M62" s="460"/>
      <c r="N62" s="460"/>
      <c r="O62" s="460"/>
      <c r="P62" s="460"/>
      <c r="Q62" s="374">
        <f t="shared" si="3"/>
        <v>27</v>
      </c>
      <c r="R62" s="375" t="str">
        <f t="shared" si="4"/>
        <v>NO</v>
      </c>
      <c r="S62" s="376" t="str">
        <f t="shared" si="5"/>
        <v>Medio</v>
      </c>
      <c r="T62" s="16"/>
    </row>
    <row r="63" spans="1:20" ht="32.1" customHeight="1" x14ac:dyDescent="0.2">
      <c r="A63" s="412" t="s">
        <v>3948</v>
      </c>
      <c r="B63" s="406" t="s">
        <v>1550</v>
      </c>
      <c r="C63" s="406" t="s">
        <v>1551</v>
      </c>
      <c r="D63" s="364">
        <v>42</v>
      </c>
      <c r="E63" s="460"/>
      <c r="F63" s="460"/>
      <c r="G63" s="460"/>
      <c r="H63" s="460"/>
      <c r="I63" s="460"/>
      <c r="J63" s="460"/>
      <c r="K63" s="460"/>
      <c r="L63" s="460"/>
      <c r="M63" s="460"/>
      <c r="N63" s="460"/>
      <c r="O63" s="460"/>
      <c r="P63" s="460">
        <v>97.9</v>
      </c>
      <c r="Q63" s="374">
        <f t="shared" si="3"/>
        <v>97.9</v>
      </c>
      <c r="R63" s="375" t="str">
        <f t="shared" si="4"/>
        <v>NO</v>
      </c>
      <c r="S63" s="376" t="str">
        <f t="shared" si="5"/>
        <v>Inviable Sanitariamente</v>
      </c>
      <c r="T63" s="16"/>
    </row>
    <row r="64" spans="1:20" ht="32.1" customHeight="1" x14ac:dyDescent="0.2">
      <c r="A64" s="412" t="s">
        <v>3948</v>
      </c>
      <c r="B64" s="406" t="s">
        <v>1552</v>
      </c>
      <c r="C64" s="406" t="s">
        <v>1553</v>
      </c>
      <c r="D64" s="364">
        <v>19</v>
      </c>
      <c r="E64" s="460"/>
      <c r="F64" s="460"/>
      <c r="G64" s="460"/>
      <c r="H64" s="460"/>
      <c r="I64" s="460"/>
      <c r="J64" s="460"/>
      <c r="K64" s="460"/>
      <c r="L64" s="460"/>
      <c r="M64" s="460"/>
      <c r="N64" s="460">
        <v>80.650000000000006</v>
      </c>
      <c r="O64" s="460"/>
      <c r="P64" s="460"/>
      <c r="Q64" s="374">
        <f t="shared" si="3"/>
        <v>80.650000000000006</v>
      </c>
      <c r="R64" s="375" t="str">
        <f t="shared" si="4"/>
        <v>NO</v>
      </c>
      <c r="S64" s="376" t="str">
        <f t="shared" si="5"/>
        <v>Inviable Sanitariamente</v>
      </c>
      <c r="T64" s="16"/>
    </row>
    <row r="65" spans="1:70" ht="32.1" customHeight="1" x14ac:dyDescent="0.2">
      <c r="A65" s="412" t="s">
        <v>3948</v>
      </c>
      <c r="B65" s="406" t="s">
        <v>1554</v>
      </c>
      <c r="C65" s="406" t="s">
        <v>1555</v>
      </c>
      <c r="D65" s="364"/>
      <c r="E65" s="460"/>
      <c r="F65" s="460"/>
      <c r="G65" s="460"/>
      <c r="H65" s="460"/>
      <c r="I65" s="460"/>
      <c r="J65" s="460"/>
      <c r="K65" s="460"/>
      <c r="L65" s="460"/>
      <c r="M65" s="460"/>
      <c r="N65" s="460"/>
      <c r="O65" s="460"/>
      <c r="P65" s="460"/>
      <c r="Q65" s="374" t="e">
        <f t="shared" si="3"/>
        <v>#DIV/0!</v>
      </c>
      <c r="R65" s="375" t="e">
        <f t="shared" si="4"/>
        <v>#DIV/0!</v>
      </c>
      <c r="S65" s="376" t="e">
        <f t="shared" si="5"/>
        <v>#DIV/0!</v>
      </c>
      <c r="T65" s="16"/>
    </row>
    <row r="66" spans="1:70" ht="32.1" customHeight="1" x14ac:dyDescent="0.2">
      <c r="A66" s="412" t="s">
        <v>3948</v>
      </c>
      <c r="B66" s="406" t="s">
        <v>65</v>
      </c>
      <c r="C66" s="406" t="s">
        <v>1556</v>
      </c>
      <c r="D66" s="364"/>
      <c r="E66" s="460"/>
      <c r="F66" s="460"/>
      <c r="G66" s="460"/>
      <c r="H66" s="460"/>
      <c r="I66" s="460"/>
      <c r="J66" s="460"/>
      <c r="K66" s="460"/>
      <c r="L66" s="460"/>
      <c r="M66" s="460"/>
      <c r="N66" s="460"/>
      <c r="O66" s="460"/>
      <c r="P66" s="460"/>
      <c r="Q66" s="374" t="e">
        <f t="shared" si="3"/>
        <v>#DIV/0!</v>
      </c>
      <c r="R66" s="375" t="e">
        <f t="shared" si="4"/>
        <v>#DIV/0!</v>
      </c>
      <c r="S66" s="376" t="e">
        <f t="shared" si="5"/>
        <v>#DIV/0!</v>
      </c>
      <c r="T66" s="16"/>
    </row>
    <row r="67" spans="1:70" ht="32.1" customHeight="1" x14ac:dyDescent="0.2">
      <c r="A67" s="412" t="s">
        <v>3948</v>
      </c>
      <c r="B67" s="406" t="s">
        <v>1557</v>
      </c>
      <c r="C67" s="406" t="s">
        <v>1558</v>
      </c>
      <c r="D67" s="364">
        <v>42</v>
      </c>
      <c r="E67" s="460"/>
      <c r="F67" s="460"/>
      <c r="G67" s="460"/>
      <c r="H67" s="460"/>
      <c r="I67" s="460"/>
      <c r="J67" s="460">
        <v>38.71</v>
      </c>
      <c r="K67" s="460"/>
      <c r="L67" s="460"/>
      <c r="M67" s="460"/>
      <c r="N67" s="460"/>
      <c r="O67" s="460"/>
      <c r="P67" s="460"/>
      <c r="Q67" s="374">
        <f t="shared" si="3"/>
        <v>38.71</v>
      </c>
      <c r="R67" s="375" t="str">
        <f t="shared" si="4"/>
        <v>NO</v>
      </c>
      <c r="S67" s="376" t="str">
        <f t="shared" si="5"/>
        <v>Alto</v>
      </c>
      <c r="T67" s="16"/>
    </row>
    <row r="68" spans="1:70" ht="32.1" customHeight="1" x14ac:dyDescent="0.2">
      <c r="A68" s="412" t="s">
        <v>3948</v>
      </c>
      <c r="B68" s="406" t="s">
        <v>1559</v>
      </c>
      <c r="C68" s="406" t="s">
        <v>1560</v>
      </c>
      <c r="D68" s="364">
        <v>43</v>
      </c>
      <c r="E68" s="460"/>
      <c r="F68" s="460"/>
      <c r="G68" s="460"/>
      <c r="H68" s="460"/>
      <c r="I68" s="460"/>
      <c r="J68" s="460"/>
      <c r="K68" s="460"/>
      <c r="L68" s="460"/>
      <c r="M68" s="460"/>
      <c r="N68" s="460"/>
      <c r="O68" s="460">
        <v>62.9</v>
      </c>
      <c r="P68" s="460"/>
      <c r="Q68" s="374">
        <f t="shared" si="3"/>
        <v>62.9</v>
      </c>
      <c r="R68" s="375" t="str">
        <f t="shared" si="4"/>
        <v>NO</v>
      </c>
      <c r="S68" s="376" t="str">
        <f t="shared" si="5"/>
        <v>Alto</v>
      </c>
    </row>
    <row r="69" spans="1:70" ht="32.1" customHeight="1" x14ac:dyDescent="0.2">
      <c r="A69" s="412" t="s">
        <v>3948</v>
      </c>
      <c r="B69" s="406" t="s">
        <v>1561</v>
      </c>
      <c r="C69" s="406" t="s">
        <v>1562</v>
      </c>
      <c r="D69" s="364">
        <v>18</v>
      </c>
      <c r="E69" s="460"/>
      <c r="F69" s="460"/>
      <c r="G69" s="460"/>
      <c r="H69" s="460"/>
      <c r="I69" s="460"/>
      <c r="J69" s="460"/>
      <c r="K69" s="460"/>
      <c r="L69" s="460"/>
      <c r="M69" s="460"/>
      <c r="N69" s="460"/>
      <c r="O69" s="460"/>
      <c r="P69" s="460">
        <v>62.9</v>
      </c>
      <c r="Q69" s="374">
        <f t="shared" si="3"/>
        <v>62.9</v>
      </c>
      <c r="R69" s="375" t="str">
        <f t="shared" si="4"/>
        <v>NO</v>
      </c>
      <c r="S69" s="376" t="str">
        <f t="shared" si="5"/>
        <v>Alto</v>
      </c>
    </row>
    <row r="70" spans="1:70" ht="32.1" customHeight="1" x14ac:dyDescent="0.2">
      <c r="A70" s="412" t="s">
        <v>3948</v>
      </c>
      <c r="B70" s="406" t="s">
        <v>1563</v>
      </c>
      <c r="C70" s="406" t="s">
        <v>1564</v>
      </c>
      <c r="D70" s="364">
        <v>45</v>
      </c>
      <c r="E70" s="460"/>
      <c r="F70" s="460"/>
      <c r="G70" s="460"/>
      <c r="H70" s="460"/>
      <c r="I70" s="460"/>
      <c r="J70" s="460"/>
      <c r="K70" s="460"/>
      <c r="L70" s="460">
        <v>97.9</v>
      </c>
      <c r="M70" s="460"/>
      <c r="N70" s="460"/>
      <c r="O70" s="460"/>
      <c r="P70" s="460"/>
      <c r="Q70" s="374">
        <f t="shared" si="3"/>
        <v>97.9</v>
      </c>
      <c r="R70" s="375" t="str">
        <f t="shared" si="4"/>
        <v>NO</v>
      </c>
      <c r="S70" s="376" t="str">
        <f t="shared" si="5"/>
        <v>Inviable Sanitariamente</v>
      </c>
    </row>
    <row r="71" spans="1:70" ht="32.1" customHeight="1" x14ac:dyDescent="0.2">
      <c r="A71" s="412" t="s">
        <v>3948</v>
      </c>
      <c r="B71" s="406" t="s">
        <v>1565</v>
      </c>
      <c r="C71" s="406" t="s">
        <v>1566</v>
      </c>
      <c r="D71" s="364">
        <v>24</v>
      </c>
      <c r="E71" s="460"/>
      <c r="F71" s="460"/>
      <c r="G71" s="460"/>
      <c r="H71" s="460"/>
      <c r="I71" s="460"/>
      <c r="J71" s="460"/>
      <c r="K71" s="460">
        <v>80.650000000000006</v>
      </c>
      <c r="L71" s="460"/>
      <c r="M71" s="460"/>
      <c r="N71" s="460"/>
      <c r="O71" s="460"/>
      <c r="P71" s="460"/>
      <c r="Q71" s="374">
        <f t="shared" si="3"/>
        <v>80.650000000000006</v>
      </c>
      <c r="R71" s="375" t="str">
        <f t="shared" si="4"/>
        <v>NO</v>
      </c>
      <c r="S71" s="376" t="str">
        <f t="shared" si="5"/>
        <v>Inviable Sanitariamente</v>
      </c>
    </row>
    <row r="72" spans="1:70" ht="32.1" customHeight="1" x14ac:dyDescent="0.2">
      <c r="A72" s="412" t="s">
        <v>3948</v>
      </c>
      <c r="B72" s="406" t="s">
        <v>1567</v>
      </c>
      <c r="C72" s="406" t="s">
        <v>1568</v>
      </c>
      <c r="D72" s="364"/>
      <c r="E72" s="460"/>
      <c r="F72" s="460"/>
      <c r="G72" s="460"/>
      <c r="H72" s="460"/>
      <c r="I72" s="460"/>
      <c r="J72" s="460"/>
      <c r="K72" s="460"/>
      <c r="L72" s="460"/>
      <c r="M72" s="460"/>
      <c r="N72" s="460"/>
      <c r="O72" s="460"/>
      <c r="P72" s="460"/>
      <c r="Q72" s="374" t="e">
        <f t="shared" si="3"/>
        <v>#DIV/0!</v>
      </c>
      <c r="R72" s="375" t="e">
        <f t="shared" si="4"/>
        <v>#DIV/0!</v>
      </c>
      <c r="S72" s="376" t="e">
        <f t="shared" si="5"/>
        <v>#DIV/0!</v>
      </c>
    </row>
    <row r="73" spans="1:70" ht="32.1" customHeight="1" x14ac:dyDescent="0.2">
      <c r="A73" s="412" t="s">
        <v>3948</v>
      </c>
      <c r="B73" s="406" t="s">
        <v>1569</v>
      </c>
      <c r="C73" s="406" t="s">
        <v>1570</v>
      </c>
      <c r="D73" s="364">
        <v>18</v>
      </c>
      <c r="E73" s="460"/>
      <c r="F73" s="460"/>
      <c r="G73" s="460"/>
      <c r="H73" s="460"/>
      <c r="I73" s="460"/>
      <c r="J73" s="460"/>
      <c r="K73" s="460"/>
      <c r="L73" s="460"/>
      <c r="M73" s="460"/>
      <c r="N73" s="460"/>
      <c r="O73" s="460">
        <v>62.9</v>
      </c>
      <c r="P73" s="460"/>
      <c r="Q73" s="374">
        <f t="shared" si="3"/>
        <v>62.9</v>
      </c>
      <c r="R73" s="375" t="str">
        <f t="shared" si="4"/>
        <v>NO</v>
      </c>
      <c r="S73" s="376" t="str">
        <f t="shared" si="5"/>
        <v>Alto</v>
      </c>
    </row>
    <row r="74" spans="1:70" ht="32.1" customHeight="1" x14ac:dyDescent="0.2">
      <c r="A74" s="412" t="s">
        <v>3948</v>
      </c>
      <c r="B74" s="406" t="s">
        <v>1571</v>
      </c>
      <c r="C74" s="406" t="s">
        <v>1572</v>
      </c>
      <c r="D74" s="364"/>
      <c r="E74" s="460"/>
      <c r="F74" s="460"/>
      <c r="G74" s="460"/>
      <c r="H74" s="460"/>
      <c r="I74" s="460"/>
      <c r="J74" s="460"/>
      <c r="K74" s="460"/>
      <c r="L74" s="460"/>
      <c r="M74" s="460"/>
      <c r="N74" s="460"/>
      <c r="O74" s="460"/>
      <c r="P74" s="460"/>
      <c r="Q74" s="374" t="e">
        <f t="shared" si="3"/>
        <v>#DIV/0!</v>
      </c>
      <c r="R74" s="375" t="e">
        <f t="shared" si="4"/>
        <v>#DIV/0!</v>
      </c>
      <c r="S74" s="376" t="e">
        <f t="shared" si="5"/>
        <v>#DIV/0!</v>
      </c>
    </row>
    <row r="75" spans="1:70" ht="32.1" customHeight="1" x14ac:dyDescent="0.2">
      <c r="A75" s="412" t="s">
        <v>3948</v>
      </c>
      <c r="B75" s="406" t="s">
        <v>1573</v>
      </c>
      <c r="C75" s="406" t="s">
        <v>1574</v>
      </c>
      <c r="D75" s="364">
        <v>15</v>
      </c>
      <c r="E75" s="460"/>
      <c r="F75" s="460"/>
      <c r="G75" s="460"/>
      <c r="H75" s="460">
        <v>41.96</v>
      </c>
      <c r="I75" s="460"/>
      <c r="J75" s="460"/>
      <c r="K75" s="460"/>
      <c r="L75" s="460"/>
      <c r="M75" s="460"/>
      <c r="N75" s="460"/>
      <c r="O75" s="460"/>
      <c r="P75" s="460"/>
      <c r="Q75" s="374">
        <f t="shared" si="3"/>
        <v>41.96</v>
      </c>
      <c r="R75" s="375" t="str">
        <f t="shared" si="4"/>
        <v>NO</v>
      </c>
      <c r="S75" s="376" t="str">
        <f t="shared" si="5"/>
        <v>Alto</v>
      </c>
    </row>
    <row r="76" spans="1:70" s="76" customFormat="1" ht="32.1" customHeight="1" x14ac:dyDescent="0.2">
      <c r="A76" s="412" t="s">
        <v>3948</v>
      </c>
      <c r="B76" s="406" t="s">
        <v>456</v>
      </c>
      <c r="C76" s="406" t="s">
        <v>1575</v>
      </c>
      <c r="D76" s="364">
        <v>25</v>
      </c>
      <c r="E76" s="460"/>
      <c r="F76" s="460"/>
      <c r="G76" s="460"/>
      <c r="H76" s="460"/>
      <c r="I76" s="460"/>
      <c r="J76" s="460"/>
      <c r="K76" s="460">
        <v>9.6</v>
      </c>
      <c r="L76" s="460"/>
      <c r="M76" s="460"/>
      <c r="N76" s="460"/>
      <c r="O76" s="460"/>
      <c r="P76" s="460"/>
      <c r="Q76" s="468">
        <f t="shared" si="3"/>
        <v>9.6</v>
      </c>
      <c r="R76" s="381" t="str">
        <f t="shared" si="4"/>
        <v>NO</v>
      </c>
      <c r="S76" s="376" t="str">
        <f t="shared" si="5"/>
        <v>Bajo</v>
      </c>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row>
    <row r="77" spans="1:70" s="76" customFormat="1" ht="32.1" customHeight="1" x14ac:dyDescent="0.2">
      <c r="A77" s="412" t="s">
        <v>3948</v>
      </c>
      <c r="B77" s="406" t="s">
        <v>1576</v>
      </c>
      <c r="C77" s="406" t="s">
        <v>1577</v>
      </c>
      <c r="D77" s="364">
        <v>30</v>
      </c>
      <c r="E77" s="460"/>
      <c r="F77" s="460"/>
      <c r="G77" s="460"/>
      <c r="H77" s="460"/>
      <c r="I77" s="460"/>
      <c r="J77" s="460"/>
      <c r="K77" s="460">
        <v>38.71</v>
      </c>
      <c r="L77" s="460"/>
      <c r="M77" s="460"/>
      <c r="N77" s="460"/>
      <c r="O77" s="460"/>
      <c r="P77" s="460"/>
      <c r="Q77" s="468">
        <f>AVERAGE(E77:P77)</f>
        <v>38.71</v>
      </c>
      <c r="R77" s="381" t="str">
        <f>IF(Q77&lt;5,"SI","NO")</f>
        <v>NO</v>
      </c>
      <c r="S77" s="376" t="str">
        <f t="shared" si="5"/>
        <v>Alto</v>
      </c>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row>
    <row r="78" spans="1:70" s="76" customFormat="1" ht="32.1" customHeight="1" x14ac:dyDescent="0.2">
      <c r="A78" s="412" t="s">
        <v>3948</v>
      </c>
      <c r="B78" s="406" t="s">
        <v>1578</v>
      </c>
      <c r="C78" s="406" t="s">
        <v>1579</v>
      </c>
      <c r="D78" s="364">
        <v>26</v>
      </c>
      <c r="E78" s="460"/>
      <c r="F78" s="460"/>
      <c r="G78" s="460"/>
      <c r="H78" s="460"/>
      <c r="I78" s="460"/>
      <c r="J78" s="460"/>
      <c r="K78" s="460">
        <v>41.96</v>
      </c>
      <c r="L78" s="460"/>
      <c r="M78" s="460"/>
      <c r="N78" s="460"/>
      <c r="O78" s="460"/>
      <c r="P78" s="460"/>
      <c r="Q78" s="468">
        <f>AVERAGE(E78:P78)</f>
        <v>41.96</v>
      </c>
      <c r="R78" s="381" t="str">
        <f>IF(Q78&lt;5,"SI","NO")</f>
        <v>NO</v>
      </c>
      <c r="S78" s="376" t="str">
        <f t="shared" si="5"/>
        <v>Alto</v>
      </c>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row>
    <row r="79" spans="1:70" s="76" customFormat="1" ht="32.1" customHeight="1" x14ac:dyDescent="0.2">
      <c r="A79" s="412" t="s">
        <v>3948</v>
      </c>
      <c r="B79" s="406" t="s">
        <v>1580</v>
      </c>
      <c r="C79" s="406" t="s">
        <v>1581</v>
      </c>
      <c r="D79" s="364">
        <v>46</v>
      </c>
      <c r="E79" s="460"/>
      <c r="F79" s="460"/>
      <c r="G79" s="460"/>
      <c r="H79" s="460"/>
      <c r="I79" s="460"/>
      <c r="J79" s="460"/>
      <c r="K79" s="460">
        <v>38.700000000000003</v>
      </c>
      <c r="L79" s="460"/>
      <c r="M79" s="460"/>
      <c r="N79" s="460"/>
      <c r="O79" s="460"/>
      <c r="P79" s="460"/>
      <c r="Q79" s="468">
        <f>AVERAGE(E79:P79)</f>
        <v>38.700000000000003</v>
      </c>
      <c r="R79" s="381" t="str">
        <f>IF(Q79&lt;5,"SI","NO")</f>
        <v>NO</v>
      </c>
      <c r="S79" s="376" t="str">
        <f t="shared" si="5"/>
        <v>Alto</v>
      </c>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row>
    <row r="80" spans="1:70" s="76" customFormat="1" ht="32.1" customHeight="1" x14ac:dyDescent="0.2">
      <c r="A80" s="412" t="s">
        <v>3948</v>
      </c>
      <c r="B80" s="406" t="s">
        <v>1582</v>
      </c>
      <c r="C80" s="406" t="s">
        <v>1583</v>
      </c>
      <c r="D80" s="364">
        <v>19</v>
      </c>
      <c r="E80" s="460"/>
      <c r="F80" s="460"/>
      <c r="G80" s="460"/>
      <c r="H80" s="460"/>
      <c r="I80" s="460"/>
      <c r="J80" s="460"/>
      <c r="K80" s="460"/>
      <c r="L80" s="460">
        <v>90</v>
      </c>
      <c r="M80" s="460"/>
      <c r="N80" s="460"/>
      <c r="O80" s="460"/>
      <c r="P80" s="460"/>
      <c r="Q80" s="469">
        <f>AVERAGE(E80:P80)</f>
        <v>90</v>
      </c>
      <c r="R80" s="381" t="str">
        <f>IF(Q80&lt;5,"SI","NO")</f>
        <v>NO</v>
      </c>
      <c r="S80" s="376" t="str">
        <f t="shared" si="5"/>
        <v>Inviable Sanitariamente</v>
      </c>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row>
    <row r="81" spans="1:70" s="76" customFormat="1" ht="32.1" customHeight="1" x14ac:dyDescent="0.2">
      <c r="A81" s="412" t="s">
        <v>3948</v>
      </c>
      <c r="B81" s="406" t="s">
        <v>4549</v>
      </c>
      <c r="C81" s="406" t="s">
        <v>4550</v>
      </c>
      <c r="D81" s="364">
        <v>18</v>
      </c>
      <c r="E81" s="460"/>
      <c r="F81" s="460"/>
      <c r="G81" s="460"/>
      <c r="H81" s="460"/>
      <c r="I81" s="460"/>
      <c r="J81" s="460"/>
      <c r="K81" s="460">
        <v>0</v>
      </c>
      <c r="L81" s="460"/>
      <c r="M81" s="460"/>
      <c r="N81" s="460"/>
      <c r="O81" s="460"/>
      <c r="P81" s="460"/>
      <c r="Q81" s="469"/>
      <c r="R81" s="381"/>
      <c r="S81" s="376"/>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row>
    <row r="82" spans="1:70" s="76" customFormat="1" ht="32.1" customHeight="1" x14ac:dyDescent="0.2">
      <c r="A82" s="412" t="s">
        <v>3948</v>
      </c>
      <c r="B82" s="406" t="s">
        <v>1584</v>
      </c>
      <c r="C82" s="406" t="s">
        <v>1585</v>
      </c>
      <c r="D82" s="364">
        <v>586</v>
      </c>
      <c r="E82" s="460">
        <v>0</v>
      </c>
      <c r="F82" s="460">
        <v>23.5</v>
      </c>
      <c r="G82" s="460">
        <v>0</v>
      </c>
      <c r="H82" s="460">
        <v>9.6999999999999993</v>
      </c>
      <c r="I82" s="460">
        <v>9.6999999999999993</v>
      </c>
      <c r="J82" s="460">
        <v>9.6999999999999993</v>
      </c>
      <c r="K82" s="460">
        <v>0</v>
      </c>
      <c r="L82" s="460">
        <v>0</v>
      </c>
      <c r="M82" s="460">
        <v>0</v>
      </c>
      <c r="N82" s="460">
        <v>27</v>
      </c>
      <c r="O82" s="460">
        <v>20.7</v>
      </c>
      <c r="P82" s="460">
        <v>19.3</v>
      </c>
      <c r="Q82" s="470">
        <f>AVERAGE(E82:P82)</f>
        <v>9.9666666666666668</v>
      </c>
      <c r="R82" s="381" t="str">
        <f>IF(Q82&lt;5,"SI","NO")</f>
        <v>NO</v>
      </c>
      <c r="S82" s="376" t="str">
        <f t="shared" si="5"/>
        <v>Bajo</v>
      </c>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row>
    <row r="83" spans="1:70" s="76" customFormat="1" ht="32.1" customHeight="1" x14ac:dyDescent="0.2">
      <c r="A83" s="80"/>
      <c r="B83" s="90"/>
      <c r="C83" s="90"/>
      <c r="D83" s="90"/>
      <c r="E83" s="91"/>
      <c r="F83" s="91"/>
      <c r="G83" s="91"/>
      <c r="H83" s="91"/>
      <c r="I83" s="91"/>
      <c r="J83" s="91"/>
      <c r="K83" s="91"/>
      <c r="L83" s="91"/>
      <c r="M83" s="91"/>
      <c r="N83" s="91"/>
      <c r="O83" s="91"/>
      <c r="P83" s="91"/>
      <c r="Q83" s="133"/>
      <c r="R83" s="134"/>
      <c r="S83" s="135"/>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row>
    <row r="84" spans="1:70" s="76" customFormat="1" ht="32.1" customHeight="1" x14ac:dyDescent="0.2">
      <c r="A84" s="272" t="s">
        <v>4137</v>
      </c>
      <c r="B84" s="272" t="s">
        <v>4184</v>
      </c>
      <c r="C84" s="324" t="s">
        <v>4580</v>
      </c>
      <c r="D84" s="325"/>
      <c r="E84" s="325"/>
      <c r="F84" s="325"/>
      <c r="G84" s="325"/>
      <c r="H84" s="325"/>
      <c r="I84" s="325"/>
      <c r="J84" s="325"/>
      <c r="K84" s="325"/>
      <c r="L84" s="325"/>
      <c r="M84" s="325"/>
      <c r="N84" s="325"/>
      <c r="O84" s="325"/>
      <c r="P84" s="325"/>
      <c r="Q84" s="325"/>
      <c r="R84" s="325"/>
      <c r="S84" s="325"/>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row>
    <row r="85" spans="1:70" s="76" customFormat="1" ht="32.1" customHeight="1" x14ac:dyDescent="0.2">
      <c r="A85" s="276" t="s">
        <v>4071</v>
      </c>
      <c r="B85" s="277">
        <f>COUNTIF(E11:P82,"&lt;=5")</f>
        <v>41</v>
      </c>
      <c r="C85" s="324"/>
      <c r="D85" s="325"/>
      <c r="E85" s="325"/>
      <c r="F85" s="325"/>
      <c r="G85" s="325"/>
      <c r="H85" s="325"/>
      <c r="I85" s="325"/>
      <c r="J85" s="325"/>
      <c r="K85" s="325"/>
      <c r="L85" s="325"/>
      <c r="M85" s="325"/>
      <c r="N85" s="325"/>
      <c r="O85" s="325"/>
      <c r="P85" s="325"/>
      <c r="Q85" s="325"/>
      <c r="R85" s="325"/>
      <c r="S85" s="325"/>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row>
    <row r="86" spans="1:70" s="76" customFormat="1" ht="32.1" customHeight="1" x14ac:dyDescent="0.2">
      <c r="A86" s="263" t="s">
        <v>4072</v>
      </c>
      <c r="B86" s="274">
        <f>COUNTIFS(E11:P82,"&gt;5",E11:P82,"&lt;=14")</f>
        <v>5</v>
      </c>
      <c r="C86" s="324" t="s">
        <v>4579</v>
      </c>
      <c r="D86" s="325"/>
      <c r="E86" s="325"/>
      <c r="F86" s="325"/>
      <c r="G86" s="325"/>
      <c r="H86" s="325"/>
      <c r="I86" s="325"/>
      <c r="J86" s="325"/>
      <c r="K86" s="325"/>
      <c r="L86" s="325"/>
      <c r="M86" s="325"/>
      <c r="N86" s="325"/>
      <c r="O86" s="325"/>
      <c r="P86" s="325"/>
      <c r="Q86" s="325"/>
      <c r="R86" s="325"/>
      <c r="S86" s="325"/>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row>
    <row r="87" spans="1:70" s="76" customFormat="1" ht="32.1" customHeight="1" x14ac:dyDescent="0.2">
      <c r="A87" s="264" t="s">
        <v>4073</v>
      </c>
      <c r="B87" s="273">
        <f>COUNTIFS(E11:P82,"&gt;14",E11:P82,"&lt;=35")</f>
        <v>11</v>
      </c>
      <c r="C87" s="324"/>
      <c r="D87" s="325"/>
      <c r="E87" s="325"/>
      <c r="F87" s="325"/>
      <c r="G87" s="325"/>
      <c r="H87" s="325"/>
      <c r="I87" s="325"/>
      <c r="J87" s="325"/>
      <c r="K87" s="325"/>
      <c r="L87" s="325"/>
      <c r="M87" s="325"/>
      <c r="N87" s="325"/>
      <c r="O87" s="325"/>
      <c r="P87" s="325"/>
      <c r="Q87" s="325"/>
      <c r="R87" s="325"/>
      <c r="S87" s="325"/>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row>
    <row r="88" spans="1:70" s="76" customFormat="1" ht="32.1" customHeight="1" x14ac:dyDescent="0.2">
      <c r="A88" s="265" t="s">
        <v>4074</v>
      </c>
      <c r="B88" s="273">
        <f>COUNTIFS(E11:P82,"&gt;35",E11:P82,"&lt;=80")</f>
        <v>28</v>
      </c>
      <c r="C88" s="90"/>
      <c r="D88" s="90"/>
      <c r="E88" s="91"/>
      <c r="F88" s="91"/>
      <c r="G88" s="91"/>
      <c r="H88" s="91"/>
      <c r="I88" s="91"/>
      <c r="J88" s="91"/>
      <c r="K88" s="91"/>
      <c r="L88" s="91"/>
      <c r="M88" s="91"/>
      <c r="N88" s="91"/>
      <c r="O88" s="91"/>
      <c r="P88" s="91"/>
      <c r="Q88" s="136"/>
      <c r="R88" s="137"/>
      <c r="S88" s="138"/>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row>
    <row r="89" spans="1:70" ht="36.75" customHeight="1" x14ac:dyDescent="0.2">
      <c r="A89" s="266" t="s">
        <v>4075</v>
      </c>
      <c r="B89" s="273">
        <f>COUNTIFS(E11:P82,"&gt;80",E11:P82,"&lt;=100")</f>
        <v>13</v>
      </c>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row>
    <row r="90" spans="1:70" ht="30.75" customHeight="1" x14ac:dyDescent="0.2">
      <c r="A90" s="285" t="s">
        <v>4076</v>
      </c>
      <c r="B90" s="286">
        <f>COUNT(E11:P82)</f>
        <v>98</v>
      </c>
    </row>
    <row r="91" spans="1:70" ht="36.75" customHeight="1" x14ac:dyDescent="0.2">
      <c r="A91" s="269" t="s">
        <v>4078</v>
      </c>
      <c r="B91" s="271">
        <f>B90-B85</f>
        <v>57</v>
      </c>
    </row>
  </sheetData>
  <autoFilter ref="A10:BR82">
    <sortState ref="A12:BR79">
      <sortCondition ref="A10:A79"/>
    </sortState>
  </autoFilter>
  <customSheetViews>
    <customSheetView guid="{45C8AF51-29EC-46A5-AB7F-1F0634E55D82}" scale="60" showPageBreaks="1">
      <pane xSplit="2.2000000000000002" ySplit="7" topLeftCell="D51" activePane="bottomRight" state="frozenSplit"/>
      <selection pane="bottomRight" activeCell="A79" sqref="A59:A79"/>
      <pageMargins left="0.28999999999999998" right="0.2" top="0.6692913385826772" bottom="0.9055118110236221" header="0.43" footer="0.59055118110236227"/>
      <printOptions horizontalCentered="1"/>
      <pageSetup paperSize="14" scale="75" orientation="landscape" r:id="rId1"/>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customSheetView>
    <customSheetView guid="{FCC3B493-4306-43B2-9C73-76324485DD47}" scale="60" showPageBreaks="1">
      <pane xSplit="3" ySplit="7" topLeftCell="G8" activePane="bottomRight" state="frozenSplit"/>
      <selection pane="bottomRight" activeCell="A43" sqref="A43:S44"/>
      <pageMargins left="0.28999999999999998" right="0.2" top="0.6692913385826772" bottom="0.9055118110236221" header="0.43" footer="0.59055118110236227"/>
      <printOptions horizontalCentered="1"/>
      <pageSetup paperSize="14" scale="75" orientation="landscape" r:id="rId2"/>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customSheetView>
    <customSheetView guid="{AEDE1BDB-8710-4CDA-8488-31F49D423ACE}" scale="60" showPageBreaks="1">
      <pane xSplit="3" ySplit="7" topLeftCell="S68" activePane="bottomRight" state="frozenSplit"/>
      <selection pane="bottomRight" activeCell="S92" sqref="S92"/>
      <pageMargins left="0.28999999999999998" right="0.2" top="0.6692913385826772" bottom="0.9055118110236221" header="0.43" footer="0.59055118110236227"/>
      <printOptions horizontalCentered="1"/>
      <pageSetup paperSize="14" scale="75" orientation="landscape" r:id="rId3"/>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customSheetView>
    <customSheetView guid="{75DD7674-E7DE-4BB1-A36D-76AA33452CB3}" scale="60" showPageBreaks="1" showAutoFilter="1">
      <pane xSplit="3" ySplit="7" topLeftCell="D8" activePane="bottomRight" state="frozenSplit"/>
      <selection pane="bottomRight" activeCell="M74" sqref="M74"/>
      <pageMargins left="0.28999999999999998" right="0.2" top="0.6692913385826772" bottom="0.9055118110236221" header="0.43" footer="0.59055118110236227"/>
      <printOptions horizontalCentered="1"/>
      <pageSetup paperSize="14" scale="75" orientation="landscape" r:id="rId4"/>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10:BR79">
        <sortState ref="A12:BR79">
          <sortCondition ref="A10:A79"/>
        </sortState>
      </autoFilter>
    </customSheetView>
  </customSheetViews>
  <mergeCells count="21">
    <mergeCell ref="H5:J6"/>
    <mergeCell ref="K5:M6"/>
    <mergeCell ref="N5:P6"/>
    <mergeCell ref="Q5:R6"/>
    <mergeCell ref="S5:S6"/>
    <mergeCell ref="B1:D1"/>
    <mergeCell ref="B2:D2"/>
    <mergeCell ref="B3:D3"/>
    <mergeCell ref="B5:D5"/>
    <mergeCell ref="E5:G6"/>
    <mergeCell ref="C86:S87"/>
    <mergeCell ref="S9:S10"/>
    <mergeCell ref="C9:C10"/>
    <mergeCell ref="R9:R10"/>
    <mergeCell ref="Q9:Q10"/>
    <mergeCell ref="E9:P9"/>
    <mergeCell ref="A7:B7"/>
    <mergeCell ref="C84:S85"/>
    <mergeCell ref="D9:D10"/>
    <mergeCell ref="A9:A10"/>
    <mergeCell ref="B9:B10"/>
  </mergeCells>
  <phoneticPr fontId="2" type="noConversion"/>
  <conditionalFormatting sqref="Q12:Q22 E11:P22 E47:P82 Q47:Q75 E25:Q45">
    <cfRule type="containsBlanks" dxfId="4135" priority="920" stopIfTrue="1">
      <formula>LEN(TRIM(E11))=0</formula>
    </cfRule>
    <cfRule type="cellIs" dxfId="4134" priority="921" stopIfTrue="1" operator="between">
      <formula>80.1</formula>
      <formula>100</formula>
    </cfRule>
    <cfRule type="cellIs" dxfId="4133" priority="922" stopIfTrue="1" operator="between">
      <formula>35.1</formula>
      <formula>80</formula>
    </cfRule>
    <cfRule type="cellIs" dxfId="4132" priority="923" stopIfTrue="1" operator="between">
      <formula>14.1</formula>
      <formula>35</formula>
    </cfRule>
    <cfRule type="cellIs" dxfId="4131" priority="924" stopIfTrue="1" operator="between">
      <formula>5.1</formula>
      <formula>14</formula>
    </cfRule>
    <cfRule type="cellIs" dxfId="4130" priority="925" stopIfTrue="1" operator="between">
      <formula>0</formula>
      <formula>5</formula>
    </cfRule>
    <cfRule type="containsBlanks" dxfId="4129" priority="926" stopIfTrue="1">
      <formula>LEN(TRIM(E11))=0</formula>
    </cfRule>
  </conditionalFormatting>
  <conditionalFormatting sqref="J43">
    <cfRule type="containsBlanks" dxfId="4128" priority="711" stopIfTrue="1">
      <formula>LEN(TRIM(J43))=0</formula>
    </cfRule>
    <cfRule type="cellIs" dxfId="4127" priority="712" stopIfTrue="1" operator="between">
      <formula>79.1</formula>
      <formula>100</formula>
    </cfRule>
    <cfRule type="cellIs" dxfId="4126" priority="713" stopIfTrue="1" operator="between">
      <formula>34.1</formula>
      <formula>79</formula>
    </cfRule>
    <cfRule type="cellIs" dxfId="4125" priority="714" stopIfTrue="1" operator="between">
      <formula>13.1</formula>
      <formula>34</formula>
    </cfRule>
    <cfRule type="cellIs" dxfId="4124" priority="715" stopIfTrue="1" operator="between">
      <formula>5.1</formula>
      <formula>13</formula>
    </cfRule>
    <cfRule type="cellIs" dxfId="4123" priority="716" stopIfTrue="1" operator="between">
      <formula>0</formula>
      <formula>5</formula>
    </cfRule>
    <cfRule type="containsBlanks" dxfId="4122" priority="717" stopIfTrue="1">
      <formula>LEN(TRIM(J43))=0</formula>
    </cfRule>
  </conditionalFormatting>
  <conditionalFormatting sqref="L56">
    <cfRule type="containsBlanks" dxfId="4121" priority="613" stopIfTrue="1">
      <formula>LEN(TRIM(L56))=0</formula>
    </cfRule>
    <cfRule type="cellIs" dxfId="4120" priority="614" stopIfTrue="1" operator="between">
      <formula>79.1</formula>
      <formula>100</formula>
    </cfRule>
    <cfRule type="cellIs" dxfId="4119" priority="615" stopIfTrue="1" operator="between">
      <formula>34.1</formula>
      <formula>79</formula>
    </cfRule>
    <cfRule type="cellIs" dxfId="4118" priority="616" stopIfTrue="1" operator="between">
      <formula>13.1</formula>
      <formula>34</formula>
    </cfRule>
    <cfRule type="cellIs" dxfId="4117" priority="617" stopIfTrue="1" operator="between">
      <formula>5.1</formula>
      <formula>13</formula>
    </cfRule>
    <cfRule type="cellIs" dxfId="4116" priority="618" stopIfTrue="1" operator="between">
      <formula>0</formula>
      <formula>5</formula>
    </cfRule>
    <cfRule type="containsBlanks" dxfId="4115" priority="619" stopIfTrue="1">
      <formula>LEN(TRIM(L56))=0</formula>
    </cfRule>
  </conditionalFormatting>
  <conditionalFormatting sqref="O57:P57">
    <cfRule type="containsBlanks" dxfId="4114" priority="550" stopIfTrue="1">
      <formula>LEN(TRIM(O57))=0</formula>
    </cfRule>
    <cfRule type="cellIs" dxfId="4113" priority="551" stopIfTrue="1" operator="between">
      <formula>79.1</formula>
      <formula>100</formula>
    </cfRule>
    <cfRule type="cellIs" dxfId="4112" priority="552" stopIfTrue="1" operator="between">
      <formula>34.1</formula>
      <formula>79</formula>
    </cfRule>
    <cfRule type="cellIs" dxfId="4111" priority="553" stopIfTrue="1" operator="between">
      <formula>13.1</formula>
      <formula>34</formula>
    </cfRule>
    <cfRule type="cellIs" dxfId="4110" priority="554" stopIfTrue="1" operator="between">
      <formula>5.1</formula>
      <formula>13</formula>
    </cfRule>
    <cfRule type="cellIs" dxfId="4109" priority="555" stopIfTrue="1" operator="between">
      <formula>0</formula>
      <formula>5</formula>
    </cfRule>
    <cfRule type="containsBlanks" dxfId="4108" priority="556" stopIfTrue="1">
      <formula>LEN(TRIM(O57))=0</formula>
    </cfRule>
  </conditionalFormatting>
  <conditionalFormatting sqref="N57">
    <cfRule type="containsBlanks" dxfId="4107" priority="515" stopIfTrue="1">
      <formula>LEN(TRIM(N57))=0</formula>
    </cfRule>
    <cfRule type="cellIs" dxfId="4106" priority="516" stopIfTrue="1" operator="between">
      <formula>79.1</formula>
      <formula>100</formula>
    </cfRule>
    <cfRule type="cellIs" dxfId="4105" priority="517" stopIfTrue="1" operator="between">
      <formula>34.1</formula>
      <formula>79</formula>
    </cfRule>
    <cfRule type="cellIs" dxfId="4104" priority="518" stopIfTrue="1" operator="between">
      <formula>13.1</formula>
      <formula>34</formula>
    </cfRule>
    <cfRule type="cellIs" dxfId="4103" priority="519" stopIfTrue="1" operator="between">
      <formula>5.1</formula>
      <formula>13</formula>
    </cfRule>
    <cfRule type="cellIs" dxfId="4102" priority="520" stopIfTrue="1" operator="between">
      <formula>0</formula>
      <formula>5</formula>
    </cfRule>
    <cfRule type="containsBlanks" dxfId="4101" priority="521" stopIfTrue="1">
      <formula>LEN(TRIM(N57))=0</formula>
    </cfRule>
  </conditionalFormatting>
  <conditionalFormatting sqref="E62:F62 K60:P60 K62:P62 L61:P61 E65:F66 P73 K71:P72 N68:P68 O69:P69 K64:P67 L63:P63 P70">
    <cfRule type="containsBlanks" dxfId="4100" priority="641" stopIfTrue="1">
      <formula>LEN(TRIM(E60))=0</formula>
    </cfRule>
    <cfRule type="cellIs" dxfId="4099" priority="642" stopIfTrue="1" operator="between">
      <formula>79.1</formula>
      <formula>100</formula>
    </cfRule>
    <cfRule type="cellIs" dxfId="4098" priority="643" stopIfTrue="1" operator="between">
      <formula>34.1</formula>
      <formula>79</formula>
    </cfRule>
    <cfRule type="cellIs" dxfId="4097" priority="644" stopIfTrue="1" operator="between">
      <formula>13.1</formula>
      <formula>34</formula>
    </cfRule>
    <cfRule type="cellIs" dxfId="4096" priority="645" stopIfTrue="1" operator="between">
      <formula>5.1</formula>
      <formula>13</formula>
    </cfRule>
    <cfRule type="cellIs" dxfId="4095" priority="646" stopIfTrue="1" operator="between">
      <formula>0</formula>
      <formula>5</formula>
    </cfRule>
    <cfRule type="containsBlanks" dxfId="4094" priority="647" stopIfTrue="1">
      <formula>LEN(TRIM(E60))=0</formula>
    </cfRule>
  </conditionalFormatting>
  <conditionalFormatting sqref="O56:P56">
    <cfRule type="containsBlanks" dxfId="4093" priority="634" stopIfTrue="1">
      <formula>LEN(TRIM(O56))=0</formula>
    </cfRule>
    <cfRule type="cellIs" dxfId="4092" priority="635" stopIfTrue="1" operator="between">
      <formula>79.1</formula>
      <formula>100</formula>
    </cfRule>
    <cfRule type="cellIs" dxfId="4091" priority="636" stopIfTrue="1" operator="between">
      <formula>34.1</formula>
      <formula>79</formula>
    </cfRule>
    <cfRule type="cellIs" dxfId="4090" priority="637" stopIfTrue="1" operator="between">
      <formula>13.1</formula>
      <formula>34</formula>
    </cfRule>
    <cfRule type="cellIs" dxfId="4089" priority="638" stopIfTrue="1" operator="between">
      <formula>5.1</formula>
      <formula>13</formula>
    </cfRule>
    <cfRule type="cellIs" dxfId="4088" priority="639" stopIfTrue="1" operator="between">
      <formula>0</formula>
      <formula>5</formula>
    </cfRule>
    <cfRule type="containsBlanks" dxfId="4087" priority="640" stopIfTrue="1">
      <formula>LEN(TRIM(O56))=0</formula>
    </cfRule>
  </conditionalFormatting>
  <conditionalFormatting sqref="M56">
    <cfRule type="containsBlanks" dxfId="4086" priority="606" stopIfTrue="1">
      <formula>LEN(TRIM(M56))=0</formula>
    </cfRule>
    <cfRule type="cellIs" dxfId="4085" priority="607" stopIfTrue="1" operator="between">
      <formula>79.1</formula>
      <formula>100</formula>
    </cfRule>
    <cfRule type="cellIs" dxfId="4084" priority="608" stopIfTrue="1" operator="between">
      <formula>34.1</formula>
      <formula>79</formula>
    </cfRule>
    <cfRule type="cellIs" dxfId="4083" priority="609" stopIfTrue="1" operator="between">
      <formula>13.1</formula>
      <formula>34</formula>
    </cfRule>
    <cfRule type="cellIs" dxfId="4082" priority="610" stopIfTrue="1" operator="between">
      <formula>5.1</formula>
      <formula>13</formula>
    </cfRule>
    <cfRule type="cellIs" dxfId="4081" priority="611" stopIfTrue="1" operator="between">
      <formula>0</formula>
      <formula>5</formula>
    </cfRule>
    <cfRule type="containsBlanks" dxfId="4080" priority="612" stopIfTrue="1">
      <formula>LEN(TRIM(M56))=0</formula>
    </cfRule>
  </conditionalFormatting>
  <conditionalFormatting sqref="N56">
    <cfRule type="containsBlanks" dxfId="4079" priority="599" stopIfTrue="1">
      <formula>LEN(TRIM(N56))=0</formula>
    </cfRule>
    <cfRule type="cellIs" dxfId="4078" priority="600" stopIfTrue="1" operator="between">
      <formula>79.1</formula>
      <formula>100</formula>
    </cfRule>
    <cfRule type="cellIs" dxfId="4077" priority="601" stopIfTrue="1" operator="between">
      <formula>34.1</formula>
      <formula>79</formula>
    </cfRule>
    <cfRule type="cellIs" dxfId="4076" priority="602" stopIfTrue="1" operator="between">
      <formula>13.1</formula>
      <formula>34</formula>
    </cfRule>
    <cfRule type="cellIs" dxfId="4075" priority="603" stopIfTrue="1" operator="between">
      <formula>5.1</formula>
      <formula>13</formula>
    </cfRule>
    <cfRule type="cellIs" dxfId="4074" priority="604" stopIfTrue="1" operator="between">
      <formula>0</formula>
      <formula>5</formula>
    </cfRule>
    <cfRule type="containsBlanks" dxfId="4073" priority="605" stopIfTrue="1">
      <formula>LEN(TRIM(N56))=0</formula>
    </cfRule>
  </conditionalFormatting>
  <conditionalFormatting sqref="O55:P55">
    <cfRule type="containsBlanks" dxfId="4072" priority="592" stopIfTrue="1">
      <formula>LEN(TRIM(O55))=0</formula>
    </cfRule>
    <cfRule type="cellIs" dxfId="4071" priority="593" stopIfTrue="1" operator="between">
      <formula>79.1</formula>
      <formula>100</formula>
    </cfRule>
    <cfRule type="cellIs" dxfId="4070" priority="594" stopIfTrue="1" operator="between">
      <formula>34.1</formula>
      <formula>79</formula>
    </cfRule>
    <cfRule type="cellIs" dxfId="4069" priority="595" stopIfTrue="1" operator="between">
      <formula>13.1</formula>
      <formula>34</formula>
    </cfRule>
    <cfRule type="cellIs" dxfId="4068" priority="596" stopIfTrue="1" operator="between">
      <formula>5.1</formula>
      <formula>13</formula>
    </cfRule>
    <cfRule type="cellIs" dxfId="4067" priority="597" stopIfTrue="1" operator="between">
      <formula>0</formula>
      <formula>5</formula>
    </cfRule>
    <cfRule type="containsBlanks" dxfId="4066" priority="598" stopIfTrue="1">
      <formula>LEN(TRIM(O55))=0</formula>
    </cfRule>
  </conditionalFormatting>
  <conditionalFormatting sqref="J55">
    <cfRule type="containsBlanks" dxfId="4065" priority="585" stopIfTrue="1">
      <formula>LEN(TRIM(J55))=0</formula>
    </cfRule>
    <cfRule type="cellIs" dxfId="4064" priority="586" stopIfTrue="1" operator="between">
      <formula>79.1</formula>
      <formula>100</formula>
    </cfRule>
    <cfRule type="cellIs" dxfId="4063" priority="587" stopIfTrue="1" operator="between">
      <formula>34.1</formula>
      <formula>79</formula>
    </cfRule>
    <cfRule type="cellIs" dxfId="4062" priority="588" stopIfTrue="1" operator="between">
      <formula>13.1</formula>
      <formula>34</formula>
    </cfRule>
    <cfRule type="cellIs" dxfId="4061" priority="589" stopIfTrue="1" operator="between">
      <formula>5.1</formula>
      <formula>13</formula>
    </cfRule>
    <cfRule type="cellIs" dxfId="4060" priority="590" stopIfTrue="1" operator="between">
      <formula>0</formula>
      <formula>5</formula>
    </cfRule>
    <cfRule type="containsBlanks" dxfId="4059" priority="591" stopIfTrue="1">
      <formula>LEN(TRIM(J55))=0</formula>
    </cfRule>
  </conditionalFormatting>
  <conditionalFormatting sqref="K55">
    <cfRule type="containsBlanks" dxfId="4058" priority="578" stopIfTrue="1">
      <formula>LEN(TRIM(K55))=0</formula>
    </cfRule>
    <cfRule type="cellIs" dxfId="4057" priority="579" stopIfTrue="1" operator="between">
      <formula>79.1</formula>
      <formula>100</formula>
    </cfRule>
    <cfRule type="cellIs" dxfId="4056" priority="580" stopIfTrue="1" operator="between">
      <formula>34.1</formula>
      <formula>79</formula>
    </cfRule>
    <cfRule type="cellIs" dxfId="4055" priority="581" stopIfTrue="1" operator="between">
      <formula>13.1</formula>
      <formula>34</formula>
    </cfRule>
    <cfRule type="cellIs" dxfId="4054" priority="582" stopIfTrue="1" operator="between">
      <formula>5.1</formula>
      <formula>13</formula>
    </cfRule>
    <cfRule type="cellIs" dxfId="4053" priority="583" stopIfTrue="1" operator="between">
      <formula>0</formula>
      <formula>5</formula>
    </cfRule>
    <cfRule type="containsBlanks" dxfId="4052" priority="584" stopIfTrue="1">
      <formula>LEN(TRIM(K55))=0</formula>
    </cfRule>
  </conditionalFormatting>
  <conditionalFormatting sqref="L55">
    <cfRule type="containsBlanks" dxfId="4051" priority="571" stopIfTrue="1">
      <formula>LEN(TRIM(L55))=0</formula>
    </cfRule>
    <cfRule type="cellIs" dxfId="4050" priority="572" stopIfTrue="1" operator="between">
      <formula>79.1</formula>
      <formula>100</formula>
    </cfRule>
    <cfRule type="cellIs" dxfId="4049" priority="573" stopIfTrue="1" operator="between">
      <formula>34.1</formula>
      <formula>79</formula>
    </cfRule>
    <cfRule type="cellIs" dxfId="4048" priority="574" stopIfTrue="1" operator="between">
      <formula>13.1</formula>
      <formula>34</formula>
    </cfRule>
    <cfRule type="cellIs" dxfId="4047" priority="575" stopIfTrue="1" operator="between">
      <formula>5.1</formula>
      <formula>13</formula>
    </cfRule>
    <cfRule type="cellIs" dxfId="4046" priority="576" stopIfTrue="1" operator="between">
      <formula>0</formula>
      <formula>5</formula>
    </cfRule>
    <cfRule type="containsBlanks" dxfId="4045" priority="577" stopIfTrue="1">
      <formula>LEN(TRIM(L55))=0</formula>
    </cfRule>
  </conditionalFormatting>
  <conditionalFormatting sqref="M55">
    <cfRule type="containsBlanks" dxfId="4044" priority="564" stopIfTrue="1">
      <formula>LEN(TRIM(M55))=0</formula>
    </cfRule>
    <cfRule type="cellIs" dxfId="4043" priority="565" stopIfTrue="1" operator="between">
      <formula>79.1</formula>
      <formula>100</formula>
    </cfRule>
    <cfRule type="cellIs" dxfId="4042" priority="566" stopIfTrue="1" operator="between">
      <formula>34.1</formula>
      <formula>79</formula>
    </cfRule>
    <cfRule type="cellIs" dxfId="4041" priority="567" stopIfTrue="1" operator="between">
      <formula>13.1</formula>
      <formula>34</formula>
    </cfRule>
    <cfRule type="cellIs" dxfId="4040" priority="568" stopIfTrue="1" operator="between">
      <formula>5.1</formula>
      <formula>13</formula>
    </cfRule>
    <cfRule type="cellIs" dxfId="4039" priority="569" stopIfTrue="1" operator="between">
      <formula>0</formula>
      <formula>5</formula>
    </cfRule>
    <cfRule type="containsBlanks" dxfId="4038" priority="570" stopIfTrue="1">
      <formula>LEN(TRIM(M55))=0</formula>
    </cfRule>
  </conditionalFormatting>
  <conditionalFormatting sqref="N55">
    <cfRule type="containsBlanks" dxfId="4037" priority="557" stopIfTrue="1">
      <formula>LEN(TRIM(N55))=0</formula>
    </cfRule>
    <cfRule type="cellIs" dxfId="4036" priority="558" stopIfTrue="1" operator="between">
      <formula>79.1</formula>
      <formula>100</formula>
    </cfRule>
    <cfRule type="cellIs" dxfId="4035" priority="559" stopIfTrue="1" operator="between">
      <formula>34.1</formula>
      <formula>79</formula>
    </cfRule>
    <cfRule type="cellIs" dxfId="4034" priority="560" stopIfTrue="1" operator="between">
      <formula>13.1</formula>
      <formula>34</formula>
    </cfRule>
    <cfRule type="cellIs" dxfId="4033" priority="561" stopIfTrue="1" operator="between">
      <formula>5.1</formula>
      <formula>13</formula>
    </cfRule>
    <cfRule type="cellIs" dxfId="4032" priority="562" stopIfTrue="1" operator="between">
      <formula>0</formula>
      <formula>5</formula>
    </cfRule>
    <cfRule type="containsBlanks" dxfId="4031" priority="563" stopIfTrue="1">
      <formula>LEN(TRIM(N55))=0</formula>
    </cfRule>
  </conditionalFormatting>
  <conditionalFormatting sqref="I62">
    <cfRule type="containsBlanks" dxfId="4030" priority="438" stopIfTrue="1">
      <formula>LEN(TRIM(I62))=0</formula>
    </cfRule>
    <cfRule type="cellIs" dxfId="4029" priority="439" stopIfTrue="1" operator="between">
      <formula>79.1</formula>
      <formula>100</formula>
    </cfRule>
    <cfRule type="cellIs" dxfId="4028" priority="440" stopIfTrue="1" operator="between">
      <formula>34.1</formula>
      <formula>79</formula>
    </cfRule>
    <cfRule type="cellIs" dxfId="4027" priority="441" stopIfTrue="1" operator="between">
      <formula>13.1</formula>
      <formula>34</formula>
    </cfRule>
    <cfRule type="cellIs" dxfId="4026" priority="442" stopIfTrue="1" operator="between">
      <formula>5.1</formula>
      <formula>13</formula>
    </cfRule>
    <cfRule type="cellIs" dxfId="4025" priority="443" stopIfTrue="1" operator="between">
      <formula>0</formula>
      <formula>5</formula>
    </cfRule>
    <cfRule type="containsBlanks" dxfId="4024" priority="444" stopIfTrue="1">
      <formula>LEN(TRIM(I62))=0</formula>
    </cfRule>
  </conditionalFormatting>
  <conditionalFormatting sqref="J62 J65:J66">
    <cfRule type="containsBlanks" dxfId="4023" priority="431" stopIfTrue="1">
      <formula>LEN(TRIM(J62))=0</formula>
    </cfRule>
    <cfRule type="cellIs" dxfId="4022" priority="432" stopIfTrue="1" operator="between">
      <formula>79.1</formula>
      <formula>100</formula>
    </cfRule>
    <cfRule type="cellIs" dxfId="4021" priority="433" stopIfTrue="1" operator="between">
      <formula>34.1</formula>
      <formula>79</formula>
    </cfRule>
    <cfRule type="cellIs" dxfId="4020" priority="434" stopIfTrue="1" operator="between">
      <formula>13.1</formula>
      <formula>34</formula>
    </cfRule>
    <cfRule type="cellIs" dxfId="4019" priority="435" stopIfTrue="1" operator="between">
      <formula>5.1</formula>
      <formula>13</formula>
    </cfRule>
    <cfRule type="cellIs" dxfId="4018" priority="436" stopIfTrue="1" operator="between">
      <formula>0</formula>
      <formula>5</formula>
    </cfRule>
    <cfRule type="containsBlanks" dxfId="4017" priority="437" stopIfTrue="1">
      <formula>LEN(TRIM(J62))=0</formula>
    </cfRule>
  </conditionalFormatting>
  <conditionalFormatting sqref="M57">
    <cfRule type="containsBlanks" dxfId="4016" priority="522" stopIfTrue="1">
      <formula>LEN(TRIM(M57))=0</formula>
    </cfRule>
    <cfRule type="cellIs" dxfId="4015" priority="523" stopIfTrue="1" operator="between">
      <formula>79.1</formula>
      <formula>100</formula>
    </cfRule>
    <cfRule type="cellIs" dxfId="4014" priority="524" stopIfTrue="1" operator="between">
      <formula>34.1</formula>
      <formula>79</formula>
    </cfRule>
    <cfRule type="cellIs" dxfId="4013" priority="525" stopIfTrue="1" operator="between">
      <formula>13.1</formula>
      <formula>34</formula>
    </cfRule>
    <cfRule type="cellIs" dxfId="4012" priority="526" stopIfTrue="1" operator="between">
      <formula>5.1</formula>
      <formula>13</formula>
    </cfRule>
    <cfRule type="cellIs" dxfId="4011" priority="527" stopIfTrue="1" operator="between">
      <formula>0</formula>
      <formula>5</formula>
    </cfRule>
    <cfRule type="containsBlanks" dxfId="4010" priority="528" stopIfTrue="1">
      <formula>LEN(TRIM(M57))=0</formula>
    </cfRule>
  </conditionalFormatting>
  <conditionalFormatting sqref="K43:P43">
    <cfRule type="containsBlanks" dxfId="4009" priority="501" stopIfTrue="1">
      <formula>LEN(TRIM(K43))=0</formula>
    </cfRule>
    <cfRule type="cellIs" dxfId="4008" priority="502" stopIfTrue="1" operator="between">
      <formula>79.1</formula>
      <formula>100</formula>
    </cfRule>
    <cfRule type="cellIs" dxfId="4007" priority="503" stopIfTrue="1" operator="between">
      <formula>34.1</formula>
      <formula>79</formula>
    </cfRule>
    <cfRule type="cellIs" dxfId="4006" priority="504" stopIfTrue="1" operator="between">
      <formula>13.1</formula>
      <formula>34</formula>
    </cfRule>
    <cfRule type="cellIs" dxfId="4005" priority="505" stopIfTrue="1" operator="between">
      <formula>5.1</formula>
      <formula>13</formula>
    </cfRule>
    <cfRule type="cellIs" dxfId="4004" priority="506" stopIfTrue="1" operator="between">
      <formula>0</formula>
      <formula>5</formula>
    </cfRule>
    <cfRule type="containsBlanks" dxfId="4003" priority="507" stopIfTrue="1">
      <formula>LEN(TRIM(K43))=0</formula>
    </cfRule>
  </conditionalFormatting>
  <conditionalFormatting sqref="L50:P50">
    <cfRule type="containsBlanks" dxfId="4002" priority="494" stopIfTrue="1">
      <formula>LEN(TRIM(L50))=0</formula>
    </cfRule>
    <cfRule type="cellIs" dxfId="4001" priority="495" stopIfTrue="1" operator="between">
      <formula>79.1</formula>
      <formula>100</formula>
    </cfRule>
    <cfRule type="cellIs" dxfId="4000" priority="496" stopIfTrue="1" operator="between">
      <formula>34.1</formula>
      <formula>79</formula>
    </cfRule>
    <cfRule type="cellIs" dxfId="3999" priority="497" stopIfTrue="1" operator="between">
      <formula>13.1</formula>
      <formula>34</formula>
    </cfRule>
    <cfRule type="cellIs" dxfId="3998" priority="498" stopIfTrue="1" operator="between">
      <formula>5.1</formula>
      <formula>13</formula>
    </cfRule>
    <cfRule type="cellIs" dxfId="3997" priority="499" stopIfTrue="1" operator="between">
      <formula>0</formula>
      <formula>5</formula>
    </cfRule>
    <cfRule type="containsBlanks" dxfId="3996" priority="500" stopIfTrue="1">
      <formula>LEN(TRIM(L50))=0</formula>
    </cfRule>
  </conditionalFormatting>
  <conditionalFormatting sqref="K44:P44">
    <cfRule type="containsBlanks" dxfId="3995" priority="487" stopIfTrue="1">
      <formula>LEN(TRIM(K44))=0</formula>
    </cfRule>
    <cfRule type="cellIs" dxfId="3994" priority="488" stopIfTrue="1" operator="between">
      <formula>79.1</formula>
      <formula>100</formula>
    </cfRule>
    <cfRule type="cellIs" dxfId="3993" priority="489" stopIfTrue="1" operator="between">
      <formula>34.1</formula>
      <formula>79</formula>
    </cfRule>
    <cfRule type="cellIs" dxfId="3992" priority="490" stopIfTrue="1" operator="between">
      <formula>13.1</formula>
      <formula>34</formula>
    </cfRule>
    <cfRule type="cellIs" dxfId="3991" priority="491" stopIfTrue="1" operator="between">
      <formula>5.1</formula>
      <formula>13</formula>
    </cfRule>
    <cfRule type="cellIs" dxfId="3990" priority="492" stopIfTrue="1" operator="between">
      <formula>0</formula>
      <formula>5</formula>
    </cfRule>
    <cfRule type="containsBlanks" dxfId="3989" priority="493" stopIfTrue="1">
      <formula>LEN(TRIM(K44))=0</formula>
    </cfRule>
  </conditionalFormatting>
  <conditionalFormatting sqref="G62 I65:I66">
    <cfRule type="containsBlanks" dxfId="3988" priority="480" stopIfTrue="1">
      <formula>LEN(TRIM(G62))=0</formula>
    </cfRule>
    <cfRule type="cellIs" dxfId="3987" priority="481" stopIfTrue="1" operator="between">
      <formula>79.1</formula>
      <formula>100</formula>
    </cfRule>
    <cfRule type="cellIs" dxfId="3986" priority="482" stopIfTrue="1" operator="between">
      <formula>34.1</formula>
      <formula>79</formula>
    </cfRule>
    <cfRule type="cellIs" dxfId="3985" priority="483" stopIfTrue="1" operator="between">
      <formula>13.1</formula>
      <formula>34</formula>
    </cfRule>
    <cfRule type="cellIs" dxfId="3984" priority="484" stopIfTrue="1" operator="between">
      <formula>5.1</formula>
      <formula>13</formula>
    </cfRule>
    <cfRule type="cellIs" dxfId="3983" priority="485" stopIfTrue="1" operator="between">
      <formula>0</formula>
      <formula>5</formula>
    </cfRule>
    <cfRule type="containsBlanks" dxfId="3982" priority="486" stopIfTrue="1">
      <formula>LEN(TRIM(G62))=0</formula>
    </cfRule>
  </conditionalFormatting>
  <conditionalFormatting sqref="G65:G66">
    <cfRule type="containsBlanks" dxfId="3981" priority="459" stopIfTrue="1">
      <formula>LEN(TRIM(G65))=0</formula>
    </cfRule>
    <cfRule type="cellIs" dxfId="3980" priority="460" stopIfTrue="1" operator="between">
      <formula>79.1</formula>
      <formula>100</formula>
    </cfRule>
    <cfRule type="cellIs" dxfId="3979" priority="461" stopIfTrue="1" operator="between">
      <formula>34.1</formula>
      <formula>79</formula>
    </cfRule>
    <cfRule type="cellIs" dxfId="3978" priority="462" stopIfTrue="1" operator="between">
      <formula>13.1</formula>
      <formula>34</formula>
    </cfRule>
    <cfRule type="cellIs" dxfId="3977" priority="463" stopIfTrue="1" operator="between">
      <formula>5.1</formula>
      <formula>13</formula>
    </cfRule>
    <cfRule type="cellIs" dxfId="3976" priority="464" stopIfTrue="1" operator="between">
      <formula>0</formula>
      <formula>5</formula>
    </cfRule>
    <cfRule type="containsBlanks" dxfId="3975" priority="465" stopIfTrue="1">
      <formula>LEN(TRIM(G65))=0</formula>
    </cfRule>
  </conditionalFormatting>
  <conditionalFormatting sqref="H62 H65:H66">
    <cfRule type="containsBlanks" dxfId="3974" priority="452" stopIfTrue="1">
      <formula>LEN(TRIM(H62))=0</formula>
    </cfRule>
    <cfRule type="cellIs" dxfId="3973" priority="453" stopIfTrue="1" operator="between">
      <formula>79.1</formula>
      <formula>100</formula>
    </cfRule>
    <cfRule type="cellIs" dxfId="3972" priority="454" stopIfTrue="1" operator="between">
      <formula>34.1</formula>
      <formula>79</formula>
    </cfRule>
    <cfRule type="cellIs" dxfId="3971" priority="455" stopIfTrue="1" operator="between">
      <formula>13.1</formula>
      <formula>34</formula>
    </cfRule>
    <cfRule type="cellIs" dxfId="3970" priority="456" stopIfTrue="1" operator="between">
      <formula>5.1</formula>
      <formula>13</formula>
    </cfRule>
    <cfRule type="cellIs" dxfId="3969" priority="457" stopIfTrue="1" operator="between">
      <formula>0</formula>
      <formula>5</formula>
    </cfRule>
    <cfRule type="containsBlanks" dxfId="3968" priority="458" stopIfTrue="1">
      <formula>LEN(TRIM(H62))=0</formula>
    </cfRule>
  </conditionalFormatting>
  <conditionalFormatting sqref="R12:R22 R25:R75">
    <cfRule type="cellIs" dxfId="3967" priority="367" stopIfTrue="1" operator="equal">
      <formula>"NO"</formula>
    </cfRule>
  </conditionalFormatting>
  <conditionalFormatting sqref="E39:K39">
    <cfRule type="containsBlanks" dxfId="3966" priority="347" stopIfTrue="1">
      <formula>LEN(TRIM(E39))=0</formula>
    </cfRule>
    <cfRule type="cellIs" dxfId="3965" priority="348" stopIfTrue="1" operator="between">
      <formula>80.1</formula>
      <formula>100</formula>
    </cfRule>
    <cfRule type="cellIs" dxfId="3964" priority="349" stopIfTrue="1" operator="between">
      <formula>35.1</formula>
      <formula>80</formula>
    </cfRule>
    <cfRule type="cellIs" dxfId="3963" priority="350" stopIfTrue="1" operator="between">
      <formula>14.1</formula>
      <formula>35</formula>
    </cfRule>
    <cfRule type="cellIs" dxfId="3962" priority="351" stopIfTrue="1" operator="between">
      <formula>5.1</formula>
      <formula>14</formula>
    </cfRule>
    <cfRule type="cellIs" dxfId="3961" priority="352" stopIfTrue="1" operator="between">
      <formula>0</formula>
      <formula>5</formula>
    </cfRule>
    <cfRule type="containsBlanks" dxfId="3960" priority="353" stopIfTrue="1">
      <formula>LEN(TRIM(E39))=0</formula>
    </cfRule>
  </conditionalFormatting>
  <conditionalFormatting sqref="E35:K35">
    <cfRule type="containsBlanks" dxfId="3959" priority="340" stopIfTrue="1">
      <formula>LEN(TRIM(E35))=0</formula>
    </cfRule>
    <cfRule type="cellIs" dxfId="3958" priority="341" stopIfTrue="1" operator="between">
      <formula>80.1</formula>
      <formula>100</formula>
    </cfRule>
    <cfRule type="cellIs" dxfId="3957" priority="342" stopIfTrue="1" operator="between">
      <formula>35.1</formula>
      <formula>80</formula>
    </cfRule>
    <cfRule type="cellIs" dxfId="3956" priority="343" stopIfTrue="1" operator="between">
      <formula>14.1</formula>
      <formula>35</formula>
    </cfRule>
    <cfRule type="cellIs" dxfId="3955" priority="344" stopIfTrue="1" operator="between">
      <formula>5.1</formula>
      <formula>14</formula>
    </cfRule>
    <cfRule type="cellIs" dxfId="3954" priority="345" stopIfTrue="1" operator="between">
      <formula>0</formula>
      <formula>5</formula>
    </cfRule>
    <cfRule type="containsBlanks" dxfId="3953" priority="346" stopIfTrue="1">
      <formula>LEN(TRIM(E35))=0</formula>
    </cfRule>
  </conditionalFormatting>
  <conditionalFormatting sqref="E36:K36">
    <cfRule type="containsBlanks" dxfId="3952" priority="333" stopIfTrue="1">
      <formula>LEN(TRIM(E36))=0</formula>
    </cfRule>
    <cfRule type="cellIs" dxfId="3951" priority="334" stopIfTrue="1" operator="between">
      <formula>80.1</formula>
      <formula>100</formula>
    </cfRule>
    <cfRule type="cellIs" dxfId="3950" priority="335" stopIfTrue="1" operator="between">
      <formula>35.1</formula>
      <formula>80</formula>
    </cfRule>
    <cfRule type="cellIs" dxfId="3949" priority="336" stopIfTrue="1" operator="between">
      <formula>14.1</formula>
      <formula>35</formula>
    </cfRule>
    <cfRule type="cellIs" dxfId="3948" priority="337" stopIfTrue="1" operator="between">
      <formula>5.1</formula>
      <formula>14</formula>
    </cfRule>
    <cfRule type="cellIs" dxfId="3947" priority="338" stopIfTrue="1" operator="between">
      <formula>0</formula>
      <formula>5</formula>
    </cfRule>
    <cfRule type="containsBlanks" dxfId="3946" priority="339" stopIfTrue="1">
      <formula>LEN(TRIM(E36))=0</formula>
    </cfRule>
  </conditionalFormatting>
  <conditionalFormatting sqref="E38:K38">
    <cfRule type="containsBlanks" dxfId="3945" priority="326" stopIfTrue="1">
      <formula>LEN(TRIM(E38))=0</formula>
    </cfRule>
    <cfRule type="cellIs" dxfId="3944" priority="327" stopIfTrue="1" operator="between">
      <formula>80.1</formula>
      <formula>100</formula>
    </cfRule>
    <cfRule type="cellIs" dxfId="3943" priority="328" stopIfTrue="1" operator="between">
      <formula>35.1</formula>
      <formula>80</formula>
    </cfRule>
    <cfRule type="cellIs" dxfId="3942" priority="329" stopIfTrue="1" operator="between">
      <formula>14.1</formula>
      <formula>35</formula>
    </cfRule>
    <cfRule type="cellIs" dxfId="3941" priority="330" stopIfTrue="1" operator="between">
      <formula>5.1</formula>
      <formula>14</formula>
    </cfRule>
    <cfRule type="cellIs" dxfId="3940" priority="331" stopIfTrue="1" operator="between">
      <formula>0</formula>
      <formula>5</formula>
    </cfRule>
    <cfRule type="containsBlanks" dxfId="3939" priority="332" stopIfTrue="1">
      <formula>LEN(TRIM(E38))=0</formula>
    </cfRule>
  </conditionalFormatting>
  <conditionalFormatting sqref="E37:L37">
    <cfRule type="containsBlanks" dxfId="3938" priority="319" stopIfTrue="1">
      <formula>LEN(TRIM(E37))=0</formula>
    </cfRule>
    <cfRule type="cellIs" dxfId="3937" priority="320" stopIfTrue="1" operator="between">
      <formula>80.1</formula>
      <formula>100</formula>
    </cfRule>
    <cfRule type="cellIs" dxfId="3936" priority="321" stopIfTrue="1" operator="between">
      <formula>35.1</formula>
      <formula>80</formula>
    </cfRule>
    <cfRule type="cellIs" dxfId="3935" priority="322" stopIfTrue="1" operator="between">
      <formula>14.1</formula>
      <formula>35</formula>
    </cfRule>
    <cfRule type="cellIs" dxfId="3934" priority="323" stopIfTrue="1" operator="between">
      <formula>5.1</formula>
      <formula>14</formula>
    </cfRule>
    <cfRule type="cellIs" dxfId="3933" priority="324" stopIfTrue="1" operator="between">
      <formula>0</formula>
      <formula>5</formula>
    </cfRule>
    <cfRule type="containsBlanks" dxfId="3932" priority="325" stopIfTrue="1">
      <formula>LEN(TRIM(E37))=0</formula>
    </cfRule>
  </conditionalFormatting>
  <conditionalFormatting sqref="E32:L32">
    <cfRule type="containsBlanks" dxfId="3931" priority="312" stopIfTrue="1">
      <formula>LEN(TRIM(E32))=0</formula>
    </cfRule>
    <cfRule type="cellIs" dxfId="3930" priority="313" stopIfTrue="1" operator="between">
      <formula>80.1</formula>
      <formula>100</formula>
    </cfRule>
    <cfRule type="cellIs" dxfId="3929" priority="314" stopIfTrue="1" operator="between">
      <formula>35.1</formula>
      <formula>80</formula>
    </cfRule>
    <cfRule type="cellIs" dxfId="3928" priority="315" stopIfTrue="1" operator="between">
      <formula>14.1</formula>
      <formula>35</formula>
    </cfRule>
    <cfRule type="cellIs" dxfId="3927" priority="316" stopIfTrue="1" operator="between">
      <formula>5.1</formula>
      <formula>14</formula>
    </cfRule>
    <cfRule type="cellIs" dxfId="3926" priority="317" stopIfTrue="1" operator="between">
      <formula>0</formula>
      <formula>5</formula>
    </cfRule>
    <cfRule type="containsBlanks" dxfId="3925" priority="318" stopIfTrue="1">
      <formula>LEN(TRIM(E32))=0</formula>
    </cfRule>
  </conditionalFormatting>
  <conditionalFormatting sqref="E33:L33">
    <cfRule type="containsBlanks" dxfId="3924" priority="305" stopIfTrue="1">
      <formula>LEN(TRIM(E33))=0</formula>
    </cfRule>
    <cfRule type="cellIs" dxfId="3923" priority="306" stopIfTrue="1" operator="between">
      <formula>80.1</formula>
      <formula>100</formula>
    </cfRule>
    <cfRule type="cellIs" dxfId="3922" priority="307" stopIfTrue="1" operator="between">
      <formula>35.1</formula>
      <formula>80</formula>
    </cfRule>
    <cfRule type="cellIs" dxfId="3921" priority="308" stopIfTrue="1" operator="between">
      <formula>14.1</formula>
      <formula>35</formula>
    </cfRule>
    <cfRule type="cellIs" dxfId="3920" priority="309" stopIfTrue="1" operator="between">
      <formula>5.1</formula>
      <formula>14</formula>
    </cfRule>
    <cfRule type="cellIs" dxfId="3919" priority="310" stopIfTrue="1" operator="between">
      <formula>0</formula>
      <formula>5</formula>
    </cfRule>
    <cfRule type="containsBlanks" dxfId="3918" priority="311" stopIfTrue="1">
      <formula>LEN(TRIM(E33))=0</formula>
    </cfRule>
  </conditionalFormatting>
  <conditionalFormatting sqref="E27:L27">
    <cfRule type="containsBlanks" dxfId="3917" priority="298" stopIfTrue="1">
      <formula>LEN(TRIM(E27))=0</formula>
    </cfRule>
    <cfRule type="cellIs" dxfId="3916" priority="299" stopIfTrue="1" operator="between">
      <formula>80.1</formula>
      <formula>100</formula>
    </cfRule>
    <cfRule type="cellIs" dxfId="3915" priority="300" stopIfTrue="1" operator="between">
      <formula>35.1</formula>
      <formula>80</formula>
    </cfRule>
    <cfRule type="cellIs" dxfId="3914" priority="301" stopIfTrue="1" operator="between">
      <formula>14.1</formula>
      <formula>35</formula>
    </cfRule>
    <cfRule type="cellIs" dxfId="3913" priority="302" stopIfTrue="1" operator="between">
      <formula>5.1</formula>
      <formula>14</formula>
    </cfRule>
    <cfRule type="cellIs" dxfId="3912" priority="303" stopIfTrue="1" operator="between">
      <formula>0</formula>
      <formula>5</formula>
    </cfRule>
    <cfRule type="containsBlanks" dxfId="3911" priority="304" stopIfTrue="1">
      <formula>LEN(TRIM(E27))=0</formula>
    </cfRule>
  </conditionalFormatting>
  <conditionalFormatting sqref="E34:L34">
    <cfRule type="containsBlanks" dxfId="3910" priority="291" stopIfTrue="1">
      <formula>LEN(TRIM(E34))=0</formula>
    </cfRule>
    <cfRule type="cellIs" dxfId="3909" priority="292" stopIfTrue="1" operator="between">
      <formula>80.1</formula>
      <formula>100</formula>
    </cfRule>
    <cfRule type="cellIs" dxfId="3908" priority="293" stopIfTrue="1" operator="between">
      <formula>35.1</formula>
      <formula>80</formula>
    </cfRule>
    <cfRule type="cellIs" dxfId="3907" priority="294" stopIfTrue="1" operator="between">
      <formula>14.1</formula>
      <formula>35</formula>
    </cfRule>
    <cfRule type="cellIs" dxfId="3906" priority="295" stopIfTrue="1" operator="between">
      <formula>5.1</formula>
      <formula>14</formula>
    </cfRule>
    <cfRule type="cellIs" dxfId="3905" priority="296" stopIfTrue="1" operator="between">
      <formula>0</formula>
      <formula>5</formula>
    </cfRule>
    <cfRule type="containsBlanks" dxfId="3904" priority="297" stopIfTrue="1">
      <formula>LEN(TRIM(E34))=0</formula>
    </cfRule>
  </conditionalFormatting>
  <conditionalFormatting sqref="E41:N41">
    <cfRule type="containsBlanks" dxfId="3903" priority="284" stopIfTrue="1">
      <formula>LEN(TRIM(E41))=0</formula>
    </cfRule>
    <cfRule type="cellIs" dxfId="3902" priority="285" stopIfTrue="1" operator="between">
      <formula>80.1</formula>
      <formula>100</formula>
    </cfRule>
    <cfRule type="cellIs" dxfId="3901" priority="286" stopIfTrue="1" operator="between">
      <formula>35.1</formula>
      <formula>80</formula>
    </cfRule>
    <cfRule type="cellIs" dxfId="3900" priority="287" stopIfTrue="1" operator="between">
      <formula>14.1</formula>
      <formula>35</formula>
    </cfRule>
    <cfRule type="cellIs" dxfId="3899" priority="288" stopIfTrue="1" operator="between">
      <formula>5.1</formula>
      <formula>14</formula>
    </cfRule>
    <cfRule type="cellIs" dxfId="3898" priority="289" stopIfTrue="1" operator="between">
      <formula>0</formula>
      <formula>5</formula>
    </cfRule>
    <cfRule type="containsBlanks" dxfId="3897" priority="290" stopIfTrue="1">
      <formula>LEN(TRIM(E41))=0</formula>
    </cfRule>
  </conditionalFormatting>
  <conditionalFormatting sqref="E42:M42">
    <cfRule type="containsBlanks" dxfId="3896" priority="277" stopIfTrue="1">
      <formula>LEN(TRIM(E42))=0</formula>
    </cfRule>
    <cfRule type="cellIs" dxfId="3895" priority="278" stopIfTrue="1" operator="between">
      <formula>80.1</formula>
      <formula>100</formula>
    </cfRule>
    <cfRule type="cellIs" dxfId="3894" priority="279" stopIfTrue="1" operator="between">
      <formula>35.1</formula>
      <formula>80</formula>
    </cfRule>
    <cfRule type="cellIs" dxfId="3893" priority="280" stopIfTrue="1" operator="between">
      <formula>14.1</formula>
      <formula>35</formula>
    </cfRule>
    <cfRule type="cellIs" dxfId="3892" priority="281" stopIfTrue="1" operator="between">
      <formula>5.1</formula>
      <formula>14</formula>
    </cfRule>
    <cfRule type="cellIs" dxfId="3891" priority="282" stopIfTrue="1" operator="between">
      <formula>0</formula>
      <formula>5</formula>
    </cfRule>
    <cfRule type="containsBlanks" dxfId="3890" priority="283" stopIfTrue="1">
      <formula>LEN(TRIM(E42))=0</formula>
    </cfRule>
  </conditionalFormatting>
  <conditionalFormatting sqref="E40:M40">
    <cfRule type="containsBlanks" dxfId="3889" priority="270" stopIfTrue="1">
      <formula>LEN(TRIM(E40))=0</formula>
    </cfRule>
    <cfRule type="cellIs" dxfId="3888" priority="271" stopIfTrue="1" operator="between">
      <formula>80.1</formula>
      <formula>100</formula>
    </cfRule>
    <cfRule type="cellIs" dxfId="3887" priority="272" stopIfTrue="1" operator="between">
      <formula>35.1</formula>
      <formula>80</formula>
    </cfRule>
    <cfRule type="cellIs" dxfId="3886" priority="273" stopIfTrue="1" operator="between">
      <formula>14.1</formula>
      <formula>35</formula>
    </cfRule>
    <cfRule type="cellIs" dxfId="3885" priority="274" stopIfTrue="1" operator="between">
      <formula>5.1</formula>
      <formula>14</formula>
    </cfRule>
    <cfRule type="cellIs" dxfId="3884" priority="275" stopIfTrue="1" operator="between">
      <formula>0</formula>
      <formula>5</formula>
    </cfRule>
    <cfRule type="containsBlanks" dxfId="3883" priority="276" stopIfTrue="1">
      <formula>LEN(TRIM(E40))=0</formula>
    </cfRule>
  </conditionalFormatting>
  <conditionalFormatting sqref="E29:O29">
    <cfRule type="containsBlanks" dxfId="3882" priority="263" stopIfTrue="1">
      <formula>LEN(TRIM(E29))=0</formula>
    </cfRule>
    <cfRule type="cellIs" dxfId="3881" priority="264" stopIfTrue="1" operator="between">
      <formula>80.1</formula>
      <formula>100</formula>
    </cfRule>
    <cfRule type="cellIs" dxfId="3880" priority="265" stopIfTrue="1" operator="between">
      <formula>35.1</formula>
      <formula>80</formula>
    </cfRule>
    <cfRule type="cellIs" dxfId="3879" priority="266" stopIfTrue="1" operator="between">
      <formula>14.1</formula>
      <formula>35</formula>
    </cfRule>
    <cfRule type="cellIs" dxfId="3878" priority="267" stopIfTrue="1" operator="between">
      <formula>5.1</formula>
      <formula>14</formula>
    </cfRule>
    <cfRule type="cellIs" dxfId="3877" priority="268" stopIfTrue="1" operator="between">
      <formula>0</formula>
      <formula>5</formula>
    </cfRule>
    <cfRule type="containsBlanks" dxfId="3876" priority="269" stopIfTrue="1">
      <formula>LEN(TRIM(E29))=0</formula>
    </cfRule>
  </conditionalFormatting>
  <conditionalFormatting sqref="E28:G28">
    <cfRule type="containsBlanks" dxfId="3875" priority="256" stopIfTrue="1">
      <formula>LEN(TRIM(E28))=0</formula>
    </cfRule>
    <cfRule type="cellIs" dxfId="3874" priority="257" stopIfTrue="1" operator="between">
      <formula>80.1</formula>
      <formula>100</formula>
    </cfRule>
    <cfRule type="cellIs" dxfId="3873" priority="258" stopIfTrue="1" operator="between">
      <formula>35.1</formula>
      <formula>80</formula>
    </cfRule>
    <cfRule type="cellIs" dxfId="3872" priority="259" stopIfTrue="1" operator="between">
      <formula>14.1</formula>
      <formula>35</formula>
    </cfRule>
    <cfRule type="cellIs" dxfId="3871" priority="260" stopIfTrue="1" operator="between">
      <formula>5.1</formula>
      <formula>14</formula>
    </cfRule>
    <cfRule type="cellIs" dxfId="3870" priority="261" stopIfTrue="1" operator="between">
      <formula>0</formula>
      <formula>5</formula>
    </cfRule>
    <cfRule type="containsBlanks" dxfId="3869" priority="262" stopIfTrue="1">
      <formula>LEN(TRIM(E28))=0</formula>
    </cfRule>
  </conditionalFormatting>
  <conditionalFormatting sqref="E31:G31">
    <cfRule type="containsBlanks" dxfId="3868" priority="249" stopIfTrue="1">
      <formula>LEN(TRIM(E31))=0</formula>
    </cfRule>
    <cfRule type="cellIs" dxfId="3867" priority="250" stopIfTrue="1" operator="between">
      <formula>80.1</formula>
      <formula>100</formula>
    </cfRule>
    <cfRule type="cellIs" dxfId="3866" priority="251" stopIfTrue="1" operator="between">
      <formula>35.1</formula>
      <formula>80</formula>
    </cfRule>
    <cfRule type="cellIs" dxfId="3865" priority="252" stopIfTrue="1" operator="between">
      <formula>14.1</formula>
      <formula>35</formula>
    </cfRule>
    <cfRule type="cellIs" dxfId="3864" priority="253" stopIfTrue="1" operator="between">
      <formula>5.1</formula>
      <formula>14</formula>
    </cfRule>
    <cfRule type="cellIs" dxfId="3863" priority="254" stopIfTrue="1" operator="between">
      <formula>0</formula>
      <formula>5</formula>
    </cfRule>
    <cfRule type="containsBlanks" dxfId="3862" priority="255" stopIfTrue="1">
      <formula>LEN(TRIM(E31))=0</formula>
    </cfRule>
  </conditionalFormatting>
  <conditionalFormatting sqref="E43:I43">
    <cfRule type="containsBlanks" dxfId="3861" priority="242" stopIfTrue="1">
      <formula>LEN(TRIM(E43))=0</formula>
    </cfRule>
    <cfRule type="cellIs" dxfId="3860" priority="243" stopIfTrue="1" operator="between">
      <formula>79.1</formula>
      <formula>100</formula>
    </cfRule>
    <cfRule type="cellIs" dxfId="3859" priority="244" stopIfTrue="1" operator="between">
      <formula>34.1</formula>
      <formula>79</formula>
    </cfRule>
    <cfRule type="cellIs" dxfId="3858" priority="245" stopIfTrue="1" operator="between">
      <formula>13.1</formula>
      <formula>34</formula>
    </cfRule>
    <cfRule type="cellIs" dxfId="3857" priority="246" stopIfTrue="1" operator="between">
      <formula>5.1</formula>
      <formula>13</formula>
    </cfRule>
    <cfRule type="cellIs" dxfId="3856" priority="247" stopIfTrue="1" operator="between">
      <formula>0</formula>
      <formula>5</formula>
    </cfRule>
    <cfRule type="containsBlanks" dxfId="3855" priority="248" stopIfTrue="1">
      <formula>LEN(TRIM(E43))=0</formula>
    </cfRule>
  </conditionalFormatting>
  <conditionalFormatting sqref="E45:P45">
    <cfRule type="containsBlanks" dxfId="3854" priority="235" stopIfTrue="1">
      <formula>LEN(TRIM(E45))=0</formula>
    </cfRule>
    <cfRule type="cellIs" dxfId="3853" priority="236" stopIfTrue="1" operator="between">
      <formula>79.1</formula>
      <formula>100</formula>
    </cfRule>
    <cfRule type="cellIs" dxfId="3852" priority="237" stopIfTrue="1" operator="between">
      <formula>34.1</formula>
      <formula>79</formula>
    </cfRule>
    <cfRule type="cellIs" dxfId="3851" priority="238" stopIfTrue="1" operator="between">
      <formula>13.1</formula>
      <formula>34</formula>
    </cfRule>
    <cfRule type="cellIs" dxfId="3850" priority="239" stopIfTrue="1" operator="between">
      <formula>5.1</formula>
      <formula>13</formula>
    </cfRule>
    <cfRule type="cellIs" dxfId="3849" priority="240" stopIfTrue="1" operator="between">
      <formula>0</formula>
      <formula>5</formula>
    </cfRule>
    <cfRule type="containsBlanks" dxfId="3848" priority="241" stopIfTrue="1">
      <formula>LEN(TRIM(E45))=0</formula>
    </cfRule>
  </conditionalFormatting>
  <conditionalFormatting sqref="E44:J44">
    <cfRule type="containsBlanks" dxfId="3847" priority="228" stopIfTrue="1">
      <formula>LEN(TRIM(E44))=0</formula>
    </cfRule>
    <cfRule type="cellIs" dxfId="3846" priority="229" stopIfTrue="1" operator="between">
      <formula>79.1</formula>
      <formula>100</formula>
    </cfRule>
    <cfRule type="cellIs" dxfId="3845" priority="230" stopIfTrue="1" operator="between">
      <formula>34.1</formula>
      <formula>79</formula>
    </cfRule>
    <cfRule type="cellIs" dxfId="3844" priority="231" stopIfTrue="1" operator="between">
      <formula>13.1</formula>
      <formula>34</formula>
    </cfRule>
    <cfRule type="cellIs" dxfId="3843" priority="232" stopIfTrue="1" operator="between">
      <formula>5.1</formula>
      <formula>13</formula>
    </cfRule>
    <cfRule type="cellIs" dxfId="3842" priority="233" stopIfTrue="1" operator="between">
      <formula>0</formula>
      <formula>5</formula>
    </cfRule>
    <cfRule type="containsBlanks" dxfId="3841" priority="234" stopIfTrue="1">
      <formula>LEN(TRIM(E44))=0</formula>
    </cfRule>
  </conditionalFormatting>
  <conditionalFormatting sqref="E47:I47">
    <cfRule type="containsBlanks" dxfId="3840" priority="221" stopIfTrue="1">
      <formula>LEN(TRIM(E47))=0</formula>
    </cfRule>
    <cfRule type="cellIs" dxfId="3839" priority="222" stopIfTrue="1" operator="between">
      <formula>79.1</formula>
      <formula>100</formula>
    </cfRule>
    <cfRule type="cellIs" dxfId="3838" priority="223" stopIfTrue="1" operator="between">
      <formula>34.1</formula>
      <formula>79</formula>
    </cfRule>
    <cfRule type="cellIs" dxfId="3837" priority="224" stopIfTrue="1" operator="between">
      <formula>13.1</formula>
      <formula>34</formula>
    </cfRule>
    <cfRule type="cellIs" dxfId="3836" priority="225" stopIfTrue="1" operator="between">
      <formula>5.1</formula>
      <formula>13</formula>
    </cfRule>
    <cfRule type="cellIs" dxfId="3835" priority="226" stopIfTrue="1" operator="between">
      <formula>0</formula>
      <formula>5</formula>
    </cfRule>
    <cfRule type="containsBlanks" dxfId="3834" priority="227" stopIfTrue="1">
      <formula>LEN(TRIM(E47))=0</formula>
    </cfRule>
  </conditionalFormatting>
  <conditionalFormatting sqref="E48:H48">
    <cfRule type="containsBlanks" dxfId="3833" priority="214" stopIfTrue="1">
      <formula>LEN(TRIM(E48))=0</formula>
    </cfRule>
    <cfRule type="cellIs" dxfId="3832" priority="215" stopIfTrue="1" operator="between">
      <formula>79.1</formula>
      <formula>100</formula>
    </cfRule>
    <cfRule type="cellIs" dxfId="3831" priority="216" stopIfTrue="1" operator="between">
      <formula>34.1</formula>
      <formula>79</formula>
    </cfRule>
    <cfRule type="cellIs" dxfId="3830" priority="217" stopIfTrue="1" operator="between">
      <formula>13.1</formula>
      <formula>34</formula>
    </cfRule>
    <cfRule type="cellIs" dxfId="3829" priority="218" stopIfTrue="1" operator="between">
      <formula>5.1</formula>
      <formula>13</formula>
    </cfRule>
    <cfRule type="cellIs" dxfId="3828" priority="219" stopIfTrue="1" operator="between">
      <formula>0</formula>
      <formula>5</formula>
    </cfRule>
    <cfRule type="containsBlanks" dxfId="3827" priority="220" stopIfTrue="1">
      <formula>LEN(TRIM(E48))=0</formula>
    </cfRule>
  </conditionalFormatting>
  <conditionalFormatting sqref="E49:H49">
    <cfRule type="containsBlanks" dxfId="3826" priority="207" stopIfTrue="1">
      <formula>LEN(TRIM(E49))=0</formula>
    </cfRule>
    <cfRule type="cellIs" dxfId="3825" priority="208" stopIfTrue="1" operator="between">
      <formula>79.1</formula>
      <formula>100</formula>
    </cfRule>
    <cfRule type="cellIs" dxfId="3824" priority="209" stopIfTrue="1" operator="between">
      <formula>34.1</formula>
      <formula>79</formula>
    </cfRule>
    <cfRule type="cellIs" dxfId="3823" priority="210" stopIfTrue="1" operator="between">
      <formula>13.1</formula>
      <formula>34</formula>
    </cfRule>
    <cfRule type="cellIs" dxfId="3822" priority="211" stopIfTrue="1" operator="between">
      <formula>5.1</formula>
      <formula>13</formula>
    </cfRule>
    <cfRule type="cellIs" dxfId="3821" priority="212" stopIfTrue="1" operator="between">
      <formula>0</formula>
      <formula>5</formula>
    </cfRule>
    <cfRule type="containsBlanks" dxfId="3820" priority="213" stopIfTrue="1">
      <formula>LEN(TRIM(E49))=0</formula>
    </cfRule>
  </conditionalFormatting>
  <conditionalFormatting sqref="E53:P53">
    <cfRule type="containsBlanks" dxfId="3819" priority="200" stopIfTrue="1">
      <formula>LEN(TRIM(E53))=0</formula>
    </cfRule>
    <cfRule type="cellIs" dxfId="3818" priority="201" stopIfTrue="1" operator="between">
      <formula>80.1</formula>
      <formula>100</formula>
    </cfRule>
    <cfRule type="cellIs" dxfId="3817" priority="202" stopIfTrue="1" operator="between">
      <formula>35.1</formula>
      <formula>80</formula>
    </cfRule>
    <cfRule type="cellIs" dxfId="3816" priority="203" stopIfTrue="1" operator="between">
      <formula>14.1</formula>
      <formula>35</formula>
    </cfRule>
    <cfRule type="cellIs" dxfId="3815" priority="204" stopIfTrue="1" operator="between">
      <formula>5.1</formula>
      <formula>14</formula>
    </cfRule>
    <cfRule type="cellIs" dxfId="3814" priority="205" stopIfTrue="1" operator="between">
      <formula>0</formula>
      <formula>5</formula>
    </cfRule>
    <cfRule type="containsBlanks" dxfId="3813" priority="206" stopIfTrue="1">
      <formula>LEN(TRIM(E53))=0</formula>
    </cfRule>
  </conditionalFormatting>
  <conditionalFormatting sqref="E54:P54">
    <cfRule type="containsBlanks" dxfId="3812" priority="193" stopIfTrue="1">
      <formula>LEN(TRIM(E54))=0</formula>
    </cfRule>
    <cfRule type="cellIs" dxfId="3811" priority="194" stopIfTrue="1" operator="between">
      <formula>80.1</formula>
      <formula>100</formula>
    </cfRule>
    <cfRule type="cellIs" dxfId="3810" priority="195" stopIfTrue="1" operator="between">
      <formula>35.1</formula>
      <formula>80</formula>
    </cfRule>
    <cfRule type="cellIs" dxfId="3809" priority="196" stopIfTrue="1" operator="between">
      <formula>14.1</formula>
      <formula>35</formula>
    </cfRule>
    <cfRule type="cellIs" dxfId="3808" priority="197" stopIfTrue="1" operator="between">
      <formula>5.1</formula>
      <formula>14</formula>
    </cfRule>
    <cfRule type="cellIs" dxfId="3807" priority="198" stopIfTrue="1" operator="between">
      <formula>0</formula>
      <formula>5</formula>
    </cfRule>
    <cfRule type="containsBlanks" dxfId="3806" priority="199" stopIfTrue="1">
      <formula>LEN(TRIM(E54))=0</formula>
    </cfRule>
  </conditionalFormatting>
  <conditionalFormatting sqref="E52:P52">
    <cfRule type="containsBlanks" dxfId="3805" priority="186" stopIfTrue="1">
      <formula>LEN(TRIM(E52))=0</formula>
    </cfRule>
    <cfRule type="cellIs" dxfId="3804" priority="187" stopIfTrue="1" operator="between">
      <formula>80.1</formula>
      <formula>100</formula>
    </cfRule>
    <cfRule type="cellIs" dxfId="3803" priority="188" stopIfTrue="1" operator="between">
      <formula>35.1</formula>
      <formula>80</formula>
    </cfRule>
    <cfRule type="cellIs" dxfId="3802" priority="189" stopIfTrue="1" operator="between">
      <formula>14.1</formula>
      <formula>35</formula>
    </cfRule>
    <cfRule type="cellIs" dxfId="3801" priority="190" stopIfTrue="1" operator="between">
      <formula>5.1</formula>
      <formula>14</formula>
    </cfRule>
    <cfRule type="cellIs" dxfId="3800" priority="191" stopIfTrue="1" operator="between">
      <formula>0</formula>
      <formula>5</formula>
    </cfRule>
    <cfRule type="containsBlanks" dxfId="3799" priority="192" stopIfTrue="1">
      <formula>LEN(TRIM(E52))=0</formula>
    </cfRule>
  </conditionalFormatting>
  <conditionalFormatting sqref="E58:P58">
    <cfRule type="containsBlanks" dxfId="3798" priority="179" stopIfTrue="1">
      <formula>LEN(TRIM(E58))=0</formula>
    </cfRule>
    <cfRule type="cellIs" dxfId="3797" priority="180" stopIfTrue="1" operator="between">
      <formula>80.1</formula>
      <formula>100</formula>
    </cfRule>
    <cfRule type="cellIs" dxfId="3796" priority="181" stopIfTrue="1" operator="between">
      <formula>35.1</formula>
      <formula>80</formula>
    </cfRule>
    <cfRule type="cellIs" dxfId="3795" priority="182" stopIfTrue="1" operator="between">
      <formula>14.1</formula>
      <formula>35</formula>
    </cfRule>
    <cfRule type="cellIs" dxfId="3794" priority="183" stopIfTrue="1" operator="between">
      <formula>5.1</formula>
      <formula>14</formula>
    </cfRule>
    <cfRule type="cellIs" dxfId="3793" priority="184" stopIfTrue="1" operator="between">
      <formula>0</formula>
      <formula>5</formula>
    </cfRule>
    <cfRule type="containsBlanks" dxfId="3792" priority="185" stopIfTrue="1">
      <formula>LEN(TRIM(E58))=0</formula>
    </cfRule>
  </conditionalFormatting>
  <conditionalFormatting sqref="E51:G51">
    <cfRule type="containsBlanks" dxfId="3791" priority="172" stopIfTrue="1">
      <formula>LEN(TRIM(E51))=0</formula>
    </cfRule>
    <cfRule type="cellIs" dxfId="3790" priority="173" stopIfTrue="1" operator="between">
      <formula>80.1</formula>
      <formula>100</formula>
    </cfRule>
    <cfRule type="cellIs" dxfId="3789" priority="174" stopIfTrue="1" operator="between">
      <formula>35.1</formula>
      <formula>80</formula>
    </cfRule>
    <cfRule type="cellIs" dxfId="3788" priority="175" stopIfTrue="1" operator="between">
      <formula>14.1</formula>
      <formula>35</formula>
    </cfRule>
    <cfRule type="cellIs" dxfId="3787" priority="176" stopIfTrue="1" operator="between">
      <formula>5.1</formula>
      <formula>14</formula>
    </cfRule>
    <cfRule type="cellIs" dxfId="3786" priority="177" stopIfTrue="1" operator="between">
      <formula>0</formula>
      <formula>5</formula>
    </cfRule>
    <cfRule type="containsBlanks" dxfId="3785" priority="178" stopIfTrue="1">
      <formula>LEN(TRIM(E51))=0</formula>
    </cfRule>
  </conditionalFormatting>
  <conditionalFormatting sqref="E56:K56">
    <cfRule type="containsBlanks" dxfId="3784" priority="165" stopIfTrue="1">
      <formula>LEN(TRIM(E56))=0</formula>
    </cfRule>
    <cfRule type="cellIs" dxfId="3783" priority="166" stopIfTrue="1" operator="between">
      <formula>80.1</formula>
      <formula>100</formula>
    </cfRule>
    <cfRule type="cellIs" dxfId="3782" priority="167" stopIfTrue="1" operator="between">
      <formula>35.1</formula>
      <formula>80</formula>
    </cfRule>
    <cfRule type="cellIs" dxfId="3781" priority="168" stopIfTrue="1" operator="between">
      <formula>14.1</formula>
      <formula>35</formula>
    </cfRule>
    <cfRule type="cellIs" dxfId="3780" priority="169" stopIfTrue="1" operator="between">
      <formula>5.1</formula>
      <formula>14</formula>
    </cfRule>
    <cfRule type="cellIs" dxfId="3779" priority="170" stopIfTrue="1" operator="between">
      <formula>0</formula>
      <formula>5</formula>
    </cfRule>
    <cfRule type="containsBlanks" dxfId="3778" priority="171" stopIfTrue="1">
      <formula>LEN(TRIM(E56))=0</formula>
    </cfRule>
  </conditionalFormatting>
  <conditionalFormatting sqref="E70:O70">
    <cfRule type="containsBlanks" dxfId="3777" priority="60" stopIfTrue="1">
      <formula>LEN(TRIM(E70))=0</formula>
    </cfRule>
    <cfRule type="cellIs" dxfId="3776" priority="61" stopIfTrue="1" operator="between">
      <formula>80.1</formula>
      <formula>100</formula>
    </cfRule>
    <cfRule type="cellIs" dxfId="3775" priority="62" stopIfTrue="1" operator="between">
      <formula>35.1</formula>
      <formula>80</formula>
    </cfRule>
    <cfRule type="cellIs" dxfId="3774" priority="63" stopIfTrue="1" operator="between">
      <formula>14.1</formula>
      <formula>35</formula>
    </cfRule>
    <cfRule type="cellIs" dxfId="3773" priority="64" stopIfTrue="1" operator="between">
      <formula>5.1</formula>
      <formula>14</formula>
    </cfRule>
    <cfRule type="cellIs" dxfId="3772" priority="65" stopIfTrue="1" operator="between">
      <formula>0</formula>
      <formula>5</formula>
    </cfRule>
    <cfRule type="containsBlanks" dxfId="3771" priority="66" stopIfTrue="1">
      <formula>LEN(TRIM(E70))=0</formula>
    </cfRule>
  </conditionalFormatting>
  <conditionalFormatting sqref="E57:L57">
    <cfRule type="containsBlanks" dxfId="3770" priority="158" stopIfTrue="1">
      <formula>LEN(TRIM(E57))=0</formula>
    </cfRule>
    <cfRule type="cellIs" dxfId="3769" priority="159" stopIfTrue="1" operator="between">
      <formula>80.1</formula>
      <formula>100</formula>
    </cfRule>
    <cfRule type="cellIs" dxfId="3768" priority="160" stopIfTrue="1" operator="between">
      <formula>35.1</formula>
      <formula>80</formula>
    </cfRule>
    <cfRule type="cellIs" dxfId="3767" priority="161" stopIfTrue="1" operator="between">
      <formula>14.1</formula>
      <formula>35</formula>
    </cfRule>
    <cfRule type="cellIs" dxfId="3766" priority="162" stopIfTrue="1" operator="between">
      <formula>5.1</formula>
      <formula>14</formula>
    </cfRule>
    <cfRule type="cellIs" dxfId="3765" priority="163" stopIfTrue="1" operator="between">
      <formula>0</formula>
      <formula>5</formula>
    </cfRule>
    <cfRule type="containsBlanks" dxfId="3764" priority="164" stopIfTrue="1">
      <formula>LEN(TRIM(E57))=0</formula>
    </cfRule>
  </conditionalFormatting>
  <conditionalFormatting sqref="E55:I55">
    <cfRule type="containsBlanks" dxfId="3763" priority="151" stopIfTrue="1">
      <formula>LEN(TRIM(E55))=0</formula>
    </cfRule>
    <cfRule type="cellIs" dxfId="3762" priority="152" stopIfTrue="1" operator="between">
      <formula>80.1</formula>
      <formula>100</formula>
    </cfRule>
    <cfRule type="cellIs" dxfId="3761" priority="153" stopIfTrue="1" operator="between">
      <formula>35.1</formula>
      <formula>80</formula>
    </cfRule>
    <cfRule type="cellIs" dxfId="3760" priority="154" stopIfTrue="1" operator="between">
      <formula>14.1</formula>
      <formula>35</formula>
    </cfRule>
    <cfRule type="cellIs" dxfId="3759" priority="155" stopIfTrue="1" operator="between">
      <formula>5.1</formula>
      <formula>14</formula>
    </cfRule>
    <cfRule type="cellIs" dxfId="3758" priority="156" stopIfTrue="1" operator="between">
      <formula>0</formula>
      <formula>5</formula>
    </cfRule>
    <cfRule type="containsBlanks" dxfId="3757" priority="157" stopIfTrue="1">
      <formula>LEN(TRIM(E55))=0</formula>
    </cfRule>
  </conditionalFormatting>
  <conditionalFormatting sqref="E50:K50">
    <cfRule type="containsBlanks" dxfId="3756" priority="144" stopIfTrue="1">
      <formula>LEN(TRIM(E50))=0</formula>
    </cfRule>
    <cfRule type="cellIs" dxfId="3755" priority="145" stopIfTrue="1" operator="between">
      <formula>80.1</formula>
      <formula>100</formula>
    </cfRule>
    <cfRule type="cellIs" dxfId="3754" priority="146" stopIfTrue="1" operator="between">
      <formula>35.1</formula>
      <formula>80</formula>
    </cfRule>
    <cfRule type="cellIs" dxfId="3753" priority="147" stopIfTrue="1" operator="between">
      <formula>14.1</formula>
      <formula>35</formula>
    </cfRule>
    <cfRule type="cellIs" dxfId="3752" priority="148" stopIfTrue="1" operator="between">
      <formula>5.1</formula>
      <formula>14</formula>
    </cfRule>
    <cfRule type="cellIs" dxfId="3751" priority="149" stopIfTrue="1" operator="between">
      <formula>0</formula>
      <formula>5</formula>
    </cfRule>
    <cfRule type="containsBlanks" dxfId="3750" priority="150" stopIfTrue="1">
      <formula>LEN(TRIM(E50))=0</formula>
    </cfRule>
  </conditionalFormatting>
  <conditionalFormatting sqref="E60:J60">
    <cfRule type="containsBlanks" dxfId="3749" priority="137" stopIfTrue="1">
      <formula>LEN(TRIM(E60))=0</formula>
    </cfRule>
    <cfRule type="cellIs" dxfId="3748" priority="138" stopIfTrue="1" operator="between">
      <formula>80.1</formula>
      <formula>100</formula>
    </cfRule>
    <cfRule type="cellIs" dxfId="3747" priority="139" stopIfTrue="1" operator="between">
      <formula>35.1</formula>
      <formula>80</formula>
    </cfRule>
    <cfRule type="cellIs" dxfId="3746" priority="140" stopIfTrue="1" operator="between">
      <formula>14.1</formula>
      <formula>35</formula>
    </cfRule>
    <cfRule type="cellIs" dxfId="3745" priority="141" stopIfTrue="1" operator="between">
      <formula>5.1</formula>
      <formula>14</formula>
    </cfRule>
    <cfRule type="cellIs" dxfId="3744" priority="142" stopIfTrue="1" operator="between">
      <formula>0</formula>
      <formula>5</formula>
    </cfRule>
    <cfRule type="containsBlanks" dxfId="3743" priority="143" stopIfTrue="1">
      <formula>LEN(TRIM(E60))=0</formula>
    </cfRule>
  </conditionalFormatting>
  <conditionalFormatting sqref="E61:K61">
    <cfRule type="containsBlanks" dxfId="3742" priority="130" stopIfTrue="1">
      <formula>LEN(TRIM(E61))=0</formula>
    </cfRule>
    <cfRule type="cellIs" dxfId="3741" priority="131" stopIfTrue="1" operator="between">
      <formula>80.1</formula>
      <formula>100</formula>
    </cfRule>
    <cfRule type="cellIs" dxfId="3740" priority="132" stopIfTrue="1" operator="between">
      <formula>35.1</formula>
      <formula>80</formula>
    </cfRule>
    <cfRule type="cellIs" dxfId="3739" priority="133" stopIfTrue="1" operator="between">
      <formula>14.1</formula>
      <formula>35</formula>
    </cfRule>
    <cfRule type="cellIs" dxfId="3738" priority="134" stopIfTrue="1" operator="between">
      <formula>5.1</formula>
      <formula>14</formula>
    </cfRule>
    <cfRule type="cellIs" dxfId="3737" priority="135" stopIfTrue="1" operator="between">
      <formula>0</formula>
      <formula>5</formula>
    </cfRule>
    <cfRule type="containsBlanks" dxfId="3736" priority="136" stopIfTrue="1">
      <formula>LEN(TRIM(E61))=0</formula>
    </cfRule>
  </conditionalFormatting>
  <conditionalFormatting sqref="E64:J64">
    <cfRule type="containsBlanks" dxfId="3735" priority="123" stopIfTrue="1">
      <formula>LEN(TRIM(E64))=0</formula>
    </cfRule>
    <cfRule type="cellIs" dxfId="3734" priority="124" stopIfTrue="1" operator="between">
      <formula>80.1</formula>
      <formula>100</formula>
    </cfRule>
    <cfRule type="cellIs" dxfId="3733" priority="125" stopIfTrue="1" operator="between">
      <formula>35.1</formula>
      <formula>80</formula>
    </cfRule>
    <cfRule type="cellIs" dxfId="3732" priority="126" stopIfTrue="1" operator="between">
      <formula>14.1</formula>
      <formula>35</formula>
    </cfRule>
    <cfRule type="cellIs" dxfId="3731" priority="127" stopIfTrue="1" operator="between">
      <formula>5.1</formula>
      <formula>14</formula>
    </cfRule>
    <cfRule type="cellIs" dxfId="3730" priority="128" stopIfTrue="1" operator="between">
      <formula>0</formula>
      <formula>5</formula>
    </cfRule>
    <cfRule type="containsBlanks" dxfId="3729" priority="129" stopIfTrue="1">
      <formula>LEN(TRIM(E64))=0</formula>
    </cfRule>
  </conditionalFormatting>
  <conditionalFormatting sqref="E73:O73">
    <cfRule type="containsBlanks" dxfId="3728" priority="116" stopIfTrue="1">
      <formula>LEN(TRIM(E73))=0</formula>
    </cfRule>
    <cfRule type="cellIs" dxfId="3727" priority="117" stopIfTrue="1" operator="between">
      <formula>80.1</formula>
      <formula>100</formula>
    </cfRule>
    <cfRule type="cellIs" dxfId="3726" priority="118" stopIfTrue="1" operator="between">
      <formula>35.1</formula>
      <formula>80</formula>
    </cfRule>
    <cfRule type="cellIs" dxfId="3725" priority="119" stopIfTrue="1" operator="between">
      <formula>14.1</formula>
      <formula>35</formula>
    </cfRule>
    <cfRule type="cellIs" dxfId="3724" priority="120" stopIfTrue="1" operator="between">
      <formula>5.1</formula>
      <formula>14</formula>
    </cfRule>
    <cfRule type="cellIs" dxfId="3723" priority="121" stopIfTrue="1" operator="between">
      <formula>0</formula>
      <formula>5</formula>
    </cfRule>
    <cfRule type="containsBlanks" dxfId="3722" priority="122" stopIfTrue="1">
      <formula>LEN(TRIM(E73))=0</formula>
    </cfRule>
  </conditionalFormatting>
  <conditionalFormatting sqref="E67:J67">
    <cfRule type="containsBlanks" dxfId="3721" priority="109" stopIfTrue="1">
      <formula>LEN(TRIM(E67))=0</formula>
    </cfRule>
    <cfRule type="cellIs" dxfId="3720" priority="110" stopIfTrue="1" operator="between">
      <formula>80.1</formula>
      <formula>100</formula>
    </cfRule>
    <cfRule type="cellIs" dxfId="3719" priority="111" stopIfTrue="1" operator="between">
      <formula>35.1</formula>
      <formula>80</formula>
    </cfRule>
    <cfRule type="cellIs" dxfId="3718" priority="112" stopIfTrue="1" operator="between">
      <formula>14.1</formula>
      <formula>35</formula>
    </cfRule>
    <cfRule type="cellIs" dxfId="3717" priority="113" stopIfTrue="1" operator="between">
      <formula>5.1</formula>
      <formula>14</formula>
    </cfRule>
    <cfRule type="cellIs" dxfId="3716" priority="114" stopIfTrue="1" operator="between">
      <formula>0</formula>
      <formula>5</formula>
    </cfRule>
    <cfRule type="containsBlanks" dxfId="3715" priority="115" stopIfTrue="1">
      <formula>LEN(TRIM(E67))=0</formula>
    </cfRule>
  </conditionalFormatting>
  <conditionalFormatting sqref="E68:M68">
    <cfRule type="containsBlanks" dxfId="3714" priority="102" stopIfTrue="1">
      <formula>LEN(TRIM(E68))=0</formula>
    </cfRule>
    <cfRule type="cellIs" dxfId="3713" priority="103" stopIfTrue="1" operator="between">
      <formula>80.1</formula>
      <formula>100</formula>
    </cfRule>
    <cfRule type="cellIs" dxfId="3712" priority="104" stopIfTrue="1" operator="between">
      <formula>35.1</formula>
      <formula>80</formula>
    </cfRule>
    <cfRule type="cellIs" dxfId="3711" priority="105" stopIfTrue="1" operator="between">
      <formula>14.1</formula>
      <formula>35</formula>
    </cfRule>
    <cfRule type="cellIs" dxfId="3710" priority="106" stopIfTrue="1" operator="between">
      <formula>5.1</formula>
      <formula>14</formula>
    </cfRule>
    <cfRule type="cellIs" dxfId="3709" priority="107" stopIfTrue="1" operator="between">
      <formula>0</formula>
      <formula>5</formula>
    </cfRule>
    <cfRule type="containsBlanks" dxfId="3708" priority="108" stopIfTrue="1">
      <formula>LEN(TRIM(E68))=0</formula>
    </cfRule>
  </conditionalFormatting>
  <conditionalFormatting sqref="E69:N69">
    <cfRule type="containsBlanks" dxfId="3707" priority="95" stopIfTrue="1">
      <formula>LEN(TRIM(E69))=0</formula>
    </cfRule>
    <cfRule type="cellIs" dxfId="3706" priority="96" stopIfTrue="1" operator="between">
      <formula>80.1</formula>
      <formula>100</formula>
    </cfRule>
    <cfRule type="cellIs" dxfId="3705" priority="97" stopIfTrue="1" operator="between">
      <formula>35.1</formula>
      <formula>80</formula>
    </cfRule>
    <cfRule type="cellIs" dxfId="3704" priority="98" stopIfTrue="1" operator="between">
      <formula>14.1</formula>
      <formula>35</formula>
    </cfRule>
    <cfRule type="cellIs" dxfId="3703" priority="99" stopIfTrue="1" operator="between">
      <formula>5.1</formula>
      <formula>14</formula>
    </cfRule>
    <cfRule type="cellIs" dxfId="3702" priority="100" stopIfTrue="1" operator="between">
      <formula>0</formula>
      <formula>5</formula>
    </cfRule>
    <cfRule type="containsBlanks" dxfId="3701" priority="101" stopIfTrue="1">
      <formula>LEN(TRIM(E69))=0</formula>
    </cfRule>
  </conditionalFormatting>
  <conditionalFormatting sqref="E71:J72">
    <cfRule type="containsBlanks" dxfId="3700" priority="81" stopIfTrue="1">
      <formula>LEN(TRIM(E71))=0</formula>
    </cfRule>
    <cfRule type="cellIs" dxfId="3699" priority="82" stopIfTrue="1" operator="between">
      <formula>80.1</formula>
      <formula>100</formula>
    </cfRule>
    <cfRule type="cellIs" dxfId="3698" priority="83" stopIfTrue="1" operator="between">
      <formula>35.1</formula>
      <formula>80</formula>
    </cfRule>
    <cfRule type="cellIs" dxfId="3697" priority="84" stopIfTrue="1" operator="between">
      <formula>14.1</formula>
      <formula>35</formula>
    </cfRule>
    <cfRule type="cellIs" dxfId="3696" priority="85" stopIfTrue="1" operator="between">
      <formula>5.1</formula>
      <formula>14</formula>
    </cfRule>
    <cfRule type="cellIs" dxfId="3695" priority="86" stopIfTrue="1" operator="between">
      <formula>0</formula>
      <formula>5</formula>
    </cfRule>
    <cfRule type="containsBlanks" dxfId="3694" priority="87" stopIfTrue="1">
      <formula>LEN(TRIM(E71))=0</formula>
    </cfRule>
  </conditionalFormatting>
  <conditionalFormatting sqref="E63:K63">
    <cfRule type="containsBlanks" dxfId="3693" priority="74" stopIfTrue="1">
      <formula>LEN(TRIM(E63))=0</formula>
    </cfRule>
    <cfRule type="cellIs" dxfId="3692" priority="75" stopIfTrue="1" operator="between">
      <formula>80.1</formula>
      <formula>100</formula>
    </cfRule>
    <cfRule type="cellIs" dxfId="3691" priority="76" stopIfTrue="1" operator="between">
      <formula>35.1</formula>
      <formula>80</formula>
    </cfRule>
    <cfRule type="cellIs" dxfId="3690" priority="77" stopIfTrue="1" operator="between">
      <formula>14.1</formula>
      <formula>35</formula>
    </cfRule>
    <cfRule type="cellIs" dxfId="3689" priority="78" stopIfTrue="1" operator="between">
      <formula>5.1</formula>
      <formula>14</formula>
    </cfRule>
    <cfRule type="cellIs" dxfId="3688" priority="79" stopIfTrue="1" operator="between">
      <formula>0</formula>
      <formula>5</formula>
    </cfRule>
    <cfRule type="containsBlanks" dxfId="3687" priority="80" stopIfTrue="1">
      <formula>LEN(TRIM(E63))=0</formula>
    </cfRule>
  </conditionalFormatting>
  <conditionalFormatting sqref="E74:M74">
    <cfRule type="containsBlanks" dxfId="3686" priority="67" stopIfTrue="1">
      <formula>LEN(TRIM(E74))=0</formula>
    </cfRule>
    <cfRule type="cellIs" dxfId="3685" priority="68" stopIfTrue="1" operator="between">
      <formula>80.1</formula>
      <formula>100</formula>
    </cfRule>
    <cfRule type="cellIs" dxfId="3684" priority="69" stopIfTrue="1" operator="between">
      <formula>35.1</formula>
      <formula>80</formula>
    </cfRule>
    <cfRule type="cellIs" dxfId="3683" priority="70" stopIfTrue="1" operator="between">
      <formula>14.1</formula>
      <formula>35</formula>
    </cfRule>
    <cfRule type="cellIs" dxfId="3682" priority="71" stopIfTrue="1" operator="between">
      <formula>5.1</formula>
      <formula>14</formula>
    </cfRule>
    <cfRule type="cellIs" dxfId="3681" priority="72" stopIfTrue="1" operator="between">
      <formula>0</formula>
      <formula>5</formula>
    </cfRule>
    <cfRule type="containsBlanks" dxfId="3680" priority="73" stopIfTrue="1">
      <formula>LEN(TRIM(E74))=0</formula>
    </cfRule>
  </conditionalFormatting>
  <conditionalFormatting sqref="R11">
    <cfRule type="cellIs" dxfId="3679" priority="59" stopIfTrue="1" operator="equal">
      <formula>"NO"</formula>
    </cfRule>
  </conditionalFormatting>
  <conditionalFormatting sqref="S11:S22 S25:S82">
    <cfRule type="cellIs" dxfId="3678" priority="58" stopIfTrue="1" operator="equal">
      <formula>"INVIABLE SANITARIAMENTE"</formula>
    </cfRule>
  </conditionalFormatting>
  <conditionalFormatting sqref="Q11">
    <cfRule type="containsBlanks" dxfId="3677" priority="51" stopIfTrue="1">
      <formula>LEN(TRIM(Q11))=0</formula>
    </cfRule>
    <cfRule type="cellIs" dxfId="3676" priority="52" stopIfTrue="1" operator="between">
      <formula>80.1</formula>
      <formula>100</formula>
    </cfRule>
    <cfRule type="cellIs" dxfId="3675" priority="53" stopIfTrue="1" operator="between">
      <formula>35.1</formula>
      <formula>80</formula>
    </cfRule>
    <cfRule type="cellIs" dxfId="3674" priority="54" stopIfTrue="1" operator="between">
      <formula>14.1</formula>
      <formula>35</formula>
    </cfRule>
    <cfRule type="cellIs" dxfId="3673" priority="55" stopIfTrue="1" operator="between">
      <formula>5.1</formula>
      <formula>14</formula>
    </cfRule>
    <cfRule type="cellIs" dxfId="3672" priority="56" stopIfTrue="1" operator="between">
      <formula>0</formula>
      <formula>5</formula>
    </cfRule>
    <cfRule type="containsBlanks" dxfId="3671" priority="57" stopIfTrue="1">
      <formula>LEN(TRIM(Q11))=0</formula>
    </cfRule>
  </conditionalFormatting>
  <conditionalFormatting sqref="S11:S22 S25:S82">
    <cfRule type="containsText" dxfId="3670" priority="46" stopIfTrue="1" operator="containsText" text="INVIABLE SANITARIAMENTE">
      <formula>NOT(ISERROR(SEARCH("INVIABLE SANITARIAMENTE",S11)))</formula>
    </cfRule>
    <cfRule type="containsText" dxfId="3669" priority="47" stopIfTrue="1" operator="containsText" text="ALTO">
      <formula>NOT(ISERROR(SEARCH("ALTO",S11)))</formula>
    </cfRule>
    <cfRule type="containsText" dxfId="3668" priority="48" stopIfTrue="1" operator="containsText" text="MEDIO">
      <formula>NOT(ISERROR(SEARCH("MEDIO",S11)))</formula>
    </cfRule>
    <cfRule type="containsText" dxfId="3667" priority="49" stopIfTrue="1" operator="containsText" text="BAJO">
      <formula>NOT(ISERROR(SEARCH("BAJO",S11)))</formula>
    </cfRule>
    <cfRule type="containsText" dxfId="3666" priority="50" stopIfTrue="1" operator="containsText" text="SIN RIESGO">
      <formula>NOT(ISERROR(SEARCH("SIN RIESGO",S11)))</formula>
    </cfRule>
  </conditionalFormatting>
  <conditionalFormatting sqref="S11:S22 S25:S82">
    <cfRule type="containsText" dxfId="3665" priority="45" stopIfTrue="1" operator="containsText" text="SIN RIESGO">
      <formula>NOT(ISERROR(SEARCH("SIN RIESGO",S11)))</formula>
    </cfRule>
  </conditionalFormatting>
  <conditionalFormatting sqref="E46:Q46">
    <cfRule type="containsBlanks" dxfId="3664" priority="38" stopIfTrue="1">
      <formula>LEN(TRIM(E46))=0</formula>
    </cfRule>
    <cfRule type="cellIs" dxfId="3663" priority="39" stopIfTrue="1" operator="between">
      <formula>80.1</formula>
      <formula>100</formula>
    </cfRule>
    <cfRule type="cellIs" dxfId="3662" priority="40" stopIfTrue="1" operator="between">
      <formula>35.1</formula>
      <formula>80</formula>
    </cfRule>
    <cfRule type="cellIs" dxfId="3661" priority="41" stopIfTrue="1" operator="between">
      <formula>14.1</formula>
      <formula>35</formula>
    </cfRule>
    <cfRule type="cellIs" dxfId="3660" priority="42" stopIfTrue="1" operator="between">
      <formula>5.1</formula>
      <formula>14</formula>
    </cfRule>
    <cfRule type="cellIs" dxfId="3659" priority="43" stopIfTrue="1" operator="between">
      <formula>0</formula>
      <formula>5</formula>
    </cfRule>
    <cfRule type="containsBlanks" dxfId="3658" priority="44" stopIfTrue="1">
      <formula>LEN(TRIM(E46))=0</formula>
    </cfRule>
  </conditionalFormatting>
  <conditionalFormatting sqref="E46:P46">
    <cfRule type="containsBlanks" dxfId="3657" priority="31" stopIfTrue="1">
      <formula>LEN(TRIM(E46))=0</formula>
    </cfRule>
    <cfRule type="cellIs" dxfId="3656" priority="32" stopIfTrue="1" operator="between">
      <formula>79.1</formula>
      <formula>100</formula>
    </cfRule>
    <cfRule type="cellIs" dxfId="3655" priority="33" stopIfTrue="1" operator="between">
      <formula>34.1</formula>
      <formula>79</formula>
    </cfRule>
    <cfRule type="cellIs" dxfId="3654" priority="34" stopIfTrue="1" operator="between">
      <formula>13.1</formula>
      <formula>34</formula>
    </cfRule>
    <cfRule type="cellIs" dxfId="3653" priority="35" stopIfTrue="1" operator="between">
      <formula>5.1</formula>
      <formula>13</formula>
    </cfRule>
    <cfRule type="cellIs" dxfId="3652" priority="36" stopIfTrue="1" operator="between">
      <formula>0</formula>
      <formula>5</formula>
    </cfRule>
    <cfRule type="containsBlanks" dxfId="3651" priority="37" stopIfTrue="1">
      <formula>LEN(TRIM(E46))=0</formula>
    </cfRule>
  </conditionalFormatting>
  <conditionalFormatting sqref="E23:Q23">
    <cfRule type="containsBlanks" dxfId="3650" priority="24" stopIfTrue="1">
      <formula>LEN(TRIM(E23))=0</formula>
    </cfRule>
    <cfRule type="cellIs" dxfId="3649" priority="25" stopIfTrue="1" operator="between">
      <formula>80.1</formula>
      <formula>100</formula>
    </cfRule>
    <cfRule type="cellIs" dxfId="3648" priority="26" stopIfTrue="1" operator="between">
      <formula>35.1</formula>
      <formula>80</formula>
    </cfRule>
    <cfRule type="cellIs" dxfId="3647" priority="27" stopIfTrue="1" operator="between">
      <formula>14.1</formula>
      <formula>35</formula>
    </cfRule>
    <cfRule type="cellIs" dxfId="3646" priority="28" stopIfTrue="1" operator="between">
      <formula>5.1</formula>
      <formula>14</formula>
    </cfRule>
    <cfRule type="cellIs" dxfId="3645" priority="29" stopIfTrue="1" operator="between">
      <formula>0</formula>
      <formula>5</formula>
    </cfRule>
    <cfRule type="containsBlanks" dxfId="3644" priority="30" stopIfTrue="1">
      <formula>LEN(TRIM(E23))=0</formula>
    </cfRule>
  </conditionalFormatting>
  <conditionalFormatting sqref="R23">
    <cfRule type="cellIs" dxfId="3643" priority="23" stopIfTrue="1" operator="equal">
      <formula>"NO"</formula>
    </cfRule>
  </conditionalFormatting>
  <conditionalFormatting sqref="S23">
    <cfRule type="cellIs" dxfId="3642" priority="22" stopIfTrue="1" operator="equal">
      <formula>"INVIABLE SANITARIAMENTE"</formula>
    </cfRule>
  </conditionalFormatting>
  <conditionalFormatting sqref="S23">
    <cfRule type="containsText" dxfId="3641" priority="17" stopIfTrue="1" operator="containsText" text="INVIABLE SANITARIAMENTE">
      <formula>NOT(ISERROR(SEARCH("INVIABLE SANITARIAMENTE",S23)))</formula>
    </cfRule>
    <cfRule type="containsText" dxfId="3640" priority="18" stopIfTrue="1" operator="containsText" text="ALTO">
      <formula>NOT(ISERROR(SEARCH("ALTO",S23)))</formula>
    </cfRule>
    <cfRule type="containsText" dxfId="3639" priority="19" stopIfTrue="1" operator="containsText" text="MEDIO">
      <formula>NOT(ISERROR(SEARCH("MEDIO",S23)))</formula>
    </cfRule>
    <cfRule type="containsText" dxfId="3638" priority="20" stopIfTrue="1" operator="containsText" text="BAJO">
      <formula>NOT(ISERROR(SEARCH("BAJO",S23)))</formula>
    </cfRule>
    <cfRule type="containsText" dxfId="3637" priority="21" stopIfTrue="1" operator="containsText" text="SIN RIESGO">
      <formula>NOT(ISERROR(SEARCH("SIN RIESGO",S23)))</formula>
    </cfRule>
  </conditionalFormatting>
  <conditionalFormatting sqref="S23">
    <cfRule type="containsText" dxfId="3636" priority="16" stopIfTrue="1" operator="containsText" text="SIN RIESGO">
      <formula>NOT(ISERROR(SEARCH("SIN RIESGO",S23)))</formula>
    </cfRule>
  </conditionalFormatting>
  <conditionalFormatting sqref="E24:Q24">
    <cfRule type="containsBlanks" dxfId="3635" priority="9" stopIfTrue="1">
      <formula>LEN(TRIM(E24))=0</formula>
    </cfRule>
    <cfRule type="cellIs" dxfId="3634" priority="10" stopIfTrue="1" operator="between">
      <formula>80.1</formula>
      <formula>100</formula>
    </cfRule>
    <cfRule type="cellIs" dxfId="3633" priority="11" stopIfTrue="1" operator="between">
      <formula>35.1</formula>
      <formula>80</formula>
    </cfRule>
    <cfRule type="cellIs" dxfId="3632" priority="12" stopIfTrue="1" operator="between">
      <formula>14.1</formula>
      <formula>35</formula>
    </cfRule>
    <cfRule type="cellIs" dxfId="3631" priority="13" stopIfTrue="1" operator="between">
      <formula>5.1</formula>
      <formula>14</formula>
    </cfRule>
    <cfRule type="cellIs" dxfId="3630" priority="14" stopIfTrue="1" operator="between">
      <formula>0</formula>
      <formula>5</formula>
    </cfRule>
    <cfRule type="containsBlanks" dxfId="3629" priority="15" stopIfTrue="1">
      <formula>LEN(TRIM(E24))=0</formula>
    </cfRule>
  </conditionalFormatting>
  <conditionalFormatting sqref="R24">
    <cfRule type="cellIs" dxfId="3628" priority="8" stopIfTrue="1" operator="equal">
      <formula>"NO"</formula>
    </cfRule>
  </conditionalFormatting>
  <conditionalFormatting sqref="S24">
    <cfRule type="cellIs" dxfId="3627" priority="7" stopIfTrue="1" operator="equal">
      <formula>"INVIABLE SANITARIAMENTE"</formula>
    </cfRule>
  </conditionalFormatting>
  <conditionalFormatting sqref="S24">
    <cfRule type="containsText" dxfId="3626" priority="2" stopIfTrue="1" operator="containsText" text="INVIABLE SANITARIAMENTE">
      <formula>NOT(ISERROR(SEARCH("INVIABLE SANITARIAMENTE",S24)))</formula>
    </cfRule>
    <cfRule type="containsText" dxfId="3625" priority="3" stopIfTrue="1" operator="containsText" text="ALTO">
      <formula>NOT(ISERROR(SEARCH("ALTO",S24)))</formula>
    </cfRule>
    <cfRule type="containsText" dxfId="3624" priority="4" stopIfTrue="1" operator="containsText" text="MEDIO">
      <formula>NOT(ISERROR(SEARCH("MEDIO",S24)))</formula>
    </cfRule>
    <cfRule type="containsText" dxfId="3623" priority="5" stopIfTrue="1" operator="containsText" text="BAJO">
      <formula>NOT(ISERROR(SEARCH("BAJO",S24)))</formula>
    </cfRule>
    <cfRule type="containsText" dxfId="3622" priority="6" stopIfTrue="1" operator="containsText" text="SIN RIESGO">
      <formula>NOT(ISERROR(SEARCH("SIN RIESGO",S24)))</formula>
    </cfRule>
  </conditionalFormatting>
  <conditionalFormatting sqref="S24">
    <cfRule type="containsText" dxfId="3621" priority="1" stopIfTrue="1" operator="containsText" text="SIN RIESGO">
      <formula>NOT(ISERROR(SEARCH("SIN RIESGO",S24)))</formula>
    </cfRule>
  </conditionalFormatting>
  <printOptions horizontalCentered="1"/>
  <pageMargins left="0.28999999999999998" right="0.2" top="0.6692913385826772" bottom="0.9055118110236221" header="0.43" footer="0.59055118110236227"/>
  <pageSetup paperSize="14" scale="75" orientation="landscape" r:id="rId5"/>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drawing r:id="rId6"/>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sheetPr>
  <dimension ref="A1:XFD347"/>
  <sheetViews>
    <sheetView zoomScale="70" zoomScaleNormal="70" workbookViewId="0">
      <pane xSplit="3" ySplit="11" topLeftCell="D12" activePane="bottomRight" state="frozenSplit"/>
      <selection pane="topRight" activeCell="D1" sqref="D1"/>
      <selection pane="bottomLeft" activeCell="A12" sqref="A12"/>
      <selection pane="bottomRight" activeCell="A12" sqref="A12"/>
    </sheetView>
  </sheetViews>
  <sheetFormatPr baseColWidth="10" defaultColWidth="0" defaultRowHeight="12.75" zeroHeight="1" x14ac:dyDescent="0.2"/>
  <cols>
    <col min="1" max="1" width="36.5703125" style="35" customWidth="1"/>
    <col min="2" max="2" width="42.5703125" style="12" customWidth="1"/>
    <col min="3" max="3" width="66.5703125" style="12" customWidth="1"/>
    <col min="4" max="4" width="22.85546875" style="12" customWidth="1"/>
    <col min="5" max="18" width="10.7109375" customWidth="1"/>
    <col min="19" max="19" width="43.42578125" bestFit="1" customWidth="1"/>
    <col min="20" max="20" width="9.85546875" hidden="1" customWidth="1"/>
    <col min="21" max="16384" width="11.42578125" hidden="1"/>
  </cols>
  <sheetData>
    <row r="1" spans="1:23" s="7" customFormat="1" ht="18" customHeight="1" x14ac:dyDescent="0.2">
      <c r="A1" s="108"/>
      <c r="B1" s="326" t="s">
        <v>254</v>
      </c>
      <c r="C1" s="326"/>
      <c r="D1" s="326"/>
      <c r="E1" s="86"/>
      <c r="F1" s="86"/>
      <c r="G1" s="86"/>
      <c r="H1" s="86"/>
      <c r="I1" s="86"/>
      <c r="J1" s="86"/>
      <c r="K1" s="86"/>
      <c r="L1" s="86"/>
      <c r="M1" s="86"/>
      <c r="N1" s="86"/>
      <c r="O1" s="86"/>
      <c r="P1" s="86"/>
      <c r="Q1" s="86"/>
      <c r="R1" s="87"/>
      <c r="S1" s="39" t="s">
        <v>492</v>
      </c>
      <c r="T1" s="3"/>
      <c r="U1" s="5"/>
      <c r="V1" s="6"/>
      <c r="W1" s="6"/>
    </row>
    <row r="2" spans="1:23" s="9" customFormat="1" ht="18" customHeight="1" x14ac:dyDescent="0.2">
      <c r="A2" s="108"/>
      <c r="B2" s="326" t="s">
        <v>4587</v>
      </c>
      <c r="C2" s="326"/>
      <c r="D2" s="326"/>
      <c r="E2" s="310"/>
      <c r="F2" s="310"/>
      <c r="G2" s="310"/>
      <c r="H2" s="310"/>
      <c r="I2" s="310"/>
      <c r="J2" s="310"/>
      <c r="K2" s="310"/>
      <c r="L2" s="310"/>
      <c r="M2" s="310"/>
      <c r="N2" s="310"/>
      <c r="O2" s="310"/>
      <c r="P2" s="310"/>
      <c r="Q2" s="310"/>
      <c r="R2" s="88"/>
      <c r="S2" s="40" t="s">
        <v>255</v>
      </c>
      <c r="T2" s="3"/>
      <c r="U2" s="8"/>
      <c r="V2" s="6"/>
      <c r="W2" s="6"/>
    </row>
    <row r="3" spans="1:23" s="7" customFormat="1" ht="18" customHeight="1" x14ac:dyDescent="0.2">
      <c r="A3" s="108"/>
      <c r="B3" s="327" t="s">
        <v>4588</v>
      </c>
      <c r="C3" s="327"/>
      <c r="D3" s="327"/>
      <c r="E3" s="309"/>
      <c r="F3" s="309"/>
      <c r="G3" s="309"/>
      <c r="H3" s="309"/>
      <c r="I3" s="309"/>
      <c r="J3" s="309"/>
      <c r="K3" s="309"/>
      <c r="L3" s="309"/>
      <c r="M3" s="309"/>
      <c r="N3" s="309"/>
      <c r="O3" s="309"/>
      <c r="P3" s="309"/>
      <c r="Q3" s="309"/>
      <c r="R3" s="89"/>
      <c r="S3" s="40" t="s">
        <v>493</v>
      </c>
      <c r="T3" s="3"/>
      <c r="U3" s="5"/>
      <c r="V3" s="6"/>
      <c r="W3" s="6"/>
    </row>
    <row r="4" spans="1:23" s="7" customFormat="1" ht="18" customHeight="1" x14ac:dyDescent="0.25">
      <c r="A4" s="108"/>
      <c r="B4" s="60" t="s">
        <v>4119</v>
      </c>
      <c r="C4" s="309"/>
      <c r="D4" s="309"/>
      <c r="E4" s="37"/>
      <c r="F4" s="37"/>
      <c r="G4" s="37"/>
      <c r="H4" s="37"/>
      <c r="I4" s="37"/>
      <c r="J4" s="37"/>
      <c r="K4" s="37"/>
      <c r="L4" s="37"/>
      <c r="M4" s="37"/>
      <c r="N4" s="37"/>
      <c r="O4" s="37"/>
      <c r="P4" s="37"/>
      <c r="Q4" s="37"/>
      <c r="R4" s="38"/>
      <c r="S4" s="40" t="s">
        <v>256</v>
      </c>
      <c r="T4" s="3"/>
      <c r="U4" s="5"/>
      <c r="V4" s="6"/>
      <c r="W4" s="6"/>
    </row>
    <row r="5" spans="1:23" s="32" customFormat="1" ht="15" customHeight="1" x14ac:dyDescent="0.2">
      <c r="A5" s="109"/>
      <c r="B5" s="326" t="s">
        <v>4291</v>
      </c>
      <c r="C5" s="326"/>
      <c r="D5" s="326"/>
      <c r="E5" s="319" t="s">
        <v>251</v>
      </c>
      <c r="F5" s="319"/>
      <c r="G5" s="319"/>
      <c r="H5" s="314" t="s">
        <v>258</v>
      </c>
      <c r="I5" s="314"/>
      <c r="J5" s="314"/>
      <c r="K5" s="321" t="s">
        <v>491</v>
      </c>
      <c r="L5" s="321"/>
      <c r="M5" s="321"/>
      <c r="N5" s="318" t="s">
        <v>422</v>
      </c>
      <c r="O5" s="318"/>
      <c r="P5" s="318"/>
      <c r="Q5" s="334" t="s">
        <v>259</v>
      </c>
      <c r="R5" s="334"/>
      <c r="S5" s="313" t="s">
        <v>261</v>
      </c>
    </row>
    <row r="6" spans="1:23" s="32" customFormat="1" ht="16.5" customHeight="1" x14ac:dyDescent="0.2">
      <c r="A6" s="109"/>
      <c r="B6" s="174"/>
      <c r="C6" s="360"/>
      <c r="D6" s="359" t="s">
        <v>260</v>
      </c>
      <c r="E6" s="319"/>
      <c r="F6" s="319"/>
      <c r="G6" s="319"/>
      <c r="H6" s="314"/>
      <c r="I6" s="314"/>
      <c r="J6" s="314"/>
      <c r="K6" s="321"/>
      <c r="L6" s="321"/>
      <c r="M6" s="321"/>
      <c r="N6" s="318"/>
      <c r="O6" s="318"/>
      <c r="P6" s="318"/>
      <c r="Q6" s="334"/>
      <c r="R6" s="334"/>
      <c r="S6" s="313"/>
    </row>
    <row r="7" spans="1:23" s="32" customFormat="1" ht="8.25" customHeight="1" x14ac:dyDescent="0.2">
      <c r="A7" s="329"/>
      <c r="B7" s="329"/>
      <c r="C7" s="42"/>
      <c r="D7" s="42"/>
      <c r="E7" s="43"/>
      <c r="F7" s="43"/>
      <c r="G7" s="43"/>
      <c r="H7" s="43"/>
      <c r="I7" s="43"/>
      <c r="J7" s="43"/>
      <c r="K7" s="43"/>
      <c r="L7" s="43"/>
      <c r="M7" s="43"/>
      <c r="N7" s="43"/>
      <c r="O7" s="43"/>
      <c r="P7" s="43"/>
      <c r="Q7" s="43"/>
      <c r="R7" s="43"/>
      <c r="S7" s="41"/>
    </row>
    <row r="8" spans="1:23" s="32" customFormat="1" ht="6" customHeight="1" x14ac:dyDescent="0.2">
      <c r="A8" s="329"/>
      <c r="B8" s="329"/>
      <c r="C8" s="42"/>
      <c r="D8" s="42"/>
      <c r="E8" s="43"/>
      <c r="F8" s="43"/>
      <c r="G8" s="43"/>
      <c r="H8" s="43"/>
      <c r="I8" s="43"/>
      <c r="J8" s="43"/>
      <c r="K8" s="43"/>
      <c r="L8" s="43"/>
      <c r="M8" s="43"/>
      <c r="N8" s="43"/>
      <c r="O8" s="43"/>
      <c r="P8" s="43"/>
      <c r="Q8" s="43"/>
      <c r="R8" s="43"/>
      <c r="S8" s="41"/>
    </row>
    <row r="9" spans="1:23" s="32" customFormat="1" ht="27" customHeight="1" x14ac:dyDescent="0.2">
      <c r="A9" s="504" t="s">
        <v>4620</v>
      </c>
      <c r="B9" s="51"/>
      <c r="C9" s="50"/>
      <c r="D9" s="50"/>
      <c r="E9" s="50"/>
      <c r="F9" s="50"/>
      <c r="G9" s="50"/>
      <c r="H9" s="50"/>
      <c r="I9" s="50"/>
      <c r="J9" s="50"/>
      <c r="K9" s="50"/>
      <c r="L9" s="50"/>
      <c r="M9" s="50"/>
      <c r="N9" s="50"/>
      <c r="O9" s="50"/>
      <c r="P9" s="50"/>
      <c r="Q9" s="50"/>
      <c r="R9" s="50"/>
      <c r="S9" s="49"/>
    </row>
    <row r="10" spans="1:23" s="10" customFormat="1" ht="18" customHeight="1" x14ac:dyDescent="0.2">
      <c r="A10" s="330" t="s">
        <v>37</v>
      </c>
      <c r="B10" s="328" t="s">
        <v>38</v>
      </c>
      <c r="C10" s="328" t="s">
        <v>257</v>
      </c>
      <c r="D10" s="337" t="s">
        <v>419</v>
      </c>
      <c r="E10" s="328" t="s">
        <v>33</v>
      </c>
      <c r="F10" s="328"/>
      <c r="G10" s="328"/>
      <c r="H10" s="328"/>
      <c r="I10" s="328"/>
      <c r="J10" s="328"/>
      <c r="K10" s="328"/>
      <c r="L10" s="328"/>
      <c r="M10" s="328"/>
      <c r="N10" s="328"/>
      <c r="O10" s="328"/>
      <c r="P10" s="328"/>
      <c r="Q10" s="335" t="s">
        <v>34</v>
      </c>
      <c r="R10" s="335" t="s">
        <v>36</v>
      </c>
      <c r="S10" s="328" t="s">
        <v>35</v>
      </c>
      <c r="T10" s="11"/>
    </row>
    <row r="11" spans="1:23" s="10" customFormat="1" ht="24" customHeight="1" x14ac:dyDescent="0.2">
      <c r="A11" s="330"/>
      <c r="B11" s="328"/>
      <c r="C11" s="328"/>
      <c r="D11" s="338"/>
      <c r="E11" s="237" t="s">
        <v>21</v>
      </c>
      <c r="F11" s="237" t="s">
        <v>22</v>
      </c>
      <c r="G11" s="237" t="s">
        <v>23</v>
      </c>
      <c r="H11" s="237" t="s">
        <v>24</v>
      </c>
      <c r="I11" s="237" t="s">
        <v>25</v>
      </c>
      <c r="J11" s="237" t="s">
        <v>26</v>
      </c>
      <c r="K11" s="237" t="s">
        <v>27</v>
      </c>
      <c r="L11" s="237" t="s">
        <v>28</v>
      </c>
      <c r="M11" s="237" t="s">
        <v>29</v>
      </c>
      <c r="N11" s="237" t="s">
        <v>30</v>
      </c>
      <c r="O11" s="237" t="s">
        <v>31</v>
      </c>
      <c r="P11" s="237" t="s">
        <v>32</v>
      </c>
      <c r="Q11" s="335"/>
      <c r="R11" s="335"/>
      <c r="S11" s="328"/>
      <c r="T11" s="11"/>
    </row>
    <row r="12" spans="1:23" ht="32.1" customHeight="1" x14ac:dyDescent="0.2">
      <c r="A12" s="361" t="s">
        <v>194</v>
      </c>
      <c r="B12" s="361" t="s">
        <v>631</v>
      </c>
      <c r="C12" s="361" t="s">
        <v>632</v>
      </c>
      <c r="D12" s="364">
        <v>36</v>
      </c>
      <c r="E12" s="47"/>
      <c r="F12" s="47"/>
      <c r="G12" s="47"/>
      <c r="H12" s="47"/>
      <c r="I12" s="47"/>
      <c r="J12" s="47"/>
      <c r="K12" s="47"/>
      <c r="L12" s="47"/>
      <c r="M12" s="47"/>
      <c r="N12" s="47"/>
      <c r="O12" s="47"/>
      <c r="P12" s="47"/>
      <c r="Q12" s="47" t="e">
        <f t="shared" ref="Q12:Q29" si="0">AVERAGE(E12:P12)</f>
        <v>#DIV/0!</v>
      </c>
      <c r="R12" s="375" t="e">
        <f t="shared" ref="R12:R29" si="1">IF(Q12&lt;5,"SI","NO")</f>
        <v>#DIV/0!</v>
      </c>
      <c r="S12" s="442" t="e">
        <f t="shared" ref="S12:S76" si="2">IF(Q12&lt;5,"Sin Riesgo",IF(Q12 &lt;=14,"Bajo",IF(Q12&lt;=35,"Medio",IF(Q12&lt;=80,"Alto","Inviable Sanitariamente"))))</f>
        <v>#DIV/0!</v>
      </c>
      <c r="T12" s="1"/>
    </row>
    <row r="13" spans="1:23" ht="32.1" customHeight="1" x14ac:dyDescent="0.2">
      <c r="A13" s="361" t="s">
        <v>194</v>
      </c>
      <c r="B13" s="361" t="s">
        <v>633</v>
      </c>
      <c r="C13" s="361" t="s">
        <v>634</v>
      </c>
      <c r="D13" s="364">
        <v>120</v>
      </c>
      <c r="E13" s="47"/>
      <c r="F13" s="47"/>
      <c r="G13" s="47"/>
      <c r="H13" s="47"/>
      <c r="I13" s="47"/>
      <c r="J13" s="47">
        <v>97.4</v>
      </c>
      <c r="K13" s="47"/>
      <c r="L13" s="47"/>
      <c r="M13" s="47"/>
      <c r="N13" s="47"/>
      <c r="O13" s="47"/>
      <c r="P13" s="47"/>
      <c r="Q13" s="47">
        <f t="shared" si="0"/>
        <v>97.4</v>
      </c>
      <c r="R13" s="375" t="str">
        <f t="shared" si="1"/>
        <v>NO</v>
      </c>
      <c r="S13" s="442" t="str">
        <f t="shared" si="2"/>
        <v>Inviable Sanitariamente</v>
      </c>
      <c r="T13" s="1"/>
    </row>
    <row r="14" spans="1:23" ht="32.1" customHeight="1" x14ac:dyDescent="0.2">
      <c r="A14" s="361" t="s">
        <v>194</v>
      </c>
      <c r="B14" s="361" t="s">
        <v>635</v>
      </c>
      <c r="C14" s="361" t="s">
        <v>636</v>
      </c>
      <c r="D14" s="364">
        <v>45</v>
      </c>
      <c r="E14" s="47"/>
      <c r="F14" s="47"/>
      <c r="G14" s="47"/>
      <c r="H14" s="47"/>
      <c r="I14" s="47"/>
      <c r="J14" s="47"/>
      <c r="K14" s="47"/>
      <c r="L14" s="47"/>
      <c r="M14" s="47"/>
      <c r="N14" s="47"/>
      <c r="O14" s="47"/>
      <c r="P14" s="47"/>
      <c r="Q14" s="47" t="e">
        <f t="shared" si="0"/>
        <v>#DIV/0!</v>
      </c>
      <c r="R14" s="375" t="e">
        <f t="shared" si="1"/>
        <v>#DIV/0!</v>
      </c>
      <c r="S14" s="442" t="e">
        <f t="shared" si="2"/>
        <v>#DIV/0!</v>
      </c>
      <c r="T14" s="1"/>
    </row>
    <row r="15" spans="1:23" ht="32.1" customHeight="1" x14ac:dyDescent="0.2">
      <c r="A15" s="361" t="s">
        <v>194</v>
      </c>
      <c r="B15" s="361" t="s">
        <v>637</v>
      </c>
      <c r="C15" s="361" t="s">
        <v>638</v>
      </c>
      <c r="D15" s="364">
        <v>33</v>
      </c>
      <c r="E15" s="47"/>
      <c r="F15" s="47"/>
      <c r="G15" s="47"/>
      <c r="H15" s="47"/>
      <c r="I15" s="47"/>
      <c r="J15" s="47"/>
      <c r="K15" s="47"/>
      <c r="L15" s="47"/>
      <c r="M15" s="47"/>
      <c r="N15" s="47">
        <v>93</v>
      </c>
      <c r="O15" s="47"/>
      <c r="P15" s="47"/>
      <c r="Q15" s="47">
        <f t="shared" si="0"/>
        <v>93</v>
      </c>
      <c r="R15" s="375" t="str">
        <f t="shared" si="1"/>
        <v>NO</v>
      </c>
      <c r="S15" s="442" t="str">
        <f t="shared" si="2"/>
        <v>Inviable Sanitariamente</v>
      </c>
      <c r="T15" s="1"/>
    </row>
    <row r="16" spans="1:23" ht="32.1" customHeight="1" x14ac:dyDescent="0.2">
      <c r="A16" s="361" t="s">
        <v>194</v>
      </c>
      <c r="B16" s="361" t="s">
        <v>639</v>
      </c>
      <c r="C16" s="361" t="s">
        <v>640</v>
      </c>
      <c r="D16" s="364">
        <v>34</v>
      </c>
      <c r="E16" s="47"/>
      <c r="F16" s="47"/>
      <c r="G16" s="47"/>
      <c r="H16" s="47"/>
      <c r="I16" s="47"/>
      <c r="J16" s="47"/>
      <c r="K16" s="47"/>
      <c r="L16" s="47"/>
      <c r="M16" s="47"/>
      <c r="N16" s="47">
        <v>93.3</v>
      </c>
      <c r="O16" s="47"/>
      <c r="P16" s="47"/>
      <c r="Q16" s="47">
        <f t="shared" si="0"/>
        <v>93.3</v>
      </c>
      <c r="R16" s="375" t="str">
        <f t="shared" si="1"/>
        <v>NO</v>
      </c>
      <c r="S16" s="442" t="str">
        <f t="shared" si="2"/>
        <v>Inviable Sanitariamente</v>
      </c>
      <c r="T16" s="1"/>
    </row>
    <row r="17" spans="1:20" ht="32.1" customHeight="1" x14ac:dyDescent="0.2">
      <c r="A17" s="361" t="s">
        <v>194</v>
      </c>
      <c r="B17" s="361" t="s">
        <v>641</v>
      </c>
      <c r="C17" s="361" t="s">
        <v>642</v>
      </c>
      <c r="D17" s="364">
        <v>27</v>
      </c>
      <c r="E17" s="47"/>
      <c r="F17" s="47"/>
      <c r="G17" s="47"/>
      <c r="H17" s="47"/>
      <c r="I17" s="47"/>
      <c r="J17" s="47"/>
      <c r="K17" s="47"/>
      <c r="L17" s="47"/>
      <c r="M17" s="47"/>
      <c r="N17" s="47"/>
      <c r="O17" s="47"/>
      <c r="P17" s="47"/>
      <c r="Q17" s="47" t="e">
        <f t="shared" si="0"/>
        <v>#DIV/0!</v>
      </c>
      <c r="R17" s="375" t="e">
        <f t="shared" si="1"/>
        <v>#DIV/0!</v>
      </c>
      <c r="S17" s="442" t="e">
        <f t="shared" si="2"/>
        <v>#DIV/0!</v>
      </c>
      <c r="T17" s="1"/>
    </row>
    <row r="18" spans="1:20" s="32" customFormat="1" ht="30" customHeight="1" x14ac:dyDescent="0.2">
      <c r="A18" s="363" t="s">
        <v>3949</v>
      </c>
      <c r="B18" s="363" t="s">
        <v>653</v>
      </c>
      <c r="C18" s="363" t="s">
        <v>4098</v>
      </c>
      <c r="D18" s="364"/>
      <c r="E18" s="474"/>
      <c r="F18" s="474"/>
      <c r="G18" s="474"/>
      <c r="H18" s="474"/>
      <c r="I18" s="474"/>
      <c r="J18" s="474"/>
      <c r="K18" s="474"/>
      <c r="L18" s="474"/>
      <c r="M18" s="474"/>
      <c r="N18" s="474"/>
      <c r="O18" s="474"/>
      <c r="P18" s="474"/>
      <c r="Q18" s="475" t="e">
        <f t="shared" si="0"/>
        <v>#DIV/0!</v>
      </c>
      <c r="R18" s="476" t="e">
        <f t="shared" si="1"/>
        <v>#DIV/0!</v>
      </c>
      <c r="S18" s="442" t="e">
        <f t="shared" si="2"/>
        <v>#DIV/0!</v>
      </c>
    </row>
    <row r="19" spans="1:20" ht="32.1" customHeight="1" x14ac:dyDescent="0.2">
      <c r="A19" s="361" t="s">
        <v>3949</v>
      </c>
      <c r="B19" s="385" t="s">
        <v>645</v>
      </c>
      <c r="C19" s="385" t="s">
        <v>646</v>
      </c>
      <c r="D19" s="364">
        <v>40</v>
      </c>
      <c r="E19" s="47"/>
      <c r="F19" s="47"/>
      <c r="G19" s="47"/>
      <c r="H19" s="47"/>
      <c r="I19" s="47"/>
      <c r="J19" s="47"/>
      <c r="K19" s="47"/>
      <c r="L19" s="47"/>
      <c r="M19" s="47"/>
      <c r="N19" s="47"/>
      <c r="O19" s="47"/>
      <c r="P19" s="47">
        <v>72.7</v>
      </c>
      <c r="Q19" s="47">
        <f t="shared" si="0"/>
        <v>72.7</v>
      </c>
      <c r="R19" s="375" t="str">
        <f t="shared" si="1"/>
        <v>NO</v>
      </c>
      <c r="S19" s="442" t="str">
        <f t="shared" si="2"/>
        <v>Alto</v>
      </c>
      <c r="T19" s="1"/>
    </row>
    <row r="20" spans="1:20" ht="30" customHeight="1" x14ac:dyDescent="0.2">
      <c r="A20" s="361" t="s">
        <v>3949</v>
      </c>
      <c r="B20" s="385" t="s">
        <v>647</v>
      </c>
      <c r="C20" s="385" t="s">
        <v>648</v>
      </c>
      <c r="D20" s="364">
        <v>120</v>
      </c>
      <c r="E20" s="47"/>
      <c r="F20" s="47"/>
      <c r="G20" s="47"/>
      <c r="H20" s="47"/>
      <c r="I20" s="47"/>
      <c r="J20" s="47"/>
      <c r="K20" s="47"/>
      <c r="L20" s="47"/>
      <c r="M20" s="47"/>
      <c r="N20" s="47"/>
      <c r="O20" s="47"/>
      <c r="P20" s="47">
        <v>72.7</v>
      </c>
      <c r="Q20" s="47">
        <f t="shared" si="0"/>
        <v>72.7</v>
      </c>
      <c r="R20" s="375" t="str">
        <f t="shared" si="1"/>
        <v>NO</v>
      </c>
      <c r="S20" s="442" t="str">
        <f t="shared" si="2"/>
        <v>Alto</v>
      </c>
      <c r="T20" s="1"/>
    </row>
    <row r="21" spans="1:20" ht="32.1" customHeight="1" x14ac:dyDescent="0.2">
      <c r="A21" s="361" t="s">
        <v>3949</v>
      </c>
      <c r="B21" s="385" t="s">
        <v>649</v>
      </c>
      <c r="C21" s="385" t="s">
        <v>650</v>
      </c>
      <c r="D21" s="364">
        <v>63</v>
      </c>
      <c r="E21" s="47"/>
      <c r="F21" s="47"/>
      <c r="G21" s="47"/>
      <c r="H21" s="47"/>
      <c r="I21" s="47"/>
      <c r="J21" s="47">
        <v>23.1</v>
      </c>
      <c r="K21" s="47"/>
      <c r="L21" s="47"/>
      <c r="M21" s="47"/>
      <c r="N21" s="47"/>
      <c r="O21" s="47"/>
      <c r="P21" s="47"/>
      <c r="Q21" s="47">
        <f t="shared" si="0"/>
        <v>23.1</v>
      </c>
      <c r="R21" s="375" t="str">
        <f t="shared" si="1"/>
        <v>NO</v>
      </c>
      <c r="S21" s="442" t="str">
        <f t="shared" si="2"/>
        <v>Medio</v>
      </c>
      <c r="T21" s="1"/>
    </row>
    <row r="22" spans="1:20" ht="32.1" customHeight="1" x14ac:dyDescent="0.2">
      <c r="A22" s="361" t="s">
        <v>196</v>
      </c>
      <c r="B22" s="385" t="s">
        <v>655</v>
      </c>
      <c r="C22" s="385" t="s">
        <v>656</v>
      </c>
      <c r="D22" s="364">
        <v>44</v>
      </c>
      <c r="E22" s="47"/>
      <c r="F22" s="47"/>
      <c r="G22" s="47"/>
      <c r="H22" s="47"/>
      <c r="I22" s="47"/>
      <c r="J22" s="47">
        <v>97.3</v>
      </c>
      <c r="K22" s="47"/>
      <c r="L22" s="47"/>
      <c r="M22" s="47"/>
      <c r="N22" s="47"/>
      <c r="O22" s="47"/>
      <c r="P22" s="47">
        <v>97.3</v>
      </c>
      <c r="Q22" s="47">
        <f t="shared" si="0"/>
        <v>97.3</v>
      </c>
      <c r="R22" s="375" t="str">
        <f t="shared" si="1"/>
        <v>NO</v>
      </c>
      <c r="S22" s="442" t="str">
        <f t="shared" si="2"/>
        <v>Inviable Sanitariamente</v>
      </c>
      <c r="T22" s="1"/>
    </row>
    <row r="23" spans="1:20" ht="32.1" customHeight="1" x14ac:dyDescent="0.2">
      <c r="A23" s="361" t="s">
        <v>196</v>
      </c>
      <c r="B23" s="471" t="s">
        <v>657</v>
      </c>
      <c r="C23" s="385" t="s">
        <v>658</v>
      </c>
      <c r="D23" s="364">
        <v>25</v>
      </c>
      <c r="E23" s="47"/>
      <c r="F23" s="47"/>
      <c r="G23" s="47"/>
      <c r="H23" s="47"/>
      <c r="I23" s="47">
        <v>70.8</v>
      </c>
      <c r="J23" s="47"/>
      <c r="K23" s="47"/>
      <c r="L23" s="47"/>
      <c r="M23" s="47"/>
      <c r="N23" s="47"/>
      <c r="O23" s="47"/>
      <c r="P23" s="47">
        <v>97.3</v>
      </c>
      <c r="Q23" s="47">
        <f t="shared" si="0"/>
        <v>84.05</v>
      </c>
      <c r="R23" s="375" t="str">
        <f t="shared" si="1"/>
        <v>NO</v>
      </c>
      <c r="S23" s="442" t="str">
        <f t="shared" si="2"/>
        <v>Inviable Sanitariamente</v>
      </c>
      <c r="T23" s="1"/>
    </row>
    <row r="24" spans="1:20" ht="32.1" customHeight="1" x14ac:dyDescent="0.2">
      <c r="A24" s="361" t="s">
        <v>196</v>
      </c>
      <c r="B24" s="471" t="s">
        <v>645</v>
      </c>
      <c r="C24" s="471" t="s">
        <v>659</v>
      </c>
      <c r="D24" s="364">
        <v>37</v>
      </c>
      <c r="E24" s="47"/>
      <c r="F24" s="47">
        <v>97.3</v>
      </c>
      <c r="G24" s="47"/>
      <c r="H24" s="47"/>
      <c r="I24" s="47"/>
      <c r="J24" s="47"/>
      <c r="K24" s="47"/>
      <c r="L24" s="47"/>
      <c r="M24" s="47"/>
      <c r="N24" s="47"/>
      <c r="O24" s="47"/>
      <c r="P24" s="47">
        <v>97.3</v>
      </c>
      <c r="Q24" s="47">
        <f t="shared" si="0"/>
        <v>97.3</v>
      </c>
      <c r="R24" s="375" t="str">
        <f t="shared" si="1"/>
        <v>NO</v>
      </c>
      <c r="S24" s="442" t="str">
        <f t="shared" si="2"/>
        <v>Inviable Sanitariamente</v>
      </c>
      <c r="T24" s="1"/>
    </row>
    <row r="25" spans="1:20" ht="32.1" customHeight="1" x14ac:dyDescent="0.2">
      <c r="A25" s="361" t="s">
        <v>197</v>
      </c>
      <c r="B25" s="392" t="s">
        <v>754</v>
      </c>
      <c r="C25" s="392" t="s">
        <v>755</v>
      </c>
      <c r="D25" s="364">
        <v>490</v>
      </c>
      <c r="E25" s="47">
        <v>96.4</v>
      </c>
      <c r="F25" s="47"/>
      <c r="G25" s="47"/>
      <c r="H25" s="47"/>
      <c r="I25" s="47"/>
      <c r="J25" s="47"/>
      <c r="K25" s="47"/>
      <c r="L25" s="47"/>
      <c r="M25" s="47"/>
      <c r="N25" s="47"/>
      <c r="O25" s="47">
        <v>96.4</v>
      </c>
      <c r="P25" s="47"/>
      <c r="Q25" s="47">
        <f t="shared" si="0"/>
        <v>96.4</v>
      </c>
      <c r="R25" s="375" t="str">
        <f t="shared" si="1"/>
        <v>NO</v>
      </c>
      <c r="S25" s="442" t="str">
        <f t="shared" si="2"/>
        <v>Inviable Sanitariamente</v>
      </c>
      <c r="T25" s="1"/>
    </row>
    <row r="26" spans="1:20" ht="32.1" customHeight="1" x14ac:dyDescent="0.2">
      <c r="A26" s="361" t="s">
        <v>197</v>
      </c>
      <c r="B26" s="392" t="s">
        <v>756</v>
      </c>
      <c r="C26" s="392" t="s">
        <v>757</v>
      </c>
      <c r="D26" s="364">
        <v>305</v>
      </c>
      <c r="E26" s="47"/>
      <c r="F26" s="47"/>
      <c r="G26" s="47"/>
      <c r="H26" s="47"/>
      <c r="I26" s="47"/>
      <c r="J26" s="47"/>
      <c r="K26" s="47"/>
      <c r="L26" s="47"/>
      <c r="M26" s="47"/>
      <c r="N26" s="47"/>
      <c r="O26" s="47">
        <v>96.38</v>
      </c>
      <c r="P26" s="47"/>
      <c r="Q26" s="47">
        <f t="shared" si="0"/>
        <v>96.38</v>
      </c>
      <c r="R26" s="375" t="str">
        <f t="shared" si="1"/>
        <v>NO</v>
      </c>
      <c r="S26" s="442" t="str">
        <f t="shared" si="2"/>
        <v>Inviable Sanitariamente</v>
      </c>
      <c r="T26" s="1"/>
    </row>
    <row r="27" spans="1:20" ht="32.1" customHeight="1" x14ac:dyDescent="0.2">
      <c r="A27" s="361" t="s">
        <v>197</v>
      </c>
      <c r="B27" s="392" t="s">
        <v>758</v>
      </c>
      <c r="C27" s="392" t="s">
        <v>759</v>
      </c>
      <c r="D27" s="364"/>
      <c r="E27" s="47"/>
      <c r="F27" s="47"/>
      <c r="G27" s="47"/>
      <c r="H27" s="47"/>
      <c r="I27" s="47"/>
      <c r="J27" s="47"/>
      <c r="K27" s="47"/>
      <c r="L27" s="47"/>
      <c r="M27" s="47"/>
      <c r="N27" s="47"/>
      <c r="O27" s="47"/>
      <c r="P27" s="47"/>
      <c r="Q27" s="47" t="e">
        <f t="shared" si="0"/>
        <v>#DIV/0!</v>
      </c>
      <c r="R27" s="375" t="e">
        <f t="shared" si="1"/>
        <v>#DIV/0!</v>
      </c>
      <c r="S27" s="442" t="e">
        <f t="shared" si="2"/>
        <v>#DIV/0!</v>
      </c>
      <c r="T27" s="1"/>
    </row>
    <row r="28" spans="1:20" ht="32.1" customHeight="1" x14ac:dyDescent="0.2">
      <c r="A28" s="361" t="s">
        <v>197</v>
      </c>
      <c r="B28" s="392" t="s">
        <v>760</v>
      </c>
      <c r="C28" s="392" t="s">
        <v>761</v>
      </c>
      <c r="D28" s="364"/>
      <c r="E28" s="47"/>
      <c r="F28" s="47"/>
      <c r="G28" s="47"/>
      <c r="H28" s="47"/>
      <c r="I28" s="47"/>
      <c r="J28" s="47"/>
      <c r="K28" s="47"/>
      <c r="L28" s="47"/>
      <c r="M28" s="47"/>
      <c r="N28" s="47"/>
      <c r="O28" s="47"/>
      <c r="P28" s="47"/>
      <c r="Q28" s="47" t="e">
        <f t="shared" si="0"/>
        <v>#DIV/0!</v>
      </c>
      <c r="R28" s="375" t="e">
        <f t="shared" si="1"/>
        <v>#DIV/0!</v>
      </c>
      <c r="S28" s="442" t="e">
        <f t="shared" si="2"/>
        <v>#DIV/0!</v>
      </c>
      <c r="T28" s="1"/>
    </row>
    <row r="29" spans="1:20" ht="32.1" customHeight="1" x14ac:dyDescent="0.2">
      <c r="A29" s="361" t="s">
        <v>197</v>
      </c>
      <c r="B29" s="392" t="s">
        <v>762</v>
      </c>
      <c r="C29" s="392" t="s">
        <v>763</v>
      </c>
      <c r="D29" s="364">
        <v>75</v>
      </c>
      <c r="E29" s="47"/>
      <c r="F29" s="47"/>
      <c r="G29" s="47"/>
      <c r="H29" s="47"/>
      <c r="I29" s="47"/>
      <c r="J29" s="47"/>
      <c r="K29" s="47"/>
      <c r="L29" s="47"/>
      <c r="M29" s="47"/>
      <c r="N29" s="47"/>
      <c r="O29" s="47">
        <v>97.3</v>
      </c>
      <c r="P29" s="47"/>
      <c r="Q29" s="47">
        <f t="shared" si="0"/>
        <v>97.3</v>
      </c>
      <c r="R29" s="375" t="str">
        <f t="shared" si="1"/>
        <v>NO</v>
      </c>
      <c r="S29" s="442" t="str">
        <f t="shared" si="2"/>
        <v>Inviable Sanitariamente</v>
      </c>
      <c r="T29" s="1"/>
    </row>
    <row r="30" spans="1:20" ht="32.1" customHeight="1" x14ac:dyDescent="0.2">
      <c r="A30" s="361" t="s">
        <v>197</v>
      </c>
      <c r="B30" s="392" t="s">
        <v>764</v>
      </c>
      <c r="C30" s="392" t="s">
        <v>765</v>
      </c>
      <c r="D30" s="364">
        <v>80</v>
      </c>
      <c r="E30" s="47"/>
      <c r="F30" s="47">
        <v>96.4</v>
      </c>
      <c r="G30" s="47"/>
      <c r="H30" s="47"/>
      <c r="I30" s="47"/>
      <c r="J30" s="47"/>
      <c r="K30" s="47"/>
      <c r="L30" s="47"/>
      <c r="M30" s="47"/>
      <c r="N30" s="47"/>
      <c r="O30" s="47"/>
      <c r="P30" s="47"/>
      <c r="Q30" s="47">
        <f t="shared" ref="Q30:Q61" si="3">AVERAGE(E30:P30)</f>
        <v>96.4</v>
      </c>
      <c r="R30" s="375" t="str">
        <f t="shared" ref="R30:R61" si="4">IF(Q30&lt;5,"SI","NO")</f>
        <v>NO</v>
      </c>
      <c r="S30" s="442" t="str">
        <f t="shared" si="2"/>
        <v>Inviable Sanitariamente</v>
      </c>
      <c r="T30" s="1"/>
    </row>
    <row r="31" spans="1:20" ht="32.1" customHeight="1" x14ac:dyDescent="0.2">
      <c r="A31" s="361" t="s">
        <v>197</v>
      </c>
      <c r="B31" s="361" t="s">
        <v>766</v>
      </c>
      <c r="C31" s="406" t="s">
        <v>767</v>
      </c>
      <c r="D31" s="364"/>
      <c r="E31" s="47"/>
      <c r="F31" s="47"/>
      <c r="G31" s="47"/>
      <c r="H31" s="47"/>
      <c r="I31" s="47"/>
      <c r="J31" s="47"/>
      <c r="K31" s="47"/>
      <c r="L31" s="47"/>
      <c r="M31" s="47"/>
      <c r="N31" s="47"/>
      <c r="O31" s="47"/>
      <c r="P31" s="47"/>
      <c r="Q31" s="47" t="e">
        <f t="shared" si="3"/>
        <v>#DIV/0!</v>
      </c>
      <c r="R31" s="375" t="e">
        <f t="shared" si="4"/>
        <v>#DIV/0!</v>
      </c>
      <c r="S31" s="442" t="e">
        <f t="shared" si="2"/>
        <v>#DIV/0!</v>
      </c>
      <c r="T31" s="1"/>
    </row>
    <row r="32" spans="1:20" ht="32.1" customHeight="1" x14ac:dyDescent="0.2">
      <c r="A32" s="361" t="s">
        <v>198</v>
      </c>
      <c r="B32" s="392" t="s">
        <v>768</v>
      </c>
      <c r="C32" s="392" t="s">
        <v>4547</v>
      </c>
      <c r="D32" s="364">
        <v>746</v>
      </c>
      <c r="E32" s="47"/>
      <c r="F32" s="47"/>
      <c r="G32" s="47"/>
      <c r="H32" s="47">
        <v>97.3</v>
      </c>
      <c r="I32" s="47"/>
      <c r="J32" s="47"/>
      <c r="K32" s="47"/>
      <c r="L32" s="47"/>
      <c r="M32" s="47"/>
      <c r="N32" s="47"/>
      <c r="O32" s="47">
        <v>97.3</v>
      </c>
      <c r="P32" s="47"/>
      <c r="Q32" s="47">
        <f t="shared" si="3"/>
        <v>97.3</v>
      </c>
      <c r="R32" s="375" t="str">
        <f t="shared" si="4"/>
        <v>NO</v>
      </c>
      <c r="S32" s="442" t="str">
        <f t="shared" si="2"/>
        <v>Inviable Sanitariamente</v>
      </c>
      <c r="T32" s="1"/>
    </row>
    <row r="33" spans="1:20" ht="32.1" customHeight="1" x14ac:dyDescent="0.2">
      <c r="A33" s="361" t="s">
        <v>198</v>
      </c>
      <c r="B33" s="392" t="s">
        <v>770</v>
      </c>
      <c r="C33" s="392" t="s">
        <v>4542</v>
      </c>
      <c r="D33" s="364">
        <v>57</v>
      </c>
      <c r="E33" s="47"/>
      <c r="F33" s="47"/>
      <c r="G33" s="47"/>
      <c r="H33" s="47"/>
      <c r="I33" s="47"/>
      <c r="J33" s="47"/>
      <c r="K33" s="47"/>
      <c r="L33" s="47"/>
      <c r="M33" s="47"/>
      <c r="N33" s="47"/>
      <c r="O33" s="47">
        <v>97.3</v>
      </c>
      <c r="P33" s="47"/>
      <c r="Q33" s="47">
        <f t="shared" si="3"/>
        <v>97.3</v>
      </c>
      <c r="R33" s="375" t="str">
        <f t="shared" si="4"/>
        <v>NO</v>
      </c>
      <c r="S33" s="442" t="str">
        <f t="shared" si="2"/>
        <v>Inviable Sanitariamente</v>
      </c>
      <c r="T33" s="1"/>
    </row>
    <row r="34" spans="1:20" ht="32.1" customHeight="1" x14ac:dyDescent="0.2">
      <c r="A34" s="361" t="s">
        <v>198</v>
      </c>
      <c r="B34" s="392" t="s">
        <v>769</v>
      </c>
      <c r="C34" s="392" t="s">
        <v>4543</v>
      </c>
      <c r="D34" s="364">
        <v>102</v>
      </c>
      <c r="E34" s="47"/>
      <c r="F34" s="47"/>
      <c r="G34" s="47"/>
      <c r="H34" s="47"/>
      <c r="I34" s="47"/>
      <c r="J34" s="47">
        <v>97.3</v>
      </c>
      <c r="K34" s="47"/>
      <c r="L34" s="47"/>
      <c r="M34" s="47"/>
      <c r="N34" s="47"/>
      <c r="O34" s="47">
        <v>97.3</v>
      </c>
      <c r="P34" s="47"/>
      <c r="Q34" s="47">
        <f t="shared" si="3"/>
        <v>97.3</v>
      </c>
      <c r="R34" s="375" t="str">
        <f t="shared" si="4"/>
        <v>NO</v>
      </c>
      <c r="S34" s="442" t="str">
        <f t="shared" si="2"/>
        <v>Inviable Sanitariamente</v>
      </c>
      <c r="T34" s="1"/>
    </row>
    <row r="35" spans="1:20" ht="32.1" customHeight="1" x14ac:dyDescent="0.2">
      <c r="A35" s="361" t="s">
        <v>198</v>
      </c>
      <c r="B35" s="392" t="s">
        <v>478</v>
      </c>
      <c r="C35" s="392" t="s">
        <v>4544</v>
      </c>
      <c r="D35" s="364">
        <v>75</v>
      </c>
      <c r="E35" s="47"/>
      <c r="F35" s="47"/>
      <c r="G35" s="47"/>
      <c r="H35" s="47"/>
      <c r="I35" s="47"/>
      <c r="J35" s="47">
        <v>97.3</v>
      </c>
      <c r="K35" s="47"/>
      <c r="L35" s="47"/>
      <c r="M35" s="47"/>
      <c r="N35" s="47"/>
      <c r="O35" s="47">
        <v>97.3</v>
      </c>
      <c r="P35" s="47"/>
      <c r="Q35" s="47">
        <f t="shared" si="3"/>
        <v>97.3</v>
      </c>
      <c r="R35" s="375" t="str">
        <f t="shared" si="4"/>
        <v>NO</v>
      </c>
      <c r="S35" s="442" t="str">
        <f t="shared" si="2"/>
        <v>Inviable Sanitariamente</v>
      </c>
      <c r="T35" s="1"/>
    </row>
    <row r="36" spans="1:20" ht="32.1" customHeight="1" x14ac:dyDescent="0.2">
      <c r="A36" s="361" t="s">
        <v>198</v>
      </c>
      <c r="B36" s="392" t="s">
        <v>771</v>
      </c>
      <c r="C36" s="392" t="s">
        <v>4541</v>
      </c>
      <c r="D36" s="364">
        <v>60</v>
      </c>
      <c r="E36" s="47"/>
      <c r="F36" s="47"/>
      <c r="G36" s="47"/>
      <c r="H36" s="47"/>
      <c r="I36" s="47"/>
      <c r="J36" s="47">
        <v>97.3</v>
      </c>
      <c r="K36" s="47"/>
      <c r="L36" s="47"/>
      <c r="M36" s="47"/>
      <c r="N36" s="47">
        <v>97.3</v>
      </c>
      <c r="O36" s="47"/>
      <c r="P36" s="47"/>
      <c r="Q36" s="47">
        <f t="shared" si="3"/>
        <v>97.3</v>
      </c>
      <c r="R36" s="375" t="str">
        <f t="shared" si="4"/>
        <v>NO</v>
      </c>
      <c r="S36" s="442" t="str">
        <f t="shared" si="2"/>
        <v>Inviable Sanitariamente</v>
      </c>
      <c r="T36" s="1"/>
    </row>
    <row r="37" spans="1:20" ht="32.1" customHeight="1" x14ac:dyDescent="0.2">
      <c r="A37" s="361" t="s">
        <v>198</v>
      </c>
      <c r="B37" s="392" t="s">
        <v>772</v>
      </c>
      <c r="C37" s="392" t="s">
        <v>4540</v>
      </c>
      <c r="D37" s="364">
        <v>48</v>
      </c>
      <c r="E37" s="47"/>
      <c r="F37" s="47"/>
      <c r="G37" s="47"/>
      <c r="H37" s="47"/>
      <c r="I37" s="47"/>
      <c r="J37" s="47"/>
      <c r="K37" s="47"/>
      <c r="L37" s="47"/>
      <c r="M37" s="47"/>
      <c r="N37" s="47"/>
      <c r="O37" s="47">
        <v>97.3</v>
      </c>
      <c r="P37" s="47"/>
      <c r="Q37" s="47">
        <f t="shared" si="3"/>
        <v>97.3</v>
      </c>
      <c r="R37" s="375" t="str">
        <f t="shared" si="4"/>
        <v>NO</v>
      </c>
      <c r="S37" s="442" t="str">
        <f t="shared" si="2"/>
        <v>Inviable Sanitariamente</v>
      </c>
      <c r="T37" s="1"/>
    </row>
    <row r="38" spans="1:20" ht="32.1" customHeight="1" x14ac:dyDescent="0.2">
      <c r="A38" s="361" t="s">
        <v>198</v>
      </c>
      <c r="B38" s="392" t="s">
        <v>773</v>
      </c>
      <c r="C38" s="392" t="s">
        <v>4539</v>
      </c>
      <c r="D38" s="364">
        <v>34</v>
      </c>
      <c r="E38" s="47"/>
      <c r="F38" s="47"/>
      <c r="G38" s="47"/>
      <c r="H38" s="47"/>
      <c r="I38" s="47"/>
      <c r="J38" s="47">
        <v>97.3</v>
      </c>
      <c r="K38" s="47"/>
      <c r="L38" s="47"/>
      <c r="M38" s="47"/>
      <c r="N38" s="47">
        <v>97.3</v>
      </c>
      <c r="O38" s="47"/>
      <c r="P38" s="47"/>
      <c r="Q38" s="47">
        <f t="shared" si="3"/>
        <v>97.3</v>
      </c>
      <c r="R38" s="375" t="str">
        <f t="shared" si="4"/>
        <v>NO</v>
      </c>
      <c r="S38" s="442" t="str">
        <f t="shared" si="2"/>
        <v>Inviable Sanitariamente</v>
      </c>
      <c r="T38" s="1"/>
    </row>
    <row r="39" spans="1:20" ht="32.1" customHeight="1" x14ac:dyDescent="0.2">
      <c r="A39" s="361" t="s">
        <v>198</v>
      </c>
      <c r="B39" s="392" t="s">
        <v>431</v>
      </c>
      <c r="C39" s="392" t="s">
        <v>774</v>
      </c>
      <c r="D39" s="364">
        <v>40</v>
      </c>
      <c r="E39" s="47"/>
      <c r="F39" s="47"/>
      <c r="G39" s="47"/>
      <c r="H39" s="47"/>
      <c r="I39" s="47"/>
      <c r="J39" s="47"/>
      <c r="K39" s="47">
        <v>97.3</v>
      </c>
      <c r="L39" s="47"/>
      <c r="M39" s="47"/>
      <c r="N39" s="47"/>
      <c r="O39" s="47"/>
      <c r="P39" s="47"/>
      <c r="Q39" s="47">
        <f t="shared" si="3"/>
        <v>97.3</v>
      </c>
      <c r="R39" s="375" t="str">
        <f t="shared" si="4"/>
        <v>NO</v>
      </c>
      <c r="S39" s="442" t="str">
        <f t="shared" si="2"/>
        <v>Inviable Sanitariamente</v>
      </c>
      <c r="T39" s="1"/>
    </row>
    <row r="40" spans="1:20" ht="32.1" customHeight="1" x14ac:dyDescent="0.2">
      <c r="A40" s="361" t="s">
        <v>198</v>
      </c>
      <c r="B40" s="392" t="s">
        <v>775</v>
      </c>
      <c r="C40" s="392" t="s">
        <v>776</v>
      </c>
      <c r="D40" s="364">
        <v>23</v>
      </c>
      <c r="E40" s="47"/>
      <c r="F40" s="47"/>
      <c r="G40" s="47"/>
      <c r="H40" s="47"/>
      <c r="I40" s="47"/>
      <c r="J40" s="47">
        <v>97.3</v>
      </c>
      <c r="K40" s="47"/>
      <c r="L40" s="47"/>
      <c r="M40" s="47"/>
      <c r="N40" s="47"/>
      <c r="O40" s="47">
        <v>97.3</v>
      </c>
      <c r="P40" s="47"/>
      <c r="Q40" s="47">
        <f t="shared" si="3"/>
        <v>97.3</v>
      </c>
      <c r="R40" s="375" t="str">
        <f t="shared" si="4"/>
        <v>NO</v>
      </c>
      <c r="S40" s="442" t="str">
        <f t="shared" si="2"/>
        <v>Inviable Sanitariamente</v>
      </c>
      <c r="T40" s="1"/>
    </row>
    <row r="41" spans="1:20" ht="32.1" customHeight="1" x14ac:dyDescent="0.2">
      <c r="A41" s="361" t="s">
        <v>198</v>
      </c>
      <c r="B41" s="392" t="s">
        <v>777</v>
      </c>
      <c r="C41" s="392" t="s">
        <v>778</v>
      </c>
      <c r="D41" s="364">
        <v>44</v>
      </c>
      <c r="E41" s="47"/>
      <c r="F41" s="47"/>
      <c r="G41" s="47"/>
      <c r="H41" s="47"/>
      <c r="I41" s="47"/>
      <c r="J41" s="47"/>
      <c r="K41" s="47">
        <v>97.3</v>
      </c>
      <c r="L41" s="47"/>
      <c r="M41" s="47"/>
      <c r="N41" s="47"/>
      <c r="O41" s="47"/>
      <c r="P41" s="47"/>
      <c r="Q41" s="47">
        <f t="shared" si="3"/>
        <v>97.3</v>
      </c>
      <c r="R41" s="375" t="str">
        <f t="shared" si="4"/>
        <v>NO</v>
      </c>
      <c r="S41" s="442" t="str">
        <f t="shared" si="2"/>
        <v>Inviable Sanitariamente</v>
      </c>
      <c r="T41" s="1"/>
    </row>
    <row r="42" spans="1:20" ht="32.1" customHeight="1" x14ac:dyDescent="0.2">
      <c r="A42" s="361" t="s">
        <v>198</v>
      </c>
      <c r="B42" s="392" t="s">
        <v>779</v>
      </c>
      <c r="C42" s="392" t="s">
        <v>780</v>
      </c>
      <c r="D42" s="364">
        <v>35</v>
      </c>
      <c r="E42" s="47"/>
      <c r="F42" s="47"/>
      <c r="G42" s="47"/>
      <c r="H42" s="47"/>
      <c r="I42" s="47"/>
      <c r="J42" s="47">
        <v>97.3</v>
      </c>
      <c r="K42" s="47"/>
      <c r="L42" s="47"/>
      <c r="M42" s="47"/>
      <c r="N42" s="47">
        <v>97.3</v>
      </c>
      <c r="O42" s="47"/>
      <c r="P42" s="47"/>
      <c r="Q42" s="47">
        <f t="shared" si="3"/>
        <v>97.3</v>
      </c>
      <c r="R42" s="375" t="str">
        <f t="shared" si="4"/>
        <v>NO</v>
      </c>
      <c r="S42" s="442" t="str">
        <f t="shared" si="2"/>
        <v>Inviable Sanitariamente</v>
      </c>
      <c r="T42" s="1"/>
    </row>
    <row r="43" spans="1:20" ht="32.1" customHeight="1" x14ac:dyDescent="0.2">
      <c r="A43" s="361" t="s">
        <v>198</v>
      </c>
      <c r="B43" s="392" t="s">
        <v>781</v>
      </c>
      <c r="C43" s="392" t="s">
        <v>782</v>
      </c>
      <c r="D43" s="364">
        <v>25</v>
      </c>
      <c r="E43" s="47"/>
      <c r="F43" s="47"/>
      <c r="G43" s="47"/>
      <c r="H43" s="47"/>
      <c r="I43" s="47"/>
      <c r="J43" s="47"/>
      <c r="K43" s="47"/>
      <c r="L43" s="47"/>
      <c r="M43" s="47"/>
      <c r="N43" s="47">
        <v>97.3</v>
      </c>
      <c r="O43" s="47"/>
      <c r="P43" s="47"/>
      <c r="Q43" s="47">
        <f t="shared" si="3"/>
        <v>97.3</v>
      </c>
      <c r="R43" s="375" t="str">
        <f t="shared" si="4"/>
        <v>NO</v>
      </c>
      <c r="S43" s="442" t="str">
        <f t="shared" si="2"/>
        <v>Inviable Sanitariamente</v>
      </c>
      <c r="T43" s="1"/>
    </row>
    <row r="44" spans="1:20" ht="32.1" customHeight="1" x14ac:dyDescent="0.2">
      <c r="A44" s="361" t="s">
        <v>198</v>
      </c>
      <c r="B44" s="392" t="s">
        <v>783</v>
      </c>
      <c r="C44" s="392" t="s">
        <v>784</v>
      </c>
      <c r="D44" s="364">
        <v>44</v>
      </c>
      <c r="E44" s="47"/>
      <c r="F44" s="47"/>
      <c r="G44" s="47"/>
      <c r="H44" s="47"/>
      <c r="I44" s="47"/>
      <c r="J44" s="47">
        <v>97.3</v>
      </c>
      <c r="K44" s="47"/>
      <c r="L44" s="47"/>
      <c r="M44" s="47"/>
      <c r="N44" s="47">
        <v>97.3</v>
      </c>
      <c r="O44" s="47"/>
      <c r="P44" s="47"/>
      <c r="Q44" s="47">
        <f t="shared" si="3"/>
        <v>97.3</v>
      </c>
      <c r="R44" s="375" t="str">
        <f t="shared" si="4"/>
        <v>NO</v>
      </c>
      <c r="S44" s="442" t="str">
        <f t="shared" si="2"/>
        <v>Inviable Sanitariamente</v>
      </c>
      <c r="T44" s="1"/>
    </row>
    <row r="45" spans="1:20" ht="32.1" customHeight="1" x14ac:dyDescent="0.2">
      <c r="A45" s="361" t="s">
        <v>198</v>
      </c>
      <c r="B45" s="392" t="s">
        <v>785</v>
      </c>
      <c r="C45" s="392" t="s">
        <v>786</v>
      </c>
      <c r="D45" s="364">
        <v>56</v>
      </c>
      <c r="E45" s="47"/>
      <c r="F45" s="47"/>
      <c r="G45" s="47"/>
      <c r="H45" s="47"/>
      <c r="I45" s="47"/>
      <c r="J45" s="47">
        <v>97.3</v>
      </c>
      <c r="K45" s="47"/>
      <c r="L45" s="47"/>
      <c r="M45" s="47"/>
      <c r="N45" s="47"/>
      <c r="O45" s="47">
        <v>97.3</v>
      </c>
      <c r="P45" s="47"/>
      <c r="Q45" s="47">
        <f t="shared" si="3"/>
        <v>97.3</v>
      </c>
      <c r="R45" s="375" t="str">
        <f t="shared" si="4"/>
        <v>NO</v>
      </c>
      <c r="S45" s="442" t="str">
        <f t="shared" si="2"/>
        <v>Inviable Sanitariamente</v>
      </c>
      <c r="T45" s="1"/>
    </row>
    <row r="46" spans="1:20" ht="32.1" customHeight="1" x14ac:dyDescent="0.2">
      <c r="A46" s="361" t="s">
        <v>198</v>
      </c>
      <c r="B46" s="392" t="s">
        <v>787</v>
      </c>
      <c r="C46" s="392" t="s">
        <v>788</v>
      </c>
      <c r="D46" s="364">
        <v>1365</v>
      </c>
      <c r="E46" s="47"/>
      <c r="F46" s="47">
        <v>97.3</v>
      </c>
      <c r="G46" s="47">
        <v>97.3</v>
      </c>
      <c r="H46" s="47"/>
      <c r="I46" s="47">
        <v>97.3</v>
      </c>
      <c r="J46" s="47"/>
      <c r="K46" s="47">
        <v>97.3</v>
      </c>
      <c r="L46" s="47">
        <v>97.3</v>
      </c>
      <c r="M46" s="47">
        <v>97.3</v>
      </c>
      <c r="N46" s="47">
        <v>93.4</v>
      </c>
      <c r="O46" s="47">
        <v>94.9</v>
      </c>
      <c r="P46" s="47">
        <v>94.9</v>
      </c>
      <c r="Q46" s="47">
        <f t="shared" si="3"/>
        <v>96.333333333333314</v>
      </c>
      <c r="R46" s="375" t="str">
        <f t="shared" si="4"/>
        <v>NO</v>
      </c>
      <c r="S46" s="442" t="str">
        <f t="shared" si="2"/>
        <v>Inviable Sanitariamente</v>
      </c>
      <c r="T46" s="1"/>
    </row>
    <row r="47" spans="1:20" ht="32.1" customHeight="1" x14ac:dyDescent="0.2">
      <c r="A47" s="361" t="s">
        <v>198</v>
      </c>
      <c r="B47" s="392" t="s">
        <v>789</v>
      </c>
      <c r="C47" s="392" t="s">
        <v>790</v>
      </c>
      <c r="D47" s="364">
        <v>26</v>
      </c>
      <c r="E47" s="47"/>
      <c r="F47" s="47"/>
      <c r="G47" s="47"/>
      <c r="H47" s="47"/>
      <c r="I47" s="47"/>
      <c r="J47" s="47"/>
      <c r="K47" s="47"/>
      <c r="L47" s="47"/>
      <c r="M47" s="47">
        <v>97.3</v>
      </c>
      <c r="N47" s="47"/>
      <c r="O47" s="47"/>
      <c r="P47" s="47"/>
      <c r="Q47" s="47">
        <f t="shared" si="3"/>
        <v>97.3</v>
      </c>
      <c r="R47" s="375" t="str">
        <f t="shared" si="4"/>
        <v>NO</v>
      </c>
      <c r="S47" s="442" t="str">
        <f t="shared" si="2"/>
        <v>Inviable Sanitariamente</v>
      </c>
      <c r="T47" s="1"/>
    </row>
    <row r="48" spans="1:20" ht="32.1" customHeight="1" x14ac:dyDescent="0.2">
      <c r="A48" s="361" t="s">
        <v>198</v>
      </c>
      <c r="B48" s="392" t="s">
        <v>791</v>
      </c>
      <c r="C48" s="392" t="s">
        <v>792</v>
      </c>
      <c r="D48" s="364">
        <v>23</v>
      </c>
      <c r="E48" s="47"/>
      <c r="F48" s="47"/>
      <c r="G48" s="47"/>
      <c r="H48" s="47"/>
      <c r="I48" s="47"/>
      <c r="J48" s="47"/>
      <c r="K48" s="47">
        <v>97.3</v>
      </c>
      <c r="L48" s="47"/>
      <c r="M48" s="47"/>
      <c r="N48" s="47"/>
      <c r="O48" s="47"/>
      <c r="P48" s="47"/>
      <c r="Q48" s="47">
        <f t="shared" si="3"/>
        <v>97.3</v>
      </c>
      <c r="R48" s="375" t="str">
        <f t="shared" si="4"/>
        <v>NO</v>
      </c>
      <c r="S48" s="442" t="str">
        <f t="shared" si="2"/>
        <v>Inviable Sanitariamente</v>
      </c>
      <c r="T48" s="1"/>
    </row>
    <row r="49" spans="1:20" ht="32.1" customHeight="1" x14ac:dyDescent="0.2">
      <c r="A49" s="361" t="s">
        <v>198</v>
      </c>
      <c r="B49" s="361" t="s">
        <v>793</v>
      </c>
      <c r="C49" s="406" t="s">
        <v>794</v>
      </c>
      <c r="D49" s="364">
        <v>67</v>
      </c>
      <c r="E49" s="47"/>
      <c r="F49" s="47"/>
      <c r="G49" s="47"/>
      <c r="H49" s="47"/>
      <c r="I49" s="47"/>
      <c r="J49" s="47"/>
      <c r="K49" s="47">
        <v>97.3</v>
      </c>
      <c r="L49" s="47"/>
      <c r="M49" s="47"/>
      <c r="N49" s="47"/>
      <c r="O49" s="47"/>
      <c r="P49" s="47"/>
      <c r="Q49" s="47">
        <f t="shared" si="3"/>
        <v>97.3</v>
      </c>
      <c r="R49" s="375" t="str">
        <f t="shared" si="4"/>
        <v>NO</v>
      </c>
      <c r="S49" s="442" t="str">
        <f t="shared" si="2"/>
        <v>Inviable Sanitariamente</v>
      </c>
      <c r="T49" s="1"/>
    </row>
    <row r="50" spans="1:20" ht="32.1" customHeight="1" x14ac:dyDescent="0.2">
      <c r="A50" s="361" t="s">
        <v>198</v>
      </c>
      <c r="B50" s="392" t="s">
        <v>795</v>
      </c>
      <c r="C50" s="392" t="s">
        <v>796</v>
      </c>
      <c r="D50" s="364">
        <v>44</v>
      </c>
      <c r="E50" s="47"/>
      <c r="F50" s="47"/>
      <c r="G50" s="47"/>
      <c r="H50" s="47"/>
      <c r="I50" s="47"/>
      <c r="J50" s="47">
        <v>97.3</v>
      </c>
      <c r="K50" s="47"/>
      <c r="L50" s="47"/>
      <c r="M50" s="47"/>
      <c r="N50" s="47"/>
      <c r="O50" s="47"/>
      <c r="P50" s="47"/>
      <c r="Q50" s="47">
        <f t="shared" si="3"/>
        <v>97.3</v>
      </c>
      <c r="R50" s="375" t="str">
        <f t="shared" si="4"/>
        <v>NO</v>
      </c>
      <c r="S50" s="442" t="str">
        <f t="shared" si="2"/>
        <v>Inviable Sanitariamente</v>
      </c>
      <c r="T50" s="1"/>
    </row>
    <row r="51" spans="1:20" ht="32.1" customHeight="1" x14ac:dyDescent="0.2">
      <c r="A51" s="361" t="s">
        <v>198</v>
      </c>
      <c r="B51" s="392" t="s">
        <v>797</v>
      </c>
      <c r="C51" s="392" t="s">
        <v>798</v>
      </c>
      <c r="D51" s="364">
        <v>45</v>
      </c>
      <c r="E51" s="47"/>
      <c r="F51" s="47"/>
      <c r="G51" s="47"/>
      <c r="H51" s="47"/>
      <c r="I51" s="47"/>
      <c r="J51" s="47">
        <v>97.3</v>
      </c>
      <c r="K51" s="47"/>
      <c r="L51" s="47"/>
      <c r="M51" s="47"/>
      <c r="N51" s="47">
        <v>97.3</v>
      </c>
      <c r="O51" s="47"/>
      <c r="P51" s="47"/>
      <c r="Q51" s="47">
        <f t="shared" si="3"/>
        <v>97.3</v>
      </c>
      <c r="R51" s="375" t="str">
        <f t="shared" si="4"/>
        <v>NO</v>
      </c>
      <c r="S51" s="442" t="str">
        <f t="shared" si="2"/>
        <v>Inviable Sanitariamente</v>
      </c>
      <c r="T51" s="1"/>
    </row>
    <row r="52" spans="1:20" ht="32.1" customHeight="1" x14ac:dyDescent="0.2">
      <c r="A52" s="361" t="s">
        <v>198</v>
      </c>
      <c r="B52" s="392" t="s">
        <v>799</v>
      </c>
      <c r="C52" s="392" t="s">
        <v>800</v>
      </c>
      <c r="D52" s="364">
        <v>44</v>
      </c>
      <c r="E52" s="47"/>
      <c r="F52" s="47"/>
      <c r="G52" s="47"/>
      <c r="H52" s="47"/>
      <c r="I52" s="47"/>
      <c r="J52" s="47">
        <v>97.3</v>
      </c>
      <c r="K52" s="47"/>
      <c r="L52" s="47"/>
      <c r="M52" s="47"/>
      <c r="N52" s="47">
        <v>97.3</v>
      </c>
      <c r="O52" s="47"/>
      <c r="P52" s="47"/>
      <c r="Q52" s="47">
        <f t="shared" si="3"/>
        <v>97.3</v>
      </c>
      <c r="R52" s="375" t="str">
        <f t="shared" si="4"/>
        <v>NO</v>
      </c>
      <c r="S52" s="442" t="str">
        <f t="shared" si="2"/>
        <v>Inviable Sanitariamente</v>
      </c>
      <c r="T52" s="1"/>
    </row>
    <row r="53" spans="1:20" ht="32.1" customHeight="1" x14ac:dyDescent="0.2">
      <c r="A53" s="361" t="s">
        <v>198</v>
      </c>
      <c r="B53" s="361" t="s">
        <v>801</v>
      </c>
      <c r="C53" s="392" t="s">
        <v>802</v>
      </c>
      <c r="D53" s="364">
        <v>95</v>
      </c>
      <c r="E53" s="47"/>
      <c r="F53" s="47"/>
      <c r="G53" s="47"/>
      <c r="H53" s="47"/>
      <c r="I53" s="47"/>
      <c r="J53" s="47"/>
      <c r="K53" s="47"/>
      <c r="L53" s="47"/>
      <c r="M53" s="47"/>
      <c r="N53" s="47">
        <v>97.3</v>
      </c>
      <c r="O53" s="47"/>
      <c r="P53" s="47"/>
      <c r="Q53" s="47">
        <f t="shared" si="3"/>
        <v>97.3</v>
      </c>
      <c r="R53" s="375" t="str">
        <f t="shared" si="4"/>
        <v>NO</v>
      </c>
      <c r="S53" s="442" t="str">
        <f t="shared" si="2"/>
        <v>Inviable Sanitariamente</v>
      </c>
      <c r="T53" s="1"/>
    </row>
    <row r="54" spans="1:20" ht="32.1" customHeight="1" x14ac:dyDescent="0.2">
      <c r="A54" s="361" t="s">
        <v>198</v>
      </c>
      <c r="B54" s="392" t="s">
        <v>803</v>
      </c>
      <c r="C54" s="392" t="s">
        <v>804</v>
      </c>
      <c r="D54" s="364">
        <v>40</v>
      </c>
      <c r="E54" s="47"/>
      <c r="F54" s="47"/>
      <c r="G54" s="47"/>
      <c r="H54" s="47"/>
      <c r="I54" s="47"/>
      <c r="J54" s="47">
        <v>97.3</v>
      </c>
      <c r="K54" s="47"/>
      <c r="L54" s="47"/>
      <c r="M54" s="47"/>
      <c r="N54" s="47"/>
      <c r="O54" s="47"/>
      <c r="P54" s="47"/>
      <c r="Q54" s="47">
        <f t="shared" si="3"/>
        <v>97.3</v>
      </c>
      <c r="R54" s="375" t="str">
        <f t="shared" si="4"/>
        <v>NO</v>
      </c>
      <c r="S54" s="442" t="str">
        <f t="shared" si="2"/>
        <v>Inviable Sanitariamente</v>
      </c>
      <c r="T54" s="1"/>
    </row>
    <row r="55" spans="1:20" ht="32.1" customHeight="1" x14ac:dyDescent="0.2">
      <c r="A55" s="361" t="s">
        <v>198</v>
      </c>
      <c r="B55" s="392" t="s">
        <v>805</v>
      </c>
      <c r="C55" s="392" t="s">
        <v>806</v>
      </c>
      <c r="D55" s="364">
        <v>64</v>
      </c>
      <c r="E55" s="47"/>
      <c r="F55" s="47"/>
      <c r="G55" s="47"/>
      <c r="H55" s="47"/>
      <c r="I55" s="47"/>
      <c r="J55" s="47"/>
      <c r="K55" s="47"/>
      <c r="L55" s="47"/>
      <c r="M55" s="47"/>
      <c r="N55" s="47">
        <v>97.3</v>
      </c>
      <c r="O55" s="47"/>
      <c r="P55" s="47"/>
      <c r="Q55" s="47">
        <f t="shared" si="3"/>
        <v>97.3</v>
      </c>
      <c r="R55" s="375" t="str">
        <f t="shared" si="4"/>
        <v>NO</v>
      </c>
      <c r="S55" s="442" t="str">
        <f t="shared" si="2"/>
        <v>Inviable Sanitariamente</v>
      </c>
      <c r="T55" s="1"/>
    </row>
    <row r="56" spans="1:20" ht="32.1" customHeight="1" x14ac:dyDescent="0.2">
      <c r="A56" s="361" t="s">
        <v>198</v>
      </c>
      <c r="B56" s="361" t="s">
        <v>48</v>
      </c>
      <c r="C56" s="392" t="s">
        <v>807</v>
      </c>
      <c r="D56" s="364">
        <v>52</v>
      </c>
      <c r="E56" s="47"/>
      <c r="F56" s="47"/>
      <c r="G56" s="47"/>
      <c r="H56" s="47"/>
      <c r="I56" s="47"/>
      <c r="J56" s="47"/>
      <c r="K56" s="47">
        <v>97.3</v>
      </c>
      <c r="L56" s="47"/>
      <c r="M56" s="47"/>
      <c r="N56" s="47"/>
      <c r="O56" s="47"/>
      <c r="P56" s="47"/>
      <c r="Q56" s="47">
        <f t="shared" si="3"/>
        <v>97.3</v>
      </c>
      <c r="R56" s="375" t="str">
        <f t="shared" si="4"/>
        <v>NO</v>
      </c>
      <c r="S56" s="442" t="str">
        <f t="shared" si="2"/>
        <v>Inviable Sanitariamente</v>
      </c>
      <c r="T56" s="1"/>
    </row>
    <row r="57" spans="1:20" ht="32.1" customHeight="1" x14ac:dyDescent="0.2">
      <c r="A57" s="361" t="s">
        <v>198</v>
      </c>
      <c r="B57" s="392" t="s">
        <v>808</v>
      </c>
      <c r="C57" s="392" t="s">
        <v>809</v>
      </c>
      <c r="D57" s="364">
        <v>31</v>
      </c>
      <c r="E57" s="47"/>
      <c r="F57" s="47"/>
      <c r="G57" s="47"/>
      <c r="H57" s="47"/>
      <c r="I57" s="47"/>
      <c r="J57" s="47">
        <v>97.3</v>
      </c>
      <c r="K57" s="47"/>
      <c r="L57" s="47"/>
      <c r="M57" s="47"/>
      <c r="N57" s="47"/>
      <c r="O57" s="47"/>
      <c r="P57" s="47"/>
      <c r="Q57" s="47">
        <f t="shared" si="3"/>
        <v>97.3</v>
      </c>
      <c r="R57" s="375" t="str">
        <f t="shared" si="4"/>
        <v>NO</v>
      </c>
      <c r="S57" s="442" t="str">
        <f t="shared" si="2"/>
        <v>Inviable Sanitariamente</v>
      </c>
      <c r="T57" s="1"/>
    </row>
    <row r="58" spans="1:20" ht="32.1" customHeight="1" x14ac:dyDescent="0.2">
      <c r="A58" s="361" t="s">
        <v>198</v>
      </c>
      <c r="B58" s="392" t="s">
        <v>810</v>
      </c>
      <c r="C58" s="392" t="s">
        <v>811</v>
      </c>
      <c r="D58" s="364">
        <v>60</v>
      </c>
      <c r="E58" s="47"/>
      <c r="F58" s="47"/>
      <c r="G58" s="47"/>
      <c r="H58" s="47"/>
      <c r="I58" s="47"/>
      <c r="J58" s="47">
        <v>97.3</v>
      </c>
      <c r="K58" s="47"/>
      <c r="L58" s="47"/>
      <c r="M58" s="47"/>
      <c r="N58" s="47"/>
      <c r="O58" s="47"/>
      <c r="P58" s="47"/>
      <c r="Q58" s="47">
        <f t="shared" si="3"/>
        <v>97.3</v>
      </c>
      <c r="R58" s="375" t="str">
        <f t="shared" si="4"/>
        <v>NO</v>
      </c>
      <c r="S58" s="442" t="str">
        <f t="shared" si="2"/>
        <v>Inviable Sanitariamente</v>
      </c>
      <c r="T58" s="1"/>
    </row>
    <row r="59" spans="1:20" ht="32.1" customHeight="1" x14ac:dyDescent="0.2">
      <c r="A59" s="361" t="s">
        <v>198</v>
      </c>
      <c r="B59" s="361" t="s">
        <v>812</v>
      </c>
      <c r="C59" s="361" t="s">
        <v>813</v>
      </c>
      <c r="D59" s="364">
        <v>215</v>
      </c>
      <c r="E59" s="47"/>
      <c r="F59" s="47"/>
      <c r="G59" s="47"/>
      <c r="H59" s="47"/>
      <c r="I59" s="47"/>
      <c r="J59" s="47"/>
      <c r="K59" s="47"/>
      <c r="L59" s="47"/>
      <c r="M59" s="47"/>
      <c r="N59" s="47"/>
      <c r="O59" s="47">
        <v>97.3</v>
      </c>
      <c r="P59" s="47"/>
      <c r="Q59" s="47">
        <f t="shared" si="3"/>
        <v>97.3</v>
      </c>
      <c r="R59" s="375" t="str">
        <f t="shared" si="4"/>
        <v>NO</v>
      </c>
      <c r="S59" s="442" t="str">
        <f t="shared" si="2"/>
        <v>Inviable Sanitariamente</v>
      </c>
      <c r="T59" s="1"/>
    </row>
    <row r="60" spans="1:20" ht="32.1" customHeight="1" x14ac:dyDescent="0.2">
      <c r="A60" s="361" t="s">
        <v>198</v>
      </c>
      <c r="B60" s="361" t="s">
        <v>812</v>
      </c>
      <c r="C60" s="361" t="s">
        <v>814</v>
      </c>
      <c r="D60" s="364">
        <v>670</v>
      </c>
      <c r="E60" s="47"/>
      <c r="F60" s="47">
        <v>97.3</v>
      </c>
      <c r="G60" s="47">
        <v>97.3</v>
      </c>
      <c r="H60" s="47">
        <v>97.3</v>
      </c>
      <c r="I60" s="47">
        <v>97.3</v>
      </c>
      <c r="J60" s="47"/>
      <c r="K60" s="47">
        <v>97.3</v>
      </c>
      <c r="L60" s="47">
        <v>97.3</v>
      </c>
      <c r="M60" s="47">
        <v>97.3</v>
      </c>
      <c r="N60" s="47">
        <v>96.1</v>
      </c>
      <c r="O60" s="47">
        <v>97.5</v>
      </c>
      <c r="P60" s="47">
        <v>97.5</v>
      </c>
      <c r="Q60" s="47">
        <f t="shared" si="3"/>
        <v>97.22</v>
      </c>
      <c r="R60" s="375" t="str">
        <f t="shared" si="4"/>
        <v>NO</v>
      </c>
      <c r="S60" s="442" t="str">
        <f t="shared" si="2"/>
        <v>Inviable Sanitariamente</v>
      </c>
      <c r="T60" s="1"/>
    </row>
    <row r="61" spans="1:20" ht="32.1" customHeight="1" x14ac:dyDescent="0.2">
      <c r="A61" s="361" t="s">
        <v>198</v>
      </c>
      <c r="B61" s="361" t="s">
        <v>4545</v>
      </c>
      <c r="C61" s="361" t="s">
        <v>4546</v>
      </c>
      <c r="D61" s="364">
        <v>44</v>
      </c>
      <c r="E61" s="47"/>
      <c r="F61" s="47"/>
      <c r="G61" s="47"/>
      <c r="H61" s="47"/>
      <c r="I61" s="47"/>
      <c r="J61" s="47"/>
      <c r="K61" s="47">
        <v>97.3</v>
      </c>
      <c r="L61" s="47"/>
      <c r="M61" s="47"/>
      <c r="N61" s="47"/>
      <c r="O61" s="47"/>
      <c r="P61" s="47"/>
      <c r="Q61" s="47">
        <f t="shared" si="3"/>
        <v>97.3</v>
      </c>
      <c r="R61" s="375" t="str">
        <f t="shared" si="4"/>
        <v>NO</v>
      </c>
      <c r="S61" s="442" t="str">
        <f t="shared" si="2"/>
        <v>Inviable Sanitariamente</v>
      </c>
      <c r="T61" s="1"/>
    </row>
    <row r="62" spans="1:20" ht="32.1" customHeight="1" x14ac:dyDescent="0.2">
      <c r="A62" s="361" t="s">
        <v>198</v>
      </c>
      <c r="B62" s="361" t="s">
        <v>815</v>
      </c>
      <c r="C62" s="361" t="s">
        <v>816</v>
      </c>
      <c r="D62" s="364">
        <v>60</v>
      </c>
      <c r="E62" s="47"/>
      <c r="F62" s="47"/>
      <c r="G62" s="47"/>
      <c r="H62" s="47"/>
      <c r="I62" s="47"/>
      <c r="J62" s="47"/>
      <c r="K62" s="47">
        <v>97.3</v>
      </c>
      <c r="L62" s="47"/>
      <c r="M62" s="47"/>
      <c r="N62" s="47"/>
      <c r="O62" s="47"/>
      <c r="P62" s="47"/>
      <c r="Q62" s="47">
        <f t="shared" ref="Q62:Q94" si="5">AVERAGE(E62:P62)</f>
        <v>97.3</v>
      </c>
      <c r="R62" s="375" t="str">
        <f t="shared" ref="R62:R94" si="6">IF(Q62&lt;5,"SI","NO")</f>
        <v>NO</v>
      </c>
      <c r="S62" s="442" t="str">
        <f t="shared" si="2"/>
        <v>Inviable Sanitariamente</v>
      </c>
      <c r="T62" s="1"/>
    </row>
    <row r="63" spans="1:20" ht="32.1" customHeight="1" x14ac:dyDescent="0.2">
      <c r="A63" s="361" t="s">
        <v>198</v>
      </c>
      <c r="B63" s="361" t="s">
        <v>817</v>
      </c>
      <c r="C63" s="361" t="s">
        <v>818</v>
      </c>
      <c r="D63" s="364">
        <v>28</v>
      </c>
      <c r="E63" s="47"/>
      <c r="F63" s="47"/>
      <c r="G63" s="47"/>
      <c r="H63" s="47"/>
      <c r="I63" s="47"/>
      <c r="J63" s="47"/>
      <c r="K63" s="47"/>
      <c r="L63" s="47">
        <v>97.3</v>
      </c>
      <c r="M63" s="47"/>
      <c r="N63" s="47"/>
      <c r="O63" s="47"/>
      <c r="P63" s="47"/>
      <c r="Q63" s="47">
        <f t="shared" si="5"/>
        <v>97.3</v>
      </c>
      <c r="R63" s="375" t="str">
        <f t="shared" si="6"/>
        <v>NO</v>
      </c>
      <c r="S63" s="442" t="str">
        <f t="shared" si="2"/>
        <v>Inviable Sanitariamente</v>
      </c>
      <c r="T63" s="1"/>
    </row>
    <row r="64" spans="1:20" s="200" customFormat="1" ht="32.1" customHeight="1" x14ac:dyDescent="0.2">
      <c r="A64" s="361" t="s">
        <v>198</v>
      </c>
      <c r="B64" s="361" t="s">
        <v>819</v>
      </c>
      <c r="C64" s="472" t="s">
        <v>820</v>
      </c>
      <c r="D64" s="364">
        <v>60</v>
      </c>
      <c r="E64" s="47"/>
      <c r="F64" s="47"/>
      <c r="G64" s="47"/>
      <c r="H64" s="47"/>
      <c r="I64" s="47"/>
      <c r="J64" s="47"/>
      <c r="K64" s="47">
        <v>97.3</v>
      </c>
      <c r="L64" s="47"/>
      <c r="M64" s="47"/>
      <c r="N64" s="47"/>
      <c r="O64" s="47"/>
      <c r="P64" s="47"/>
      <c r="Q64" s="47">
        <f>AVERAGE(E64:P64)</f>
        <v>97.3</v>
      </c>
      <c r="R64" s="375" t="str">
        <f>IF(Q64&lt;5,"SI","NO")</f>
        <v>NO</v>
      </c>
      <c r="S64" s="442" t="str">
        <f>IF(Q64&lt;5,"Sin Riesgo",IF(Q64 &lt;=14,"Bajo",IF(Q64&lt;=35,"Medio",IF(Q64&lt;=80,"Alto","Inviable Sanitariamente"))))</f>
        <v>Inviable Sanitariamente</v>
      </c>
      <c r="T64" s="1"/>
    </row>
    <row r="65" spans="1:20" ht="32.1" customHeight="1" x14ac:dyDescent="0.2">
      <c r="A65" s="361" t="s">
        <v>198</v>
      </c>
      <c r="B65" s="361"/>
      <c r="C65" s="472" t="s">
        <v>4248</v>
      </c>
      <c r="D65" s="364">
        <v>38</v>
      </c>
      <c r="E65" s="47"/>
      <c r="F65" s="47"/>
      <c r="G65" s="47"/>
      <c r="H65" s="47"/>
      <c r="I65" s="47"/>
      <c r="J65" s="47"/>
      <c r="K65" s="47"/>
      <c r="L65" s="47">
        <v>97.3</v>
      </c>
      <c r="M65" s="47"/>
      <c r="N65" s="47"/>
      <c r="O65" s="47"/>
      <c r="P65" s="47"/>
      <c r="Q65" s="47">
        <f t="shared" si="5"/>
        <v>97.3</v>
      </c>
      <c r="R65" s="375" t="str">
        <f t="shared" si="6"/>
        <v>NO</v>
      </c>
      <c r="S65" s="442" t="str">
        <f t="shared" si="2"/>
        <v>Inviable Sanitariamente</v>
      </c>
      <c r="T65" s="1"/>
    </row>
    <row r="66" spans="1:20" ht="32.1" customHeight="1" x14ac:dyDescent="0.2">
      <c r="A66" s="361" t="s">
        <v>7</v>
      </c>
      <c r="B66" s="385" t="s">
        <v>8</v>
      </c>
      <c r="C66" s="385" t="s">
        <v>821</v>
      </c>
      <c r="D66" s="409">
        <v>28</v>
      </c>
      <c r="E66" s="47"/>
      <c r="F66" s="47"/>
      <c r="G66" s="47"/>
      <c r="H66" s="47"/>
      <c r="I66" s="47">
        <v>97.35</v>
      </c>
      <c r="J66" s="47"/>
      <c r="K66" s="47"/>
      <c r="L66" s="47"/>
      <c r="M66" s="47"/>
      <c r="N66" s="47"/>
      <c r="O66" s="47"/>
      <c r="P66" s="47"/>
      <c r="Q66" s="47">
        <f t="shared" si="5"/>
        <v>97.35</v>
      </c>
      <c r="R66" s="375" t="str">
        <f t="shared" si="6"/>
        <v>NO</v>
      </c>
      <c r="S66" s="442" t="str">
        <f t="shared" si="2"/>
        <v>Inviable Sanitariamente</v>
      </c>
      <c r="T66" s="1"/>
    </row>
    <row r="67" spans="1:20" ht="32.1" customHeight="1" x14ac:dyDescent="0.2">
      <c r="A67" s="361" t="s">
        <v>7</v>
      </c>
      <c r="B67" s="385" t="s">
        <v>822</v>
      </c>
      <c r="C67" s="385" t="s">
        <v>823</v>
      </c>
      <c r="D67" s="409">
        <v>25</v>
      </c>
      <c r="E67" s="47"/>
      <c r="F67" s="47"/>
      <c r="G67" s="47"/>
      <c r="H67" s="47"/>
      <c r="I67" s="47">
        <v>97.35</v>
      </c>
      <c r="J67" s="47"/>
      <c r="K67" s="47"/>
      <c r="L67" s="47"/>
      <c r="M67" s="47"/>
      <c r="N67" s="47"/>
      <c r="O67" s="47"/>
      <c r="P67" s="47"/>
      <c r="Q67" s="47">
        <f t="shared" si="5"/>
        <v>97.35</v>
      </c>
      <c r="R67" s="375" t="str">
        <f t="shared" si="6"/>
        <v>NO</v>
      </c>
      <c r="S67" s="442" t="str">
        <f t="shared" si="2"/>
        <v>Inviable Sanitariamente</v>
      </c>
      <c r="T67" s="1"/>
    </row>
    <row r="68" spans="1:20" ht="32.1" customHeight="1" x14ac:dyDescent="0.2">
      <c r="A68" s="361" t="s">
        <v>7</v>
      </c>
      <c r="B68" s="385" t="s">
        <v>824</v>
      </c>
      <c r="C68" s="385" t="s">
        <v>825</v>
      </c>
      <c r="D68" s="409">
        <v>17</v>
      </c>
      <c r="E68" s="47"/>
      <c r="F68" s="47"/>
      <c r="G68" s="47"/>
      <c r="H68" s="47"/>
      <c r="I68" s="47"/>
      <c r="J68" s="47">
        <v>76.900000000000006</v>
      </c>
      <c r="K68" s="47"/>
      <c r="L68" s="47"/>
      <c r="M68" s="47"/>
      <c r="N68" s="47"/>
      <c r="O68" s="47"/>
      <c r="P68" s="47"/>
      <c r="Q68" s="47">
        <f t="shared" si="5"/>
        <v>76.900000000000006</v>
      </c>
      <c r="R68" s="375" t="str">
        <f t="shared" si="6"/>
        <v>NO</v>
      </c>
      <c r="S68" s="442" t="str">
        <f t="shared" si="2"/>
        <v>Alto</v>
      </c>
      <c r="T68" s="1"/>
    </row>
    <row r="69" spans="1:20" ht="32.1" customHeight="1" x14ac:dyDescent="0.2">
      <c r="A69" s="361" t="s">
        <v>7</v>
      </c>
      <c r="B69" s="385" t="s">
        <v>826</v>
      </c>
      <c r="C69" s="385" t="s">
        <v>827</v>
      </c>
      <c r="D69" s="409">
        <v>38</v>
      </c>
      <c r="E69" s="47"/>
      <c r="F69" s="47"/>
      <c r="G69" s="47"/>
      <c r="H69" s="47"/>
      <c r="I69" s="47"/>
      <c r="J69" s="47"/>
      <c r="K69" s="47"/>
      <c r="L69" s="47">
        <v>97</v>
      </c>
      <c r="M69" s="47"/>
      <c r="N69" s="47"/>
      <c r="O69" s="47"/>
      <c r="P69" s="47"/>
      <c r="Q69" s="47">
        <f t="shared" si="5"/>
        <v>97</v>
      </c>
      <c r="R69" s="375" t="str">
        <f t="shared" si="6"/>
        <v>NO</v>
      </c>
      <c r="S69" s="442" t="str">
        <f t="shared" si="2"/>
        <v>Inviable Sanitariamente</v>
      </c>
      <c r="T69" s="1"/>
    </row>
    <row r="70" spans="1:20" ht="32.1" customHeight="1" x14ac:dyDescent="0.2">
      <c r="A70" s="361" t="s">
        <v>7</v>
      </c>
      <c r="B70" s="385" t="s">
        <v>828</v>
      </c>
      <c r="C70" s="385" t="s">
        <v>829</v>
      </c>
      <c r="D70" s="409">
        <v>120</v>
      </c>
      <c r="E70" s="47"/>
      <c r="F70" s="47"/>
      <c r="G70" s="47">
        <v>76.900000000000006</v>
      </c>
      <c r="H70" s="47"/>
      <c r="I70" s="47"/>
      <c r="J70" s="47"/>
      <c r="K70" s="47"/>
      <c r="L70" s="47"/>
      <c r="M70" s="47"/>
      <c r="N70" s="47">
        <v>76.92</v>
      </c>
      <c r="O70" s="47"/>
      <c r="P70" s="47"/>
      <c r="Q70" s="47">
        <f t="shared" si="5"/>
        <v>76.91</v>
      </c>
      <c r="R70" s="375" t="str">
        <f t="shared" si="6"/>
        <v>NO</v>
      </c>
      <c r="S70" s="442" t="str">
        <f t="shared" si="2"/>
        <v>Alto</v>
      </c>
      <c r="T70" s="1"/>
    </row>
    <row r="71" spans="1:20" ht="32.1" customHeight="1" x14ac:dyDescent="0.2">
      <c r="A71" s="361" t="s">
        <v>7</v>
      </c>
      <c r="B71" s="385" t="s">
        <v>830</v>
      </c>
      <c r="C71" s="385" t="s">
        <v>831</v>
      </c>
      <c r="D71" s="409">
        <v>55</v>
      </c>
      <c r="E71" s="47"/>
      <c r="F71" s="47">
        <v>97.35</v>
      </c>
      <c r="G71" s="47"/>
      <c r="H71" s="47"/>
      <c r="I71" s="47"/>
      <c r="J71" s="47"/>
      <c r="K71" s="47"/>
      <c r="L71" s="47"/>
      <c r="M71" s="47"/>
      <c r="N71" s="47"/>
      <c r="O71" s="47"/>
      <c r="P71" s="47"/>
      <c r="Q71" s="47">
        <f t="shared" si="5"/>
        <v>97.35</v>
      </c>
      <c r="R71" s="375" t="str">
        <f t="shared" si="6"/>
        <v>NO</v>
      </c>
      <c r="S71" s="442" t="str">
        <f t="shared" si="2"/>
        <v>Inviable Sanitariamente</v>
      </c>
      <c r="T71" s="1"/>
    </row>
    <row r="72" spans="1:20" ht="32.1" customHeight="1" x14ac:dyDescent="0.2">
      <c r="A72" s="361" t="s">
        <v>7</v>
      </c>
      <c r="B72" s="385" t="s">
        <v>832</v>
      </c>
      <c r="C72" s="385" t="s">
        <v>833</v>
      </c>
      <c r="D72" s="409">
        <v>23</v>
      </c>
      <c r="E72" s="47"/>
      <c r="F72" s="47"/>
      <c r="G72" s="47"/>
      <c r="H72" s="47"/>
      <c r="I72" s="47"/>
      <c r="J72" s="47">
        <v>97.9</v>
      </c>
      <c r="K72" s="47"/>
      <c r="L72" s="47"/>
      <c r="M72" s="47"/>
      <c r="N72" s="47"/>
      <c r="O72" s="47"/>
      <c r="P72" s="47"/>
      <c r="Q72" s="47">
        <f t="shared" si="5"/>
        <v>97.9</v>
      </c>
      <c r="R72" s="375" t="str">
        <f t="shared" si="6"/>
        <v>NO</v>
      </c>
      <c r="S72" s="442" t="str">
        <f t="shared" si="2"/>
        <v>Inviable Sanitariamente</v>
      </c>
      <c r="T72" s="2"/>
    </row>
    <row r="73" spans="1:20" ht="32.1" customHeight="1" x14ac:dyDescent="0.2">
      <c r="A73" s="361" t="s">
        <v>7</v>
      </c>
      <c r="B73" s="385" t="s">
        <v>834</v>
      </c>
      <c r="C73" s="385" t="s">
        <v>835</v>
      </c>
      <c r="D73" s="409">
        <v>32</v>
      </c>
      <c r="E73" s="47"/>
      <c r="F73" s="47"/>
      <c r="G73" s="47"/>
      <c r="H73" s="47"/>
      <c r="I73" s="47"/>
      <c r="J73" s="47">
        <v>76.900000000000006</v>
      </c>
      <c r="K73" s="47"/>
      <c r="L73" s="47"/>
      <c r="M73" s="47"/>
      <c r="N73" s="47"/>
      <c r="O73" s="47"/>
      <c r="P73" s="47"/>
      <c r="Q73" s="47">
        <f t="shared" si="5"/>
        <v>76.900000000000006</v>
      </c>
      <c r="R73" s="375" t="str">
        <f t="shared" si="6"/>
        <v>NO</v>
      </c>
      <c r="S73" s="442" t="str">
        <f t="shared" si="2"/>
        <v>Alto</v>
      </c>
      <c r="T73" s="2"/>
    </row>
    <row r="74" spans="1:20" ht="32.1" customHeight="1" x14ac:dyDescent="0.2">
      <c r="A74" s="361" t="s">
        <v>7</v>
      </c>
      <c r="B74" s="385" t="s">
        <v>836</v>
      </c>
      <c r="C74" s="385" t="s">
        <v>837</v>
      </c>
      <c r="D74" s="409">
        <v>27</v>
      </c>
      <c r="E74" s="47"/>
      <c r="F74" s="47"/>
      <c r="G74" s="47"/>
      <c r="H74" s="47"/>
      <c r="I74" s="47"/>
      <c r="J74" s="47">
        <v>76.900000000000006</v>
      </c>
      <c r="K74" s="47"/>
      <c r="L74" s="47"/>
      <c r="M74" s="47"/>
      <c r="N74" s="47">
        <v>79</v>
      </c>
      <c r="O74" s="47"/>
      <c r="P74" s="47"/>
      <c r="Q74" s="47">
        <f t="shared" si="5"/>
        <v>77.95</v>
      </c>
      <c r="R74" s="375" t="str">
        <f t="shared" si="6"/>
        <v>NO</v>
      </c>
      <c r="S74" s="442" t="str">
        <f t="shared" si="2"/>
        <v>Alto</v>
      </c>
      <c r="T74" s="2"/>
    </row>
    <row r="75" spans="1:20" ht="32.1" customHeight="1" x14ac:dyDescent="0.2">
      <c r="A75" s="361" t="s">
        <v>7</v>
      </c>
      <c r="B75" s="385" t="s">
        <v>838</v>
      </c>
      <c r="C75" s="385" t="s">
        <v>839</v>
      </c>
      <c r="D75" s="409">
        <v>154</v>
      </c>
      <c r="E75" s="47"/>
      <c r="F75" s="47"/>
      <c r="G75" s="47">
        <v>0</v>
      </c>
      <c r="H75" s="47">
        <v>0</v>
      </c>
      <c r="I75" s="47"/>
      <c r="J75" s="47">
        <v>0</v>
      </c>
      <c r="K75" s="47"/>
      <c r="L75" s="47"/>
      <c r="M75" s="47"/>
      <c r="N75" s="47"/>
      <c r="O75" s="47"/>
      <c r="P75" s="47"/>
      <c r="Q75" s="47">
        <f t="shared" si="5"/>
        <v>0</v>
      </c>
      <c r="R75" s="375" t="str">
        <f t="shared" si="6"/>
        <v>SI</v>
      </c>
      <c r="S75" s="442" t="str">
        <f t="shared" si="2"/>
        <v>Sin Riesgo</v>
      </c>
      <c r="T75" s="2"/>
    </row>
    <row r="76" spans="1:20" ht="32.1" customHeight="1" x14ac:dyDescent="0.2">
      <c r="A76" s="361" t="s">
        <v>7</v>
      </c>
      <c r="B76" s="385" t="s">
        <v>840</v>
      </c>
      <c r="C76" s="385" t="s">
        <v>841</v>
      </c>
      <c r="D76" s="409">
        <v>54</v>
      </c>
      <c r="E76" s="47"/>
      <c r="F76" s="47"/>
      <c r="G76" s="47"/>
      <c r="H76" s="47"/>
      <c r="I76" s="47">
        <v>0</v>
      </c>
      <c r="J76" s="47">
        <v>10.5</v>
      </c>
      <c r="K76" s="47"/>
      <c r="L76" s="47"/>
      <c r="M76" s="47"/>
      <c r="N76" s="47"/>
      <c r="O76" s="47"/>
      <c r="P76" s="47"/>
      <c r="Q76" s="47">
        <f t="shared" si="5"/>
        <v>5.25</v>
      </c>
      <c r="R76" s="375" t="str">
        <f t="shared" si="6"/>
        <v>NO</v>
      </c>
      <c r="S76" s="442" t="str">
        <f t="shared" si="2"/>
        <v>Bajo</v>
      </c>
      <c r="T76" s="2"/>
    </row>
    <row r="77" spans="1:20" ht="32.1" customHeight="1" x14ac:dyDescent="0.2">
      <c r="A77" s="361" t="s">
        <v>7</v>
      </c>
      <c r="B77" s="385" t="s">
        <v>10</v>
      </c>
      <c r="C77" s="385" t="s">
        <v>842</v>
      </c>
      <c r="D77" s="409">
        <v>48</v>
      </c>
      <c r="E77" s="47"/>
      <c r="F77" s="47">
        <v>76.900000000000006</v>
      </c>
      <c r="G77" s="47"/>
      <c r="H77" s="47"/>
      <c r="I77" s="47"/>
      <c r="J77" s="47"/>
      <c r="K77" s="47"/>
      <c r="L77" s="47"/>
      <c r="M77" s="47"/>
      <c r="N77" s="47"/>
      <c r="O77" s="47"/>
      <c r="P77" s="47"/>
      <c r="Q77" s="47">
        <f t="shared" si="5"/>
        <v>76.900000000000006</v>
      </c>
      <c r="R77" s="375" t="str">
        <f t="shared" si="6"/>
        <v>NO</v>
      </c>
      <c r="S77" s="442" t="str">
        <f t="shared" ref="S77:S123" si="7">IF(Q77&lt;5,"Sin Riesgo",IF(Q77 &lt;=14,"Bajo",IF(Q77&lt;=35,"Medio",IF(Q77&lt;=80,"Alto","Inviable Sanitariamente"))))</f>
        <v>Alto</v>
      </c>
      <c r="T77" s="2"/>
    </row>
    <row r="78" spans="1:20" ht="32.1" customHeight="1" x14ac:dyDescent="0.2">
      <c r="A78" s="361" t="s">
        <v>7</v>
      </c>
      <c r="B78" s="385" t="s">
        <v>843</v>
      </c>
      <c r="C78" s="385" t="s">
        <v>844</v>
      </c>
      <c r="D78" s="409">
        <v>34</v>
      </c>
      <c r="E78" s="47"/>
      <c r="F78" s="47"/>
      <c r="G78" s="47">
        <v>97.9</v>
      </c>
      <c r="H78" s="47"/>
      <c r="I78" s="47"/>
      <c r="J78" s="47">
        <v>98</v>
      </c>
      <c r="K78" s="47"/>
      <c r="L78" s="47"/>
      <c r="M78" s="47"/>
      <c r="N78" s="47"/>
      <c r="O78" s="47"/>
      <c r="P78" s="47"/>
      <c r="Q78" s="47">
        <f t="shared" si="5"/>
        <v>97.95</v>
      </c>
      <c r="R78" s="375" t="str">
        <f t="shared" si="6"/>
        <v>NO</v>
      </c>
      <c r="S78" s="442" t="str">
        <f t="shared" si="7"/>
        <v>Inviable Sanitariamente</v>
      </c>
      <c r="T78" s="2"/>
    </row>
    <row r="79" spans="1:20" ht="32.1" customHeight="1" x14ac:dyDescent="0.2">
      <c r="A79" s="361" t="s">
        <v>7</v>
      </c>
      <c r="B79" s="445" t="s">
        <v>845</v>
      </c>
      <c r="C79" s="445" t="s">
        <v>846</v>
      </c>
      <c r="D79" s="409">
        <v>44</v>
      </c>
      <c r="E79" s="47"/>
      <c r="F79" s="47"/>
      <c r="G79" s="47">
        <v>97.9</v>
      </c>
      <c r="H79" s="47"/>
      <c r="I79" s="47"/>
      <c r="J79" s="47"/>
      <c r="K79" s="47"/>
      <c r="L79" s="47">
        <v>76.900000000000006</v>
      </c>
      <c r="M79" s="47"/>
      <c r="N79" s="47"/>
      <c r="O79" s="47"/>
      <c r="P79" s="47"/>
      <c r="Q79" s="47">
        <f t="shared" si="5"/>
        <v>87.4</v>
      </c>
      <c r="R79" s="375" t="str">
        <f t="shared" si="6"/>
        <v>NO</v>
      </c>
      <c r="S79" s="442" t="str">
        <f t="shared" si="7"/>
        <v>Inviable Sanitariamente</v>
      </c>
      <c r="T79" s="2"/>
    </row>
    <row r="80" spans="1:20" ht="32.1" customHeight="1" x14ac:dyDescent="0.2">
      <c r="A80" s="361" t="s">
        <v>7</v>
      </c>
      <c r="B80" s="385" t="s">
        <v>847</v>
      </c>
      <c r="C80" s="385" t="s">
        <v>848</v>
      </c>
      <c r="D80" s="409">
        <v>6</v>
      </c>
      <c r="E80" s="47"/>
      <c r="F80" s="47">
        <v>0</v>
      </c>
      <c r="G80" s="47"/>
      <c r="H80" s="47">
        <v>41.9</v>
      </c>
      <c r="I80" s="47"/>
      <c r="J80" s="47"/>
      <c r="K80" s="47">
        <v>76.900000000000006</v>
      </c>
      <c r="L80" s="47"/>
      <c r="M80" s="47"/>
      <c r="N80" s="47"/>
      <c r="O80" s="47">
        <v>0</v>
      </c>
      <c r="P80" s="47"/>
      <c r="Q80" s="47">
        <f t="shared" si="5"/>
        <v>29.700000000000003</v>
      </c>
      <c r="R80" s="375" t="str">
        <f t="shared" si="6"/>
        <v>NO</v>
      </c>
      <c r="S80" s="442" t="str">
        <f t="shared" si="7"/>
        <v>Medio</v>
      </c>
      <c r="T80" s="2"/>
    </row>
    <row r="81" spans="1:20" ht="32.1" customHeight="1" x14ac:dyDescent="0.2">
      <c r="A81" s="361" t="s">
        <v>7</v>
      </c>
      <c r="B81" s="385" t="s">
        <v>849</v>
      </c>
      <c r="C81" s="385" t="s">
        <v>850</v>
      </c>
      <c r="D81" s="409">
        <v>269</v>
      </c>
      <c r="E81" s="47"/>
      <c r="F81" s="47"/>
      <c r="G81" s="47">
        <v>21</v>
      </c>
      <c r="H81" s="47"/>
      <c r="I81" s="47">
        <v>0</v>
      </c>
      <c r="J81" s="47">
        <v>20.9</v>
      </c>
      <c r="K81" s="47"/>
      <c r="L81" s="47"/>
      <c r="M81" s="47"/>
      <c r="N81" s="47"/>
      <c r="O81" s="47"/>
      <c r="P81" s="47"/>
      <c r="Q81" s="47">
        <f t="shared" si="5"/>
        <v>13.966666666666667</v>
      </c>
      <c r="R81" s="375" t="str">
        <f t="shared" si="6"/>
        <v>NO</v>
      </c>
      <c r="S81" s="442" t="str">
        <f t="shared" si="7"/>
        <v>Bajo</v>
      </c>
      <c r="T81" s="2"/>
    </row>
    <row r="82" spans="1:20" ht="32.1" customHeight="1" x14ac:dyDescent="0.2">
      <c r="A82" s="361" t="s">
        <v>7</v>
      </c>
      <c r="B82" s="385" t="s">
        <v>851</v>
      </c>
      <c r="C82" s="385" t="s">
        <v>852</v>
      </c>
      <c r="D82" s="364">
        <v>175</v>
      </c>
      <c r="E82" s="47">
        <v>0</v>
      </c>
      <c r="F82" s="47"/>
      <c r="G82" s="47"/>
      <c r="H82" s="47"/>
      <c r="I82" s="47">
        <v>0</v>
      </c>
      <c r="J82" s="47"/>
      <c r="K82" s="47"/>
      <c r="L82" s="47"/>
      <c r="M82" s="47"/>
      <c r="N82" s="47"/>
      <c r="O82" s="47"/>
      <c r="P82" s="47">
        <v>20.97</v>
      </c>
      <c r="Q82" s="47">
        <f t="shared" si="5"/>
        <v>6.9899999999999993</v>
      </c>
      <c r="R82" s="375" t="str">
        <f t="shared" si="6"/>
        <v>NO</v>
      </c>
      <c r="S82" s="442" t="str">
        <f t="shared" si="7"/>
        <v>Bajo</v>
      </c>
      <c r="T82" s="2"/>
    </row>
    <row r="83" spans="1:20" ht="32.1" customHeight="1" x14ac:dyDescent="0.2">
      <c r="A83" s="361" t="s">
        <v>199</v>
      </c>
      <c r="B83" s="361" t="s">
        <v>853</v>
      </c>
      <c r="C83" s="385" t="s">
        <v>854</v>
      </c>
      <c r="D83" s="364">
        <v>480</v>
      </c>
      <c r="E83" s="47"/>
      <c r="F83" s="47">
        <v>97.3</v>
      </c>
      <c r="G83" s="47"/>
      <c r="H83" s="47"/>
      <c r="I83" s="47"/>
      <c r="J83" s="47">
        <v>97.3</v>
      </c>
      <c r="K83" s="47"/>
      <c r="L83" s="47"/>
      <c r="M83" s="47">
        <v>26.55</v>
      </c>
      <c r="N83" s="47"/>
      <c r="O83" s="47">
        <v>26.55</v>
      </c>
      <c r="P83" s="47">
        <v>26.55</v>
      </c>
      <c r="Q83" s="47">
        <f t="shared" si="5"/>
        <v>54.85</v>
      </c>
      <c r="R83" s="375" t="str">
        <f t="shared" si="6"/>
        <v>NO</v>
      </c>
      <c r="S83" s="442" t="str">
        <f t="shared" si="7"/>
        <v>Alto</v>
      </c>
      <c r="T83" s="2"/>
    </row>
    <row r="84" spans="1:20" ht="32.1" customHeight="1" x14ac:dyDescent="0.2">
      <c r="A84" s="361" t="s">
        <v>199</v>
      </c>
      <c r="B84" s="385" t="s">
        <v>855</v>
      </c>
      <c r="C84" s="385" t="s">
        <v>856</v>
      </c>
      <c r="D84" s="364">
        <v>88</v>
      </c>
      <c r="E84" s="47">
        <v>97.3</v>
      </c>
      <c r="F84" s="47"/>
      <c r="G84" s="47"/>
      <c r="H84" s="47"/>
      <c r="I84" s="47"/>
      <c r="J84" s="47"/>
      <c r="K84" s="47"/>
      <c r="L84" s="47"/>
      <c r="M84" s="47"/>
      <c r="N84" s="47"/>
      <c r="O84" s="47"/>
      <c r="P84" s="47"/>
      <c r="Q84" s="47">
        <f t="shared" si="5"/>
        <v>97.3</v>
      </c>
      <c r="R84" s="375" t="str">
        <f t="shared" si="6"/>
        <v>NO</v>
      </c>
      <c r="S84" s="442" t="str">
        <f t="shared" si="7"/>
        <v>Inviable Sanitariamente</v>
      </c>
      <c r="T84" s="2"/>
    </row>
    <row r="85" spans="1:20" ht="32.1" customHeight="1" x14ac:dyDescent="0.2">
      <c r="A85" s="361" t="s">
        <v>199</v>
      </c>
      <c r="B85" s="385" t="s">
        <v>857</v>
      </c>
      <c r="C85" s="385" t="s">
        <v>858</v>
      </c>
      <c r="D85" s="364">
        <v>140</v>
      </c>
      <c r="E85" s="47"/>
      <c r="F85" s="47"/>
      <c r="G85" s="47"/>
      <c r="H85" s="47"/>
      <c r="I85" s="47"/>
      <c r="J85" s="47"/>
      <c r="K85" s="47"/>
      <c r="L85" s="47"/>
      <c r="M85" s="47"/>
      <c r="N85" s="47"/>
      <c r="O85" s="47"/>
      <c r="P85" s="47">
        <v>97.3</v>
      </c>
      <c r="Q85" s="47">
        <f t="shared" si="5"/>
        <v>97.3</v>
      </c>
      <c r="R85" s="375" t="str">
        <f t="shared" si="6"/>
        <v>NO</v>
      </c>
      <c r="S85" s="442" t="str">
        <f t="shared" si="7"/>
        <v>Inviable Sanitariamente</v>
      </c>
      <c r="T85" s="2"/>
    </row>
    <row r="86" spans="1:20" ht="32.1" customHeight="1" x14ac:dyDescent="0.2">
      <c r="A86" s="361" t="s">
        <v>199</v>
      </c>
      <c r="B86" s="385" t="s">
        <v>859</v>
      </c>
      <c r="C86" s="385" t="s">
        <v>860</v>
      </c>
      <c r="D86" s="364">
        <v>2500</v>
      </c>
      <c r="E86" s="47">
        <v>0</v>
      </c>
      <c r="F86" s="47">
        <v>0</v>
      </c>
      <c r="G86" s="47">
        <v>0</v>
      </c>
      <c r="H86" s="47">
        <v>32.4</v>
      </c>
      <c r="I86" s="47">
        <v>0.88</v>
      </c>
      <c r="J86" s="47">
        <v>1.24</v>
      </c>
      <c r="K86" s="47"/>
      <c r="L86" s="47"/>
      <c r="M86" s="47"/>
      <c r="N86" s="47">
        <v>0</v>
      </c>
      <c r="O86" s="47">
        <v>0</v>
      </c>
      <c r="P86" s="47"/>
      <c r="Q86" s="47">
        <f t="shared" si="5"/>
        <v>4.3150000000000004</v>
      </c>
      <c r="R86" s="375" t="str">
        <f t="shared" si="6"/>
        <v>SI</v>
      </c>
      <c r="S86" s="442" t="str">
        <f t="shared" si="7"/>
        <v>Sin Riesgo</v>
      </c>
      <c r="T86" s="2"/>
    </row>
    <row r="87" spans="1:20" ht="32.1" customHeight="1" x14ac:dyDescent="0.2">
      <c r="A87" s="361" t="s">
        <v>199</v>
      </c>
      <c r="B87" s="385" t="s">
        <v>861</v>
      </c>
      <c r="C87" s="385" t="s">
        <v>862</v>
      </c>
      <c r="D87" s="364">
        <v>35</v>
      </c>
      <c r="E87" s="47"/>
      <c r="F87" s="47"/>
      <c r="G87" s="47"/>
      <c r="H87" s="47"/>
      <c r="I87" s="47"/>
      <c r="J87" s="47">
        <v>97</v>
      </c>
      <c r="K87" s="47"/>
      <c r="L87" s="47"/>
      <c r="M87" s="47"/>
      <c r="N87" s="47"/>
      <c r="O87" s="47"/>
      <c r="P87" s="47"/>
      <c r="Q87" s="47">
        <f t="shared" si="5"/>
        <v>97</v>
      </c>
      <c r="R87" s="375" t="str">
        <f t="shared" si="6"/>
        <v>NO</v>
      </c>
      <c r="S87" s="442" t="str">
        <f t="shared" si="7"/>
        <v>Inviable Sanitariamente</v>
      </c>
      <c r="T87" s="2"/>
    </row>
    <row r="88" spans="1:20" ht="32.1" customHeight="1" x14ac:dyDescent="0.2">
      <c r="A88" s="361" t="s">
        <v>199</v>
      </c>
      <c r="B88" s="385" t="s">
        <v>863</v>
      </c>
      <c r="C88" s="385" t="s">
        <v>864</v>
      </c>
      <c r="D88" s="364">
        <v>40</v>
      </c>
      <c r="E88" s="47"/>
      <c r="F88" s="47"/>
      <c r="G88" s="47"/>
      <c r="H88" s="47"/>
      <c r="I88" s="47"/>
      <c r="J88" s="47"/>
      <c r="K88" s="47"/>
      <c r="L88" s="47"/>
      <c r="M88" s="47"/>
      <c r="N88" s="47"/>
      <c r="O88" s="47"/>
      <c r="P88" s="47">
        <v>97.3</v>
      </c>
      <c r="Q88" s="47">
        <f t="shared" si="5"/>
        <v>97.3</v>
      </c>
      <c r="R88" s="375" t="str">
        <f t="shared" si="6"/>
        <v>NO</v>
      </c>
      <c r="S88" s="442" t="str">
        <f t="shared" si="7"/>
        <v>Inviable Sanitariamente</v>
      </c>
      <c r="T88" s="2"/>
    </row>
    <row r="89" spans="1:20" ht="32.1" customHeight="1" x14ac:dyDescent="0.2">
      <c r="A89" s="361" t="s">
        <v>199</v>
      </c>
      <c r="B89" s="385" t="s">
        <v>865</v>
      </c>
      <c r="C89" s="385" t="s">
        <v>866</v>
      </c>
      <c r="D89" s="364">
        <v>133</v>
      </c>
      <c r="E89" s="47"/>
      <c r="F89" s="47"/>
      <c r="G89" s="47"/>
      <c r="H89" s="47"/>
      <c r="I89" s="47"/>
      <c r="J89" s="47"/>
      <c r="K89" s="47"/>
      <c r="L89" s="47"/>
      <c r="M89" s="47"/>
      <c r="N89" s="47"/>
      <c r="O89" s="47"/>
      <c r="P89" s="47">
        <v>97.3</v>
      </c>
      <c r="Q89" s="47">
        <f t="shared" si="5"/>
        <v>97.3</v>
      </c>
      <c r="R89" s="375" t="str">
        <f t="shared" si="6"/>
        <v>NO</v>
      </c>
      <c r="S89" s="442" t="str">
        <f t="shared" si="7"/>
        <v>Inviable Sanitariamente</v>
      </c>
      <c r="T89" s="2"/>
    </row>
    <row r="90" spans="1:20" ht="32.1" customHeight="1" x14ac:dyDescent="0.2">
      <c r="A90" s="361" t="s">
        <v>199</v>
      </c>
      <c r="B90" s="385" t="s">
        <v>867</v>
      </c>
      <c r="C90" s="385" t="s">
        <v>868</v>
      </c>
      <c r="D90" s="364"/>
      <c r="E90" s="47"/>
      <c r="F90" s="47"/>
      <c r="G90" s="47"/>
      <c r="H90" s="47"/>
      <c r="I90" s="47"/>
      <c r="J90" s="47"/>
      <c r="K90" s="47"/>
      <c r="L90" s="47"/>
      <c r="M90" s="47"/>
      <c r="N90" s="47"/>
      <c r="O90" s="47"/>
      <c r="P90" s="47"/>
      <c r="Q90" s="47" t="e">
        <f t="shared" si="5"/>
        <v>#DIV/0!</v>
      </c>
      <c r="R90" s="375" t="e">
        <f t="shared" si="6"/>
        <v>#DIV/0!</v>
      </c>
      <c r="S90" s="442" t="e">
        <f t="shared" si="7"/>
        <v>#DIV/0!</v>
      </c>
      <c r="T90" s="2"/>
    </row>
    <row r="91" spans="1:20" ht="32.1" customHeight="1" x14ac:dyDescent="0.2">
      <c r="A91" s="361" t="s">
        <v>199</v>
      </c>
      <c r="B91" s="385" t="s">
        <v>576</v>
      </c>
      <c r="C91" s="445" t="s">
        <v>869</v>
      </c>
      <c r="D91" s="364">
        <v>115</v>
      </c>
      <c r="E91" s="47"/>
      <c r="F91" s="47"/>
      <c r="G91" s="47"/>
      <c r="H91" s="47"/>
      <c r="I91" s="47"/>
      <c r="J91" s="47"/>
      <c r="K91" s="47"/>
      <c r="L91" s="47"/>
      <c r="M91" s="47">
        <v>0</v>
      </c>
      <c r="N91" s="47">
        <v>0</v>
      </c>
      <c r="O91" s="47">
        <v>0</v>
      </c>
      <c r="P91" s="47">
        <v>0</v>
      </c>
      <c r="Q91" s="47">
        <f t="shared" si="5"/>
        <v>0</v>
      </c>
      <c r="R91" s="375" t="str">
        <f t="shared" si="6"/>
        <v>SI</v>
      </c>
      <c r="S91" s="442" t="str">
        <f t="shared" si="7"/>
        <v>Sin Riesgo</v>
      </c>
      <c r="T91" s="2"/>
    </row>
    <row r="92" spans="1:20" ht="32.1" customHeight="1" x14ac:dyDescent="0.2">
      <c r="A92" s="361" t="s">
        <v>199</v>
      </c>
      <c r="B92" s="385" t="s">
        <v>870</v>
      </c>
      <c r="C92" s="445" t="s">
        <v>871</v>
      </c>
      <c r="D92" s="364">
        <v>80</v>
      </c>
      <c r="E92" s="47"/>
      <c r="F92" s="47"/>
      <c r="G92" s="47"/>
      <c r="H92" s="47"/>
      <c r="I92" s="47"/>
      <c r="J92" s="47">
        <v>97.3</v>
      </c>
      <c r="K92" s="47"/>
      <c r="L92" s="47"/>
      <c r="M92" s="47"/>
      <c r="N92" s="47"/>
      <c r="O92" s="47"/>
      <c r="P92" s="47">
        <v>97.3</v>
      </c>
      <c r="Q92" s="47">
        <f t="shared" si="5"/>
        <v>97.3</v>
      </c>
      <c r="R92" s="375" t="str">
        <f t="shared" si="6"/>
        <v>NO</v>
      </c>
      <c r="S92" s="442" t="str">
        <f t="shared" si="7"/>
        <v>Inviable Sanitariamente</v>
      </c>
      <c r="T92" s="2"/>
    </row>
    <row r="93" spans="1:20" ht="32.1" customHeight="1" x14ac:dyDescent="0.2">
      <c r="A93" s="361" t="s">
        <v>199</v>
      </c>
      <c r="B93" s="385" t="s">
        <v>872</v>
      </c>
      <c r="C93" s="445" t="s">
        <v>873</v>
      </c>
      <c r="D93" s="364">
        <v>60</v>
      </c>
      <c r="E93" s="47"/>
      <c r="F93" s="47"/>
      <c r="G93" s="47"/>
      <c r="H93" s="47"/>
      <c r="I93" s="47"/>
      <c r="J93" s="47">
        <v>97.3</v>
      </c>
      <c r="K93" s="47"/>
      <c r="L93" s="47"/>
      <c r="M93" s="47"/>
      <c r="N93" s="47"/>
      <c r="O93" s="47"/>
      <c r="P93" s="47">
        <v>97.3</v>
      </c>
      <c r="Q93" s="47">
        <f t="shared" si="5"/>
        <v>97.3</v>
      </c>
      <c r="R93" s="375" t="str">
        <f t="shared" si="6"/>
        <v>NO</v>
      </c>
      <c r="S93" s="442" t="str">
        <f t="shared" si="7"/>
        <v>Inviable Sanitariamente</v>
      </c>
      <c r="T93" s="2"/>
    </row>
    <row r="94" spans="1:20" ht="32.1" customHeight="1" x14ac:dyDescent="0.2">
      <c r="A94" s="361" t="s">
        <v>199</v>
      </c>
      <c r="B94" s="361" t="s">
        <v>4249</v>
      </c>
      <c r="C94" s="406" t="s">
        <v>4250</v>
      </c>
      <c r="D94" s="364">
        <v>90</v>
      </c>
      <c r="E94" s="47"/>
      <c r="F94" s="47"/>
      <c r="G94" s="47"/>
      <c r="H94" s="47"/>
      <c r="I94" s="47">
        <v>97.3</v>
      </c>
      <c r="J94" s="47"/>
      <c r="K94" s="47"/>
      <c r="L94" s="47"/>
      <c r="M94" s="47"/>
      <c r="N94" s="47"/>
      <c r="O94" s="47"/>
      <c r="P94" s="47"/>
      <c r="Q94" s="47">
        <f t="shared" si="5"/>
        <v>97.3</v>
      </c>
      <c r="R94" s="375" t="str">
        <f t="shared" si="6"/>
        <v>NO</v>
      </c>
      <c r="S94" s="442" t="str">
        <f t="shared" si="7"/>
        <v>Inviable Sanitariamente</v>
      </c>
      <c r="T94" s="2"/>
    </row>
    <row r="95" spans="1:20" s="12" customFormat="1" ht="32.1" customHeight="1" x14ac:dyDescent="0.2">
      <c r="A95" s="361" t="s">
        <v>3950</v>
      </c>
      <c r="B95" s="385" t="s">
        <v>874</v>
      </c>
      <c r="C95" s="385" t="s">
        <v>875</v>
      </c>
      <c r="D95" s="364">
        <v>79</v>
      </c>
      <c r="E95" s="47"/>
      <c r="F95" s="47"/>
      <c r="G95" s="47"/>
      <c r="H95" s="47"/>
      <c r="I95" s="47"/>
      <c r="J95" s="47">
        <v>53</v>
      </c>
      <c r="K95" s="47"/>
      <c r="L95" s="47"/>
      <c r="M95" s="47"/>
      <c r="N95" s="47"/>
      <c r="O95" s="47"/>
      <c r="P95" s="47"/>
      <c r="Q95" s="47">
        <f t="shared" ref="Q95:Q123" si="8">AVERAGE(E95:P95)</f>
        <v>53</v>
      </c>
      <c r="R95" s="375" t="str">
        <f t="shared" ref="R95:R123" si="9">IF(Q95&lt;5,"SI","NO")</f>
        <v>NO</v>
      </c>
      <c r="S95" s="442" t="str">
        <f t="shared" si="7"/>
        <v>Alto</v>
      </c>
      <c r="T95" s="1"/>
    </row>
    <row r="96" spans="1:20" s="12" customFormat="1" ht="32.1" customHeight="1" x14ac:dyDescent="0.2">
      <c r="A96" s="361" t="s">
        <v>3950</v>
      </c>
      <c r="B96" s="385" t="s">
        <v>876</v>
      </c>
      <c r="C96" s="385" t="s">
        <v>877</v>
      </c>
      <c r="D96" s="364">
        <v>60</v>
      </c>
      <c r="E96" s="47"/>
      <c r="F96" s="47"/>
      <c r="G96" s="47"/>
      <c r="H96" s="47"/>
      <c r="I96" s="47"/>
      <c r="J96" s="47">
        <v>53</v>
      </c>
      <c r="K96" s="47"/>
      <c r="L96" s="47"/>
      <c r="M96" s="47"/>
      <c r="N96" s="47"/>
      <c r="O96" s="47"/>
      <c r="P96" s="47"/>
      <c r="Q96" s="47">
        <f t="shared" si="8"/>
        <v>53</v>
      </c>
      <c r="R96" s="375" t="str">
        <f t="shared" si="9"/>
        <v>NO</v>
      </c>
      <c r="S96" s="442" t="str">
        <f t="shared" si="7"/>
        <v>Alto</v>
      </c>
      <c r="T96" s="1"/>
    </row>
    <row r="97" spans="1:20" s="12" customFormat="1" ht="32.1" customHeight="1" x14ac:dyDescent="0.2">
      <c r="A97" s="361" t="s">
        <v>3950</v>
      </c>
      <c r="B97" s="385" t="s">
        <v>878</v>
      </c>
      <c r="C97" s="385" t="s">
        <v>879</v>
      </c>
      <c r="D97" s="364">
        <v>87</v>
      </c>
      <c r="E97" s="47"/>
      <c r="F97" s="47"/>
      <c r="G97" s="47"/>
      <c r="H97" s="47"/>
      <c r="I97" s="47"/>
      <c r="J97" s="47">
        <v>53</v>
      </c>
      <c r="K97" s="47"/>
      <c r="L97" s="47"/>
      <c r="M97" s="47"/>
      <c r="N97" s="47"/>
      <c r="O97" s="47"/>
      <c r="P97" s="47"/>
      <c r="Q97" s="47">
        <f t="shared" si="8"/>
        <v>53</v>
      </c>
      <c r="R97" s="375" t="str">
        <f t="shared" si="9"/>
        <v>NO</v>
      </c>
      <c r="S97" s="442" t="str">
        <f t="shared" si="7"/>
        <v>Alto</v>
      </c>
      <c r="T97" s="1"/>
    </row>
    <row r="98" spans="1:20" s="12" customFormat="1" ht="32.1" customHeight="1" x14ac:dyDescent="0.2">
      <c r="A98" s="361" t="s">
        <v>3950</v>
      </c>
      <c r="B98" s="385" t="s">
        <v>880</v>
      </c>
      <c r="C98" s="385" t="s">
        <v>881</v>
      </c>
      <c r="D98" s="364">
        <v>286</v>
      </c>
      <c r="E98" s="47"/>
      <c r="F98" s="47"/>
      <c r="G98" s="47"/>
      <c r="H98" s="47"/>
      <c r="I98" s="47"/>
      <c r="J98" s="47">
        <v>0</v>
      </c>
      <c r="K98" s="47"/>
      <c r="L98" s="47"/>
      <c r="M98" s="47"/>
      <c r="N98" s="47"/>
      <c r="O98" s="47">
        <v>0</v>
      </c>
      <c r="P98" s="47"/>
      <c r="Q98" s="47">
        <f t="shared" si="8"/>
        <v>0</v>
      </c>
      <c r="R98" s="375" t="str">
        <f t="shared" si="9"/>
        <v>SI</v>
      </c>
      <c r="S98" s="442" t="str">
        <f t="shared" si="7"/>
        <v>Sin Riesgo</v>
      </c>
      <c r="T98" s="1"/>
    </row>
    <row r="99" spans="1:20" s="101" customFormat="1" ht="32.1" customHeight="1" x14ac:dyDescent="0.2">
      <c r="A99" s="361" t="s">
        <v>3951</v>
      </c>
      <c r="B99" s="361" t="s">
        <v>882</v>
      </c>
      <c r="C99" s="406" t="s">
        <v>883</v>
      </c>
      <c r="D99" s="473">
        <v>60</v>
      </c>
      <c r="E99" s="47"/>
      <c r="F99" s="47"/>
      <c r="G99" s="47"/>
      <c r="H99" s="47"/>
      <c r="I99" s="47"/>
      <c r="J99" s="47"/>
      <c r="K99" s="47"/>
      <c r="L99" s="47"/>
      <c r="M99" s="47">
        <v>90</v>
      </c>
      <c r="N99" s="47"/>
      <c r="O99" s="47"/>
      <c r="P99" s="47"/>
      <c r="Q99" s="47">
        <f t="shared" si="8"/>
        <v>90</v>
      </c>
      <c r="R99" s="375" t="str">
        <f t="shared" si="9"/>
        <v>NO</v>
      </c>
      <c r="S99" s="442" t="str">
        <f t="shared" si="7"/>
        <v>Inviable Sanitariamente</v>
      </c>
      <c r="T99" s="113"/>
    </row>
    <row r="100" spans="1:20" s="101" customFormat="1" ht="32.1" customHeight="1" x14ac:dyDescent="0.2">
      <c r="A100" s="361" t="s">
        <v>3951</v>
      </c>
      <c r="B100" s="361" t="s">
        <v>884</v>
      </c>
      <c r="C100" s="361" t="s">
        <v>885</v>
      </c>
      <c r="D100" s="473">
        <v>30</v>
      </c>
      <c r="E100" s="47"/>
      <c r="F100" s="47"/>
      <c r="G100" s="47"/>
      <c r="H100" s="47"/>
      <c r="I100" s="47"/>
      <c r="J100" s="47"/>
      <c r="K100" s="47"/>
      <c r="L100" s="47">
        <v>88.8</v>
      </c>
      <c r="M100" s="47"/>
      <c r="N100" s="47"/>
      <c r="O100" s="47"/>
      <c r="P100" s="47"/>
      <c r="Q100" s="47">
        <f t="shared" si="8"/>
        <v>88.8</v>
      </c>
      <c r="R100" s="375" t="str">
        <f t="shared" si="9"/>
        <v>NO</v>
      </c>
      <c r="S100" s="442" t="str">
        <f t="shared" si="7"/>
        <v>Inviable Sanitariamente</v>
      </c>
      <c r="T100" s="113"/>
    </row>
    <row r="101" spans="1:20" s="101" customFormat="1" ht="32.1" customHeight="1" x14ac:dyDescent="0.2">
      <c r="A101" s="361" t="s">
        <v>3951</v>
      </c>
      <c r="B101" s="361" t="s">
        <v>886</v>
      </c>
      <c r="C101" s="361" t="s">
        <v>887</v>
      </c>
      <c r="D101" s="473">
        <v>20</v>
      </c>
      <c r="E101" s="47"/>
      <c r="F101" s="47"/>
      <c r="G101" s="47"/>
      <c r="H101" s="47"/>
      <c r="I101" s="47"/>
      <c r="J101" s="47"/>
      <c r="K101" s="47"/>
      <c r="L101" s="47"/>
      <c r="M101" s="47"/>
      <c r="N101" s="47"/>
      <c r="O101" s="47"/>
      <c r="P101" s="47">
        <v>90.9</v>
      </c>
      <c r="Q101" s="47">
        <f t="shared" si="8"/>
        <v>90.9</v>
      </c>
      <c r="R101" s="375" t="str">
        <f t="shared" si="9"/>
        <v>NO</v>
      </c>
      <c r="S101" s="442" t="str">
        <f t="shared" si="7"/>
        <v>Inviable Sanitariamente</v>
      </c>
      <c r="T101" s="113"/>
    </row>
    <row r="102" spans="1:20" s="101" customFormat="1" ht="32.1" customHeight="1" x14ac:dyDescent="0.2">
      <c r="A102" s="361" t="s">
        <v>3951</v>
      </c>
      <c r="B102" s="361" t="s">
        <v>888</v>
      </c>
      <c r="C102" s="361" t="s">
        <v>889</v>
      </c>
      <c r="D102" s="473">
        <v>20</v>
      </c>
      <c r="E102" s="47"/>
      <c r="F102" s="47"/>
      <c r="G102" s="47"/>
      <c r="H102" s="47"/>
      <c r="I102" s="47"/>
      <c r="J102" s="47"/>
      <c r="K102" s="47"/>
      <c r="L102" s="47"/>
      <c r="M102" s="47"/>
      <c r="N102" s="47"/>
      <c r="O102" s="47">
        <v>92.1</v>
      </c>
      <c r="P102" s="47"/>
      <c r="Q102" s="47">
        <f t="shared" si="8"/>
        <v>92.1</v>
      </c>
      <c r="R102" s="375" t="str">
        <f t="shared" si="9"/>
        <v>NO</v>
      </c>
      <c r="S102" s="442" t="str">
        <f t="shared" si="7"/>
        <v>Inviable Sanitariamente</v>
      </c>
      <c r="T102" s="113"/>
    </row>
    <row r="103" spans="1:20" s="101" customFormat="1" ht="32.1" customHeight="1" x14ac:dyDescent="0.2">
      <c r="A103" s="361" t="s">
        <v>3951</v>
      </c>
      <c r="B103" s="361" t="s">
        <v>890</v>
      </c>
      <c r="C103" s="361" t="s">
        <v>891</v>
      </c>
      <c r="D103" s="473">
        <v>20</v>
      </c>
      <c r="E103" s="47"/>
      <c r="F103" s="47"/>
      <c r="G103" s="47"/>
      <c r="H103" s="47"/>
      <c r="I103" s="47"/>
      <c r="J103" s="47"/>
      <c r="K103" s="47"/>
      <c r="L103" s="47"/>
      <c r="M103" s="47"/>
      <c r="N103" s="47"/>
      <c r="O103" s="47"/>
      <c r="P103" s="47">
        <v>97</v>
      </c>
      <c r="Q103" s="47">
        <f t="shared" si="8"/>
        <v>97</v>
      </c>
      <c r="R103" s="375" t="str">
        <f t="shared" si="9"/>
        <v>NO</v>
      </c>
      <c r="S103" s="442" t="str">
        <f t="shared" si="7"/>
        <v>Inviable Sanitariamente</v>
      </c>
      <c r="T103" s="113"/>
    </row>
    <row r="104" spans="1:20" s="101" customFormat="1" ht="32.1" customHeight="1" x14ac:dyDescent="0.2">
      <c r="A104" s="361" t="s">
        <v>3951</v>
      </c>
      <c r="B104" s="361" t="s">
        <v>892</v>
      </c>
      <c r="C104" s="361" t="s">
        <v>893</v>
      </c>
      <c r="D104" s="473">
        <v>30</v>
      </c>
      <c r="E104" s="47"/>
      <c r="F104" s="47"/>
      <c r="G104" s="47"/>
      <c r="H104" s="47"/>
      <c r="I104" s="47"/>
      <c r="J104" s="47"/>
      <c r="K104" s="47"/>
      <c r="L104" s="47"/>
      <c r="M104" s="47"/>
      <c r="N104" s="47">
        <v>93.3</v>
      </c>
      <c r="O104" s="47"/>
      <c r="P104" s="47"/>
      <c r="Q104" s="47">
        <f t="shared" si="8"/>
        <v>93.3</v>
      </c>
      <c r="R104" s="375" t="str">
        <f t="shared" si="9"/>
        <v>NO</v>
      </c>
      <c r="S104" s="442" t="str">
        <f t="shared" si="7"/>
        <v>Inviable Sanitariamente</v>
      </c>
      <c r="T104" s="113"/>
    </row>
    <row r="105" spans="1:20" s="101" customFormat="1" ht="32.1" customHeight="1" x14ac:dyDescent="0.2">
      <c r="A105" s="361" t="s">
        <v>3951</v>
      </c>
      <c r="B105" s="361" t="s">
        <v>777</v>
      </c>
      <c r="C105" s="361" t="s">
        <v>894</v>
      </c>
      <c r="D105" s="473">
        <v>55</v>
      </c>
      <c r="E105" s="47"/>
      <c r="F105" s="47"/>
      <c r="G105" s="47">
        <v>90</v>
      </c>
      <c r="H105" s="47"/>
      <c r="I105" s="47"/>
      <c r="J105" s="47"/>
      <c r="K105" s="47"/>
      <c r="L105" s="47"/>
      <c r="M105" s="47"/>
      <c r="N105" s="47"/>
      <c r="O105" s="47"/>
      <c r="P105" s="47"/>
      <c r="Q105" s="47">
        <f t="shared" si="8"/>
        <v>90</v>
      </c>
      <c r="R105" s="375" t="str">
        <f t="shared" si="9"/>
        <v>NO</v>
      </c>
      <c r="S105" s="442" t="str">
        <f t="shared" si="7"/>
        <v>Inviable Sanitariamente</v>
      </c>
      <c r="T105" s="113"/>
    </row>
    <row r="106" spans="1:20" s="101" customFormat="1" ht="32.1" customHeight="1" x14ac:dyDescent="0.2">
      <c r="A106" s="361" t="s">
        <v>3951</v>
      </c>
      <c r="B106" s="361" t="s">
        <v>895</v>
      </c>
      <c r="C106" s="361" t="s">
        <v>896</v>
      </c>
      <c r="D106" s="473">
        <v>60</v>
      </c>
      <c r="E106" s="47"/>
      <c r="F106" s="47"/>
      <c r="G106" s="47"/>
      <c r="H106" s="47"/>
      <c r="I106" s="47"/>
      <c r="J106" s="47"/>
      <c r="K106" s="47"/>
      <c r="L106" s="47"/>
      <c r="M106" s="47"/>
      <c r="N106" s="47"/>
      <c r="O106" s="47"/>
      <c r="P106" s="47"/>
      <c r="Q106" s="47" t="e">
        <f t="shared" si="8"/>
        <v>#DIV/0!</v>
      </c>
      <c r="R106" s="375" t="e">
        <f t="shared" si="9"/>
        <v>#DIV/0!</v>
      </c>
      <c r="S106" s="442" t="e">
        <f t="shared" si="7"/>
        <v>#DIV/0!</v>
      </c>
      <c r="T106" s="113"/>
    </row>
    <row r="107" spans="1:20" s="97" customFormat="1" ht="30" customHeight="1" x14ac:dyDescent="0.2">
      <c r="A107" s="361" t="s">
        <v>3951</v>
      </c>
      <c r="B107" s="361" t="s">
        <v>897</v>
      </c>
      <c r="C107" s="361" t="s">
        <v>898</v>
      </c>
      <c r="D107" s="473">
        <v>30</v>
      </c>
      <c r="E107" s="47"/>
      <c r="F107" s="47"/>
      <c r="G107" s="47"/>
      <c r="H107" s="47"/>
      <c r="I107" s="47"/>
      <c r="J107" s="47"/>
      <c r="K107" s="47"/>
      <c r="L107" s="47"/>
      <c r="M107" s="47"/>
      <c r="N107" s="47"/>
      <c r="O107" s="47"/>
      <c r="P107" s="47">
        <v>97.3</v>
      </c>
      <c r="Q107" s="47">
        <f t="shared" si="8"/>
        <v>97.3</v>
      </c>
      <c r="R107" s="375" t="str">
        <f t="shared" si="9"/>
        <v>NO</v>
      </c>
      <c r="S107" s="442" t="str">
        <f t="shared" si="7"/>
        <v>Inviable Sanitariamente</v>
      </c>
    </row>
    <row r="108" spans="1:20" s="97" customFormat="1" ht="30" customHeight="1" x14ac:dyDescent="0.2">
      <c r="A108" s="361" t="s">
        <v>3951</v>
      </c>
      <c r="B108" s="361" t="s">
        <v>899</v>
      </c>
      <c r="C108" s="361" t="s">
        <v>900</v>
      </c>
      <c r="D108" s="473">
        <v>53</v>
      </c>
      <c r="E108" s="47"/>
      <c r="F108" s="47"/>
      <c r="G108" s="47"/>
      <c r="H108" s="47"/>
      <c r="I108" s="47"/>
      <c r="J108" s="47"/>
      <c r="K108" s="47"/>
      <c r="L108" s="47"/>
      <c r="M108" s="47"/>
      <c r="N108" s="47"/>
      <c r="O108" s="47"/>
      <c r="P108" s="47"/>
      <c r="Q108" s="47" t="e">
        <f t="shared" si="8"/>
        <v>#DIV/0!</v>
      </c>
      <c r="R108" s="375" t="e">
        <f t="shared" si="9"/>
        <v>#DIV/0!</v>
      </c>
      <c r="S108" s="442" t="e">
        <f t="shared" si="7"/>
        <v>#DIV/0!</v>
      </c>
    </row>
    <row r="109" spans="1:20" s="97" customFormat="1" ht="30" customHeight="1" x14ac:dyDescent="0.2">
      <c r="A109" s="361" t="s">
        <v>3952</v>
      </c>
      <c r="B109" s="445" t="s">
        <v>934</v>
      </c>
      <c r="C109" s="445" t="s">
        <v>935</v>
      </c>
      <c r="D109" s="364">
        <v>264</v>
      </c>
      <c r="E109" s="47"/>
      <c r="F109" s="47"/>
      <c r="G109" s="47">
        <v>0</v>
      </c>
      <c r="H109" s="47"/>
      <c r="I109" s="47"/>
      <c r="J109" s="47"/>
      <c r="K109" s="47"/>
      <c r="L109" s="47"/>
      <c r="M109" s="47"/>
      <c r="N109" s="47"/>
      <c r="O109" s="47"/>
      <c r="P109" s="47"/>
      <c r="Q109" s="47">
        <f t="shared" si="8"/>
        <v>0</v>
      </c>
      <c r="R109" s="375" t="str">
        <f t="shared" si="9"/>
        <v>SI</v>
      </c>
      <c r="S109" s="442" t="str">
        <f t="shared" si="7"/>
        <v>Sin Riesgo</v>
      </c>
    </row>
    <row r="110" spans="1:20" s="97" customFormat="1" ht="32.1" customHeight="1" x14ac:dyDescent="0.2">
      <c r="A110" s="361" t="s">
        <v>3952</v>
      </c>
      <c r="B110" s="385" t="s">
        <v>936</v>
      </c>
      <c r="C110" s="385" t="s">
        <v>937</v>
      </c>
      <c r="D110" s="364">
        <v>181</v>
      </c>
      <c r="E110" s="47"/>
      <c r="F110" s="47"/>
      <c r="G110" s="47"/>
      <c r="H110" s="47"/>
      <c r="I110" s="47">
        <v>97.9</v>
      </c>
      <c r="J110" s="47"/>
      <c r="K110" s="47"/>
      <c r="L110" s="47"/>
      <c r="M110" s="47"/>
      <c r="N110" s="47"/>
      <c r="O110" s="47"/>
      <c r="P110" s="47"/>
      <c r="Q110" s="47">
        <f t="shared" si="8"/>
        <v>97.9</v>
      </c>
      <c r="R110" s="375" t="str">
        <f t="shared" si="9"/>
        <v>NO</v>
      </c>
      <c r="S110" s="442" t="str">
        <f t="shared" si="7"/>
        <v>Inviable Sanitariamente</v>
      </c>
    </row>
    <row r="111" spans="1:20" s="97" customFormat="1" ht="32.1" customHeight="1" x14ac:dyDescent="0.2">
      <c r="A111" s="361" t="s">
        <v>3952</v>
      </c>
      <c r="B111" s="385" t="s">
        <v>938</v>
      </c>
      <c r="C111" s="385" t="s">
        <v>939</v>
      </c>
      <c r="D111" s="364">
        <v>139</v>
      </c>
      <c r="E111" s="47"/>
      <c r="F111" s="47"/>
      <c r="G111" s="47"/>
      <c r="H111" s="47"/>
      <c r="I111" s="47">
        <v>97.9</v>
      </c>
      <c r="J111" s="47"/>
      <c r="K111" s="47"/>
      <c r="L111" s="47"/>
      <c r="M111" s="47"/>
      <c r="N111" s="47"/>
      <c r="O111" s="47"/>
      <c r="P111" s="47"/>
      <c r="Q111" s="47">
        <f t="shared" si="8"/>
        <v>97.9</v>
      </c>
      <c r="R111" s="375" t="str">
        <f t="shared" si="9"/>
        <v>NO</v>
      </c>
      <c r="S111" s="442" t="str">
        <f t="shared" si="7"/>
        <v>Inviable Sanitariamente</v>
      </c>
    </row>
    <row r="112" spans="1:20" s="13" customFormat="1" ht="32.1" customHeight="1" x14ac:dyDescent="0.2">
      <c r="A112" s="361" t="s">
        <v>3952</v>
      </c>
      <c r="B112" s="385" t="s">
        <v>940</v>
      </c>
      <c r="C112" s="385" t="s">
        <v>941</v>
      </c>
      <c r="D112" s="364">
        <v>318</v>
      </c>
      <c r="E112" s="47">
        <v>20.98</v>
      </c>
      <c r="F112" s="47"/>
      <c r="G112" s="47"/>
      <c r="H112" s="47"/>
      <c r="I112" s="47"/>
      <c r="J112" s="47"/>
      <c r="K112" s="47"/>
      <c r="L112" s="47"/>
      <c r="M112" s="47"/>
      <c r="N112" s="47"/>
      <c r="O112" s="47"/>
      <c r="P112" s="47"/>
      <c r="Q112" s="47">
        <f t="shared" si="8"/>
        <v>20.98</v>
      </c>
      <c r="R112" s="375" t="str">
        <f t="shared" si="9"/>
        <v>NO</v>
      </c>
      <c r="S112" s="442" t="str">
        <f t="shared" si="7"/>
        <v>Medio</v>
      </c>
    </row>
    <row r="113" spans="1:16384" s="97" customFormat="1" ht="32.1" customHeight="1" x14ac:dyDescent="0.2">
      <c r="A113" s="361" t="s">
        <v>3952</v>
      </c>
      <c r="B113" s="385" t="s">
        <v>942</v>
      </c>
      <c r="C113" s="385" t="s">
        <v>943</v>
      </c>
      <c r="D113" s="364">
        <v>109</v>
      </c>
      <c r="E113" s="47"/>
      <c r="F113" s="47"/>
      <c r="G113" s="47"/>
      <c r="H113" s="47"/>
      <c r="I113" s="47"/>
      <c r="J113" s="47">
        <v>97.9</v>
      </c>
      <c r="K113" s="47"/>
      <c r="L113" s="47"/>
      <c r="M113" s="47"/>
      <c r="N113" s="47"/>
      <c r="O113" s="47"/>
      <c r="P113" s="47"/>
      <c r="Q113" s="47">
        <f t="shared" si="8"/>
        <v>97.9</v>
      </c>
      <c r="R113" s="375" t="str">
        <f t="shared" si="9"/>
        <v>NO</v>
      </c>
      <c r="S113" s="442" t="str">
        <f t="shared" si="7"/>
        <v>Inviable Sanitariamente</v>
      </c>
    </row>
    <row r="114" spans="1:16384" s="97" customFormat="1" ht="32.1" customHeight="1" x14ac:dyDescent="0.2">
      <c r="A114" s="361" t="s">
        <v>3952</v>
      </c>
      <c r="B114" s="385" t="s">
        <v>240</v>
      </c>
      <c r="C114" s="385" t="s">
        <v>944</v>
      </c>
      <c r="D114" s="364">
        <v>30</v>
      </c>
      <c r="E114" s="47">
        <v>97.9</v>
      </c>
      <c r="F114" s="47"/>
      <c r="G114" s="47">
        <v>97.9</v>
      </c>
      <c r="H114" s="47"/>
      <c r="I114" s="47"/>
      <c r="J114" s="47"/>
      <c r="K114" s="47"/>
      <c r="L114" s="47"/>
      <c r="M114" s="47"/>
      <c r="N114" s="47"/>
      <c r="O114" s="47"/>
      <c r="P114" s="47"/>
      <c r="Q114" s="47">
        <f t="shared" si="8"/>
        <v>97.9</v>
      </c>
      <c r="R114" s="375" t="str">
        <f t="shared" si="9"/>
        <v>NO</v>
      </c>
      <c r="S114" s="442" t="str">
        <f t="shared" si="7"/>
        <v>Inviable Sanitariamente</v>
      </c>
    </row>
    <row r="115" spans="1:16384" s="97" customFormat="1" ht="32.1" customHeight="1" x14ac:dyDescent="0.2">
      <c r="A115" s="361" t="s">
        <v>3952</v>
      </c>
      <c r="B115" s="385" t="s">
        <v>945</v>
      </c>
      <c r="C115" s="385" t="s">
        <v>946</v>
      </c>
      <c r="D115" s="364">
        <v>30</v>
      </c>
      <c r="E115" s="47"/>
      <c r="F115" s="47"/>
      <c r="G115" s="47"/>
      <c r="H115" s="47"/>
      <c r="I115" s="47"/>
      <c r="J115" s="47">
        <v>76.92</v>
      </c>
      <c r="K115" s="47"/>
      <c r="L115" s="47"/>
      <c r="M115" s="47">
        <v>97.9</v>
      </c>
      <c r="N115" s="47"/>
      <c r="O115" s="47"/>
      <c r="P115" s="47"/>
      <c r="Q115" s="47">
        <f t="shared" si="8"/>
        <v>87.41</v>
      </c>
      <c r="R115" s="375" t="str">
        <f t="shared" si="9"/>
        <v>NO</v>
      </c>
      <c r="S115" s="442" t="str">
        <f t="shared" si="7"/>
        <v>Inviable Sanitariamente</v>
      </c>
    </row>
    <row r="116" spans="1:16384" s="97" customFormat="1" ht="32.1" customHeight="1" x14ac:dyDescent="0.2">
      <c r="A116" s="361" t="s">
        <v>3952</v>
      </c>
      <c r="B116" s="385" t="s">
        <v>947</v>
      </c>
      <c r="C116" s="385" t="s">
        <v>948</v>
      </c>
      <c r="D116" s="364">
        <v>27</v>
      </c>
      <c r="E116" s="47">
        <v>76.92</v>
      </c>
      <c r="F116" s="47"/>
      <c r="G116" s="47"/>
      <c r="H116" s="47"/>
      <c r="I116" s="47"/>
      <c r="J116" s="47">
        <v>92.11</v>
      </c>
      <c r="K116" s="47"/>
      <c r="L116" s="47"/>
      <c r="M116" s="47"/>
      <c r="N116" s="47"/>
      <c r="O116" s="47"/>
      <c r="P116" s="47"/>
      <c r="Q116" s="47">
        <f t="shared" si="8"/>
        <v>84.515000000000001</v>
      </c>
      <c r="R116" s="375" t="str">
        <f t="shared" si="9"/>
        <v>NO</v>
      </c>
      <c r="S116" s="442" t="str">
        <f t="shared" si="7"/>
        <v>Inviable Sanitariamente</v>
      </c>
    </row>
    <row r="117" spans="1:16384" s="97" customFormat="1" ht="32.1" customHeight="1" x14ac:dyDescent="0.2">
      <c r="A117" s="361" t="s">
        <v>3952</v>
      </c>
      <c r="B117" s="385" t="s">
        <v>949</v>
      </c>
      <c r="C117" s="385" t="s">
        <v>950</v>
      </c>
      <c r="D117" s="364">
        <v>74</v>
      </c>
      <c r="E117" s="47"/>
      <c r="F117" s="47"/>
      <c r="G117" s="47"/>
      <c r="H117" s="47"/>
      <c r="I117" s="47"/>
      <c r="J117" s="47">
        <v>72.37</v>
      </c>
      <c r="K117" s="47"/>
      <c r="L117" s="47"/>
      <c r="M117" s="47"/>
      <c r="N117" s="47"/>
      <c r="O117" s="47"/>
      <c r="P117" s="47"/>
      <c r="Q117" s="47">
        <f t="shared" si="8"/>
        <v>72.37</v>
      </c>
      <c r="R117" s="375" t="str">
        <f t="shared" si="9"/>
        <v>NO</v>
      </c>
      <c r="S117" s="442" t="str">
        <f t="shared" si="7"/>
        <v>Alto</v>
      </c>
    </row>
    <row r="118" spans="1:16384" s="97" customFormat="1" ht="32.1" customHeight="1" x14ac:dyDescent="0.2">
      <c r="A118" s="361" t="s">
        <v>3952</v>
      </c>
      <c r="B118" s="385" t="s">
        <v>951</v>
      </c>
      <c r="C118" s="385" t="s">
        <v>952</v>
      </c>
      <c r="D118" s="364">
        <v>215</v>
      </c>
      <c r="E118" s="47">
        <v>20.98</v>
      </c>
      <c r="F118" s="47"/>
      <c r="G118" s="47"/>
      <c r="H118" s="47"/>
      <c r="I118" s="47"/>
      <c r="J118" s="47">
        <v>0</v>
      </c>
      <c r="K118" s="47"/>
      <c r="L118" s="47"/>
      <c r="M118" s="47"/>
      <c r="N118" s="47"/>
      <c r="O118" s="47"/>
      <c r="P118" s="47"/>
      <c r="Q118" s="47">
        <f t="shared" si="8"/>
        <v>10.49</v>
      </c>
      <c r="R118" s="375" t="str">
        <f t="shared" si="9"/>
        <v>NO</v>
      </c>
      <c r="S118" s="442" t="str">
        <f t="shared" si="7"/>
        <v>Bajo</v>
      </c>
    </row>
    <row r="119" spans="1:16384" s="97" customFormat="1" ht="32.1" customHeight="1" x14ac:dyDescent="0.2">
      <c r="A119" s="361" t="s">
        <v>3952</v>
      </c>
      <c r="B119" s="385" t="s">
        <v>635</v>
      </c>
      <c r="C119" s="385" t="s">
        <v>953</v>
      </c>
      <c r="D119" s="364">
        <v>36</v>
      </c>
      <c r="E119" s="47"/>
      <c r="F119" s="47">
        <v>97.9</v>
      </c>
      <c r="G119" s="47"/>
      <c r="H119" s="47"/>
      <c r="I119" s="47"/>
      <c r="J119" s="47"/>
      <c r="K119" s="47"/>
      <c r="L119" s="47"/>
      <c r="M119" s="47"/>
      <c r="N119" s="47"/>
      <c r="O119" s="47"/>
      <c r="P119" s="47"/>
      <c r="Q119" s="47">
        <f t="shared" si="8"/>
        <v>97.9</v>
      </c>
      <c r="R119" s="375" t="str">
        <f t="shared" si="9"/>
        <v>NO</v>
      </c>
      <c r="S119" s="442" t="str">
        <f t="shared" si="7"/>
        <v>Inviable Sanitariamente</v>
      </c>
    </row>
    <row r="120" spans="1:16384" s="97" customFormat="1" ht="32.1" customHeight="1" x14ac:dyDescent="0.2">
      <c r="A120" s="361" t="s">
        <v>3952</v>
      </c>
      <c r="B120" s="385" t="s">
        <v>954</v>
      </c>
      <c r="C120" s="385" t="s">
        <v>955</v>
      </c>
      <c r="D120" s="364">
        <v>26</v>
      </c>
      <c r="E120" s="47"/>
      <c r="F120" s="47"/>
      <c r="G120" s="47"/>
      <c r="H120" s="47"/>
      <c r="I120" s="47"/>
      <c r="J120" s="47">
        <v>72.37</v>
      </c>
      <c r="K120" s="47"/>
      <c r="L120" s="47"/>
      <c r="M120" s="47"/>
      <c r="N120" s="47"/>
      <c r="O120" s="47"/>
      <c r="P120" s="47"/>
      <c r="Q120" s="47">
        <f t="shared" si="8"/>
        <v>72.37</v>
      </c>
      <c r="R120" s="375" t="str">
        <f t="shared" si="9"/>
        <v>NO</v>
      </c>
      <c r="S120" s="442" t="str">
        <f t="shared" si="7"/>
        <v>Alto</v>
      </c>
    </row>
    <row r="121" spans="1:16384" s="97" customFormat="1" ht="32.1" customHeight="1" x14ac:dyDescent="0.2">
      <c r="A121" s="361" t="s">
        <v>3952</v>
      </c>
      <c r="B121" s="385" t="s">
        <v>651</v>
      </c>
      <c r="C121" s="385" t="s">
        <v>956</v>
      </c>
      <c r="D121" s="364">
        <v>15</v>
      </c>
      <c r="E121" s="47"/>
      <c r="F121" s="47"/>
      <c r="G121" s="47"/>
      <c r="H121" s="47"/>
      <c r="I121" s="47"/>
      <c r="J121" s="47"/>
      <c r="K121" s="47"/>
      <c r="L121" s="47"/>
      <c r="M121" s="47"/>
      <c r="N121" s="47"/>
      <c r="O121" s="47"/>
      <c r="P121" s="47">
        <v>97.9</v>
      </c>
      <c r="Q121" s="47">
        <f t="shared" si="8"/>
        <v>97.9</v>
      </c>
      <c r="R121" s="375" t="str">
        <f t="shared" si="9"/>
        <v>NO</v>
      </c>
      <c r="S121" s="442" t="str">
        <f t="shared" si="7"/>
        <v>Inviable Sanitariamente</v>
      </c>
    </row>
    <row r="122" spans="1:16384" s="97" customFormat="1" ht="32.1" customHeight="1" x14ac:dyDescent="0.2">
      <c r="A122" s="361" t="s">
        <v>3952</v>
      </c>
      <c r="B122" s="385" t="s">
        <v>957</v>
      </c>
      <c r="C122" s="385" t="s">
        <v>958</v>
      </c>
      <c r="D122" s="364">
        <v>35</v>
      </c>
      <c r="E122" s="47">
        <v>0</v>
      </c>
      <c r="F122" s="47"/>
      <c r="G122" s="47"/>
      <c r="H122" s="47"/>
      <c r="I122" s="47"/>
      <c r="J122" s="47">
        <v>0</v>
      </c>
      <c r="K122" s="47"/>
      <c r="L122" s="47"/>
      <c r="M122" s="47"/>
      <c r="N122" s="47"/>
      <c r="O122" s="47"/>
      <c r="P122" s="47"/>
      <c r="Q122" s="47">
        <f>AVERAGE(E122:P122)</f>
        <v>0</v>
      </c>
      <c r="R122" s="375" t="str">
        <f>IF(Q122&lt;5,"SI","NO")</f>
        <v>SI</v>
      </c>
      <c r="S122" s="442" t="str">
        <f>IF(Q122&lt;5,"Sin Riesgo",IF(Q122 &lt;=14,"Bajo",IF(Q122&lt;=35,"Medio",IF(Q122&lt;=80,"Alto","Inviable Sanitariamente"))))</f>
        <v>Sin Riesgo</v>
      </c>
    </row>
    <row r="123" spans="1:16384" s="97" customFormat="1" ht="32.1" customHeight="1" x14ac:dyDescent="0.2">
      <c r="A123" s="361" t="s">
        <v>3952</v>
      </c>
      <c r="B123" s="385" t="s">
        <v>4251</v>
      </c>
      <c r="C123" s="385" t="s">
        <v>4252</v>
      </c>
      <c r="D123" s="364">
        <v>35</v>
      </c>
      <c r="E123" s="47"/>
      <c r="F123" s="47"/>
      <c r="G123" s="47"/>
      <c r="H123" s="47"/>
      <c r="I123" s="47"/>
      <c r="J123" s="47">
        <v>20.9</v>
      </c>
      <c r="K123" s="47"/>
      <c r="L123" s="47"/>
      <c r="M123" s="47">
        <v>21</v>
      </c>
      <c r="N123" s="47"/>
      <c r="O123" s="47"/>
      <c r="P123" s="47"/>
      <c r="Q123" s="47">
        <f t="shared" si="8"/>
        <v>20.95</v>
      </c>
      <c r="R123" s="375" t="str">
        <f t="shared" si="9"/>
        <v>NO</v>
      </c>
      <c r="S123" s="442" t="str">
        <f t="shared" si="7"/>
        <v>Medio</v>
      </c>
    </row>
    <row r="124" spans="1:16384" s="97" customFormat="1" ht="32.1" customHeight="1" x14ac:dyDescent="0.2">
      <c r="A124" s="108"/>
      <c r="B124" s="248"/>
      <c r="C124" s="248"/>
      <c r="D124" s="243"/>
      <c r="E124" s="244"/>
      <c r="F124" s="244"/>
      <c r="G124" s="244"/>
      <c r="H124" s="244"/>
      <c r="I124" s="244"/>
      <c r="J124" s="244"/>
      <c r="K124" s="244"/>
      <c r="L124" s="244"/>
      <c r="M124" s="244"/>
      <c r="N124" s="244"/>
      <c r="O124" s="244"/>
      <c r="P124" s="244"/>
      <c r="Q124" s="244"/>
      <c r="R124" s="137"/>
      <c r="S124" s="138"/>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c r="CO124" s="244"/>
      <c r="CP124" s="244"/>
      <c r="CQ124" s="244"/>
      <c r="CR124" s="244"/>
      <c r="CS124" s="244"/>
      <c r="CT124" s="244"/>
      <c r="CU124" s="244"/>
      <c r="CV124" s="244"/>
      <c r="CW124" s="244"/>
      <c r="CX124" s="244"/>
      <c r="CY124" s="244"/>
      <c r="CZ124" s="244"/>
      <c r="DA124" s="244"/>
      <c r="DB124" s="244"/>
      <c r="DC124" s="244"/>
      <c r="DD124" s="244"/>
      <c r="DE124" s="244"/>
      <c r="DF124" s="244"/>
      <c r="DG124" s="244"/>
      <c r="DH124" s="244"/>
      <c r="DI124" s="244"/>
      <c r="DJ124" s="244"/>
      <c r="DK124" s="244"/>
      <c r="DL124" s="244"/>
      <c r="DM124" s="244"/>
      <c r="DN124" s="244"/>
      <c r="DO124" s="244"/>
      <c r="DP124" s="244"/>
      <c r="DQ124" s="244"/>
      <c r="DR124" s="244"/>
      <c r="DS124" s="244"/>
      <c r="DT124" s="244"/>
      <c r="DU124" s="244"/>
      <c r="DV124" s="244"/>
      <c r="DW124" s="244"/>
      <c r="DX124" s="244"/>
      <c r="DY124" s="244"/>
      <c r="DZ124" s="244"/>
      <c r="EA124" s="244"/>
      <c r="EB124" s="244"/>
      <c r="EC124" s="244"/>
      <c r="ED124" s="244"/>
      <c r="EE124" s="244"/>
      <c r="EF124" s="244"/>
      <c r="EG124" s="244"/>
      <c r="EH124" s="244"/>
      <c r="EI124" s="244"/>
      <c r="EJ124" s="244"/>
      <c r="EK124" s="244"/>
      <c r="EL124" s="244"/>
      <c r="EM124" s="244"/>
      <c r="EN124" s="244"/>
      <c r="EO124" s="244"/>
      <c r="EP124" s="244"/>
      <c r="EQ124" s="244"/>
      <c r="ER124" s="244"/>
      <c r="ES124" s="244"/>
      <c r="ET124" s="244"/>
      <c r="EU124" s="244"/>
      <c r="EV124" s="244"/>
      <c r="EW124" s="244"/>
      <c r="EX124" s="244"/>
      <c r="EY124" s="244"/>
      <c r="EZ124" s="244"/>
      <c r="FA124" s="244"/>
      <c r="FB124" s="244"/>
      <c r="FC124" s="244"/>
      <c r="FD124" s="244"/>
      <c r="FE124" s="244"/>
      <c r="FF124" s="244"/>
      <c r="FG124" s="244"/>
      <c r="FH124" s="244"/>
      <c r="FI124" s="244"/>
      <c r="FJ124" s="244"/>
      <c r="FK124" s="244"/>
      <c r="FL124" s="244"/>
      <c r="FM124" s="244"/>
      <c r="FN124" s="244"/>
      <c r="FO124" s="244"/>
      <c r="FP124" s="244"/>
      <c r="FQ124" s="244"/>
      <c r="FR124" s="244"/>
      <c r="FS124" s="244"/>
      <c r="FT124" s="244"/>
      <c r="FU124" s="244"/>
      <c r="FV124" s="244"/>
      <c r="FW124" s="244"/>
      <c r="FX124" s="244"/>
      <c r="FY124" s="244"/>
      <c r="FZ124" s="244"/>
      <c r="GA124" s="244"/>
      <c r="GB124" s="244"/>
      <c r="GC124" s="244"/>
      <c r="GD124" s="244"/>
      <c r="GE124" s="244"/>
      <c r="GF124" s="244"/>
      <c r="GG124" s="244"/>
      <c r="GH124" s="244"/>
      <c r="GI124" s="244"/>
      <c r="GJ124" s="244"/>
      <c r="GK124" s="244"/>
      <c r="GL124" s="244"/>
      <c r="GM124" s="244"/>
      <c r="GN124" s="244"/>
      <c r="GO124" s="244"/>
      <c r="GP124" s="244"/>
      <c r="GQ124" s="244"/>
      <c r="GR124" s="244"/>
      <c r="GS124" s="244"/>
      <c r="GT124" s="244"/>
      <c r="GU124" s="244"/>
      <c r="GV124" s="244"/>
      <c r="GW124" s="244"/>
      <c r="GX124" s="244"/>
      <c r="GY124" s="244"/>
      <c r="GZ124" s="244"/>
      <c r="HA124" s="244"/>
      <c r="HB124" s="244"/>
      <c r="HC124" s="244"/>
      <c r="HD124" s="244"/>
      <c r="HE124" s="244"/>
      <c r="HF124" s="244"/>
      <c r="HG124" s="244"/>
      <c r="HH124" s="244"/>
      <c r="HI124" s="244"/>
      <c r="HJ124" s="244"/>
      <c r="HK124" s="244"/>
      <c r="HL124" s="244"/>
      <c r="HM124" s="244"/>
      <c r="HN124" s="244"/>
      <c r="HO124" s="244"/>
      <c r="HP124" s="244"/>
      <c r="HQ124" s="244"/>
      <c r="HR124" s="244"/>
      <c r="HS124" s="244"/>
      <c r="HT124" s="244"/>
      <c r="HU124" s="244"/>
      <c r="HV124" s="244"/>
      <c r="HW124" s="244"/>
      <c r="HX124" s="244"/>
      <c r="HY124" s="244"/>
      <c r="HZ124" s="244"/>
      <c r="IA124" s="244"/>
      <c r="IB124" s="244"/>
      <c r="IC124" s="244"/>
      <c r="ID124" s="244"/>
      <c r="IE124" s="244"/>
      <c r="IF124" s="244"/>
      <c r="IG124" s="244"/>
      <c r="IH124" s="244"/>
      <c r="II124" s="244"/>
      <c r="IJ124" s="244"/>
      <c r="IK124" s="244"/>
      <c r="IL124" s="244"/>
      <c r="IM124" s="244"/>
      <c r="IN124" s="244"/>
      <c r="IO124" s="244"/>
      <c r="IP124" s="244"/>
      <c r="IQ124" s="244"/>
      <c r="IR124" s="244"/>
      <c r="IS124" s="244"/>
      <c r="IT124" s="244"/>
      <c r="IU124" s="244"/>
      <c r="IV124" s="244"/>
      <c r="IW124" s="244"/>
      <c r="IX124" s="244"/>
      <c r="IY124" s="244"/>
      <c r="IZ124" s="244"/>
      <c r="JA124" s="244"/>
      <c r="JB124" s="244"/>
      <c r="JC124" s="244"/>
      <c r="JD124" s="244"/>
      <c r="JE124" s="244"/>
      <c r="JF124" s="244"/>
      <c r="JG124" s="244"/>
      <c r="JH124" s="244"/>
      <c r="JI124" s="244"/>
      <c r="JJ124" s="244"/>
      <c r="JK124" s="244"/>
      <c r="JL124" s="244"/>
      <c r="JM124" s="244"/>
      <c r="JN124" s="244"/>
      <c r="JO124" s="244"/>
      <c r="JP124" s="244"/>
      <c r="JQ124" s="244"/>
      <c r="JR124" s="244"/>
      <c r="JS124" s="244"/>
      <c r="JT124" s="244"/>
      <c r="JU124" s="244"/>
      <c r="JV124" s="244"/>
      <c r="JW124" s="244"/>
      <c r="JX124" s="244"/>
      <c r="JY124" s="244"/>
      <c r="JZ124" s="244"/>
      <c r="KA124" s="244"/>
      <c r="KB124" s="244"/>
      <c r="KC124" s="244"/>
      <c r="KD124" s="244"/>
      <c r="KE124" s="244"/>
      <c r="KF124" s="244"/>
      <c r="KG124" s="244"/>
      <c r="KH124" s="244"/>
      <c r="KI124" s="244"/>
      <c r="KJ124" s="244"/>
      <c r="KK124" s="244"/>
      <c r="KL124" s="244"/>
      <c r="KM124" s="244"/>
      <c r="KN124" s="244"/>
      <c r="KO124" s="244"/>
      <c r="KP124" s="244"/>
      <c r="KQ124" s="244"/>
      <c r="KR124" s="244"/>
      <c r="KS124" s="244"/>
      <c r="KT124" s="244"/>
      <c r="KU124" s="244"/>
      <c r="KV124" s="244"/>
      <c r="KW124" s="244"/>
      <c r="KX124" s="244"/>
      <c r="KY124" s="244"/>
      <c r="KZ124" s="244"/>
      <c r="LA124" s="244"/>
      <c r="LB124" s="244"/>
      <c r="LC124" s="244"/>
      <c r="LD124" s="244"/>
      <c r="LE124" s="244"/>
      <c r="LF124" s="244"/>
      <c r="LG124" s="244"/>
      <c r="LH124" s="244"/>
      <c r="LI124" s="244"/>
      <c r="LJ124" s="244"/>
      <c r="LK124" s="244"/>
      <c r="LL124" s="244"/>
      <c r="LM124" s="244"/>
      <c r="LN124" s="244"/>
      <c r="LO124" s="244"/>
      <c r="LP124" s="244"/>
      <c r="LQ124" s="244"/>
      <c r="LR124" s="244"/>
      <c r="LS124" s="244"/>
      <c r="LT124" s="244"/>
      <c r="LU124" s="244"/>
      <c r="LV124" s="244"/>
      <c r="LW124" s="244"/>
      <c r="LX124" s="244"/>
      <c r="LY124" s="244"/>
      <c r="LZ124" s="244"/>
      <c r="MA124" s="244"/>
      <c r="MB124" s="244"/>
      <c r="MC124" s="244"/>
      <c r="MD124" s="244"/>
      <c r="ME124" s="244"/>
      <c r="MF124" s="244"/>
      <c r="MG124" s="244"/>
      <c r="MH124" s="244"/>
      <c r="MI124" s="244"/>
      <c r="MJ124" s="244"/>
      <c r="MK124" s="244"/>
      <c r="ML124" s="244"/>
      <c r="MM124" s="244"/>
      <c r="MN124" s="244"/>
      <c r="MO124" s="244"/>
      <c r="MP124" s="244"/>
      <c r="MQ124" s="244"/>
      <c r="MR124" s="244"/>
      <c r="MS124" s="244"/>
      <c r="MT124" s="244"/>
      <c r="MU124" s="244"/>
      <c r="MV124" s="244"/>
      <c r="MW124" s="244"/>
      <c r="MX124" s="244"/>
      <c r="MY124" s="244"/>
      <c r="MZ124" s="244"/>
      <c r="NA124" s="244"/>
      <c r="NB124" s="244"/>
      <c r="NC124" s="244"/>
      <c r="ND124" s="244"/>
      <c r="NE124" s="244"/>
      <c r="NF124" s="244"/>
      <c r="NG124" s="244"/>
      <c r="NH124" s="244"/>
      <c r="NI124" s="244"/>
      <c r="NJ124" s="244"/>
      <c r="NK124" s="244"/>
      <c r="NL124" s="244"/>
      <c r="NM124" s="244"/>
      <c r="NN124" s="244"/>
      <c r="NO124" s="244"/>
      <c r="NP124" s="244"/>
      <c r="NQ124" s="244"/>
      <c r="NR124" s="244"/>
      <c r="NS124" s="244"/>
      <c r="NT124" s="244"/>
      <c r="NU124" s="244"/>
      <c r="NV124" s="244"/>
      <c r="NW124" s="244"/>
      <c r="NX124" s="244"/>
      <c r="NY124" s="244"/>
      <c r="NZ124" s="244"/>
      <c r="OA124" s="244"/>
      <c r="OB124" s="244"/>
      <c r="OC124" s="244"/>
      <c r="OD124" s="244"/>
      <c r="OE124" s="244"/>
      <c r="OF124" s="244"/>
      <c r="OG124" s="244"/>
      <c r="OH124" s="244"/>
      <c r="OI124" s="244"/>
      <c r="OJ124" s="244"/>
      <c r="OK124" s="244"/>
      <c r="OL124" s="244"/>
      <c r="OM124" s="244"/>
      <c r="ON124" s="244"/>
      <c r="OO124" s="244"/>
      <c r="OP124" s="244"/>
      <c r="OQ124" s="244"/>
      <c r="OR124" s="244"/>
      <c r="OS124" s="244"/>
      <c r="OT124" s="244"/>
      <c r="OU124" s="244"/>
      <c r="OV124" s="244"/>
      <c r="OW124" s="244"/>
      <c r="OX124" s="244"/>
      <c r="OY124" s="244"/>
      <c r="OZ124" s="244"/>
      <c r="PA124" s="244"/>
      <c r="PB124" s="244"/>
      <c r="PC124" s="244"/>
      <c r="PD124" s="244"/>
      <c r="PE124" s="244"/>
      <c r="PF124" s="244"/>
      <c r="PG124" s="244"/>
      <c r="PH124" s="244"/>
      <c r="PI124" s="244"/>
      <c r="PJ124" s="244"/>
      <c r="PK124" s="244"/>
      <c r="PL124" s="244"/>
      <c r="PM124" s="244"/>
      <c r="PN124" s="244"/>
      <c r="PO124" s="244"/>
      <c r="PP124" s="244"/>
      <c r="PQ124" s="244"/>
      <c r="PR124" s="244"/>
      <c r="PS124" s="244"/>
      <c r="PT124" s="244"/>
      <c r="PU124" s="244"/>
      <c r="PV124" s="244"/>
      <c r="PW124" s="244"/>
      <c r="PX124" s="244"/>
      <c r="PY124" s="244"/>
      <c r="PZ124" s="244"/>
      <c r="QA124" s="244"/>
      <c r="QB124" s="244"/>
      <c r="QC124" s="244"/>
      <c r="QD124" s="244"/>
      <c r="QE124" s="244"/>
      <c r="QF124" s="244"/>
      <c r="QG124" s="244"/>
      <c r="QH124" s="244"/>
      <c r="QI124" s="244"/>
      <c r="QJ124" s="244"/>
      <c r="QK124" s="244"/>
      <c r="QL124" s="244"/>
      <c r="QM124" s="244"/>
      <c r="QN124" s="244"/>
      <c r="QO124" s="244"/>
      <c r="QP124" s="244"/>
      <c r="QQ124" s="244"/>
      <c r="QR124" s="244"/>
      <c r="QS124" s="244"/>
      <c r="QT124" s="244"/>
      <c r="QU124" s="244"/>
      <c r="QV124" s="244"/>
      <c r="QW124" s="244"/>
      <c r="QX124" s="244"/>
      <c r="QY124" s="244"/>
      <c r="QZ124" s="244"/>
      <c r="RA124" s="244"/>
      <c r="RB124" s="244"/>
      <c r="RC124" s="244"/>
      <c r="RD124" s="244"/>
      <c r="RE124" s="244"/>
      <c r="RF124" s="244"/>
      <c r="RG124" s="244"/>
      <c r="RH124" s="244"/>
      <c r="RI124" s="244"/>
      <c r="RJ124" s="244"/>
      <c r="RK124" s="244"/>
      <c r="RL124" s="244"/>
      <c r="RM124" s="244"/>
      <c r="RN124" s="244"/>
      <c r="RO124" s="244"/>
      <c r="RP124" s="244"/>
      <c r="RQ124" s="244"/>
      <c r="RR124" s="244"/>
      <c r="RS124" s="244"/>
      <c r="RT124" s="244"/>
      <c r="RU124" s="244"/>
      <c r="RV124" s="244"/>
      <c r="RW124" s="244"/>
      <c r="RX124" s="244"/>
      <c r="RY124" s="244"/>
      <c r="RZ124" s="244"/>
      <c r="SA124" s="244"/>
      <c r="SB124" s="244"/>
      <c r="SC124" s="244"/>
      <c r="SD124" s="244"/>
      <c r="SE124" s="244"/>
      <c r="SF124" s="244"/>
      <c r="SG124" s="244"/>
      <c r="SH124" s="244"/>
      <c r="SI124" s="244"/>
      <c r="SJ124" s="244"/>
      <c r="SK124" s="244"/>
      <c r="SL124" s="244"/>
      <c r="SM124" s="244"/>
      <c r="SN124" s="244"/>
      <c r="SO124" s="244"/>
      <c r="SP124" s="244"/>
      <c r="SQ124" s="244"/>
      <c r="SR124" s="244"/>
      <c r="SS124" s="244"/>
      <c r="ST124" s="244"/>
      <c r="SU124" s="244"/>
      <c r="SV124" s="244"/>
      <c r="SW124" s="244"/>
      <c r="SX124" s="244"/>
      <c r="SY124" s="244"/>
      <c r="SZ124" s="244"/>
      <c r="TA124" s="244"/>
      <c r="TB124" s="244"/>
      <c r="TC124" s="244"/>
      <c r="TD124" s="244"/>
      <c r="TE124" s="244"/>
      <c r="TF124" s="244"/>
      <c r="TG124" s="244"/>
      <c r="TH124" s="244"/>
      <c r="TI124" s="244"/>
      <c r="TJ124" s="244"/>
      <c r="TK124" s="244"/>
      <c r="TL124" s="244"/>
      <c r="TM124" s="244"/>
      <c r="TN124" s="244"/>
      <c r="TO124" s="244"/>
      <c r="TP124" s="244"/>
      <c r="TQ124" s="244"/>
      <c r="TR124" s="244"/>
      <c r="TS124" s="244"/>
      <c r="TT124" s="244"/>
      <c r="TU124" s="244"/>
      <c r="TV124" s="244"/>
      <c r="TW124" s="244"/>
      <c r="TX124" s="244"/>
      <c r="TY124" s="244"/>
      <c r="TZ124" s="244"/>
      <c r="UA124" s="244"/>
      <c r="UB124" s="244"/>
      <c r="UC124" s="244"/>
      <c r="UD124" s="244"/>
      <c r="UE124" s="244"/>
      <c r="UF124" s="244"/>
      <c r="UG124" s="244"/>
      <c r="UH124" s="244"/>
      <c r="UI124" s="244"/>
      <c r="UJ124" s="244"/>
      <c r="UK124" s="244"/>
      <c r="UL124" s="244"/>
      <c r="UM124" s="244"/>
      <c r="UN124" s="244"/>
      <c r="UO124" s="244"/>
      <c r="UP124" s="244"/>
      <c r="UQ124" s="244"/>
      <c r="UR124" s="244"/>
      <c r="US124" s="244"/>
      <c r="UT124" s="244"/>
      <c r="UU124" s="244"/>
      <c r="UV124" s="244"/>
      <c r="UW124" s="244"/>
      <c r="UX124" s="244"/>
      <c r="UY124" s="244"/>
      <c r="UZ124" s="244"/>
      <c r="VA124" s="244"/>
      <c r="VB124" s="244"/>
      <c r="VC124" s="244"/>
      <c r="VD124" s="244"/>
      <c r="VE124" s="244"/>
      <c r="VF124" s="244"/>
      <c r="VG124" s="244"/>
      <c r="VH124" s="244"/>
      <c r="VI124" s="244"/>
      <c r="VJ124" s="244"/>
      <c r="VK124" s="244"/>
      <c r="VL124" s="244"/>
      <c r="VM124" s="244"/>
      <c r="VN124" s="244"/>
      <c r="VO124" s="244"/>
      <c r="VP124" s="244"/>
      <c r="VQ124" s="244"/>
      <c r="VR124" s="244"/>
      <c r="VS124" s="244"/>
      <c r="VT124" s="244"/>
      <c r="VU124" s="244"/>
      <c r="VV124" s="244"/>
      <c r="VW124" s="244"/>
      <c r="VX124" s="244"/>
      <c r="VY124" s="244"/>
      <c r="VZ124" s="244"/>
      <c r="WA124" s="244"/>
      <c r="WB124" s="244"/>
      <c r="WC124" s="244"/>
      <c r="WD124" s="244"/>
      <c r="WE124" s="244"/>
      <c r="WF124" s="244"/>
      <c r="WG124" s="244"/>
      <c r="WH124" s="244"/>
      <c r="WI124" s="244"/>
      <c r="WJ124" s="244"/>
      <c r="WK124" s="244"/>
      <c r="WL124" s="244"/>
      <c r="WM124" s="244"/>
      <c r="WN124" s="244"/>
      <c r="WO124" s="244"/>
      <c r="WP124" s="244"/>
      <c r="WQ124" s="244"/>
      <c r="WR124" s="244"/>
      <c r="WS124" s="244"/>
      <c r="WT124" s="244"/>
      <c r="WU124" s="244"/>
      <c r="WV124" s="244"/>
      <c r="WW124" s="244"/>
      <c r="WX124" s="244"/>
      <c r="WY124" s="244"/>
      <c r="WZ124" s="244"/>
      <c r="XA124" s="244"/>
      <c r="XB124" s="244"/>
      <c r="XC124" s="244"/>
      <c r="XD124" s="244"/>
      <c r="XE124" s="244"/>
      <c r="XF124" s="244"/>
      <c r="XG124" s="244"/>
      <c r="XH124" s="244"/>
      <c r="XI124" s="244"/>
      <c r="XJ124" s="244"/>
      <c r="XK124" s="244"/>
      <c r="XL124" s="244"/>
      <c r="XM124" s="244"/>
      <c r="XN124" s="244"/>
      <c r="XO124" s="244"/>
      <c r="XP124" s="244"/>
      <c r="XQ124" s="244"/>
      <c r="XR124" s="244"/>
      <c r="XS124" s="244"/>
      <c r="XT124" s="244"/>
      <c r="XU124" s="244"/>
      <c r="XV124" s="244"/>
      <c r="XW124" s="244"/>
      <c r="XX124" s="244"/>
      <c r="XY124" s="244"/>
      <c r="XZ124" s="244"/>
      <c r="YA124" s="244"/>
      <c r="YB124" s="244"/>
      <c r="YC124" s="244"/>
      <c r="YD124" s="244"/>
      <c r="YE124" s="244"/>
      <c r="YF124" s="244"/>
      <c r="YG124" s="244"/>
      <c r="YH124" s="244"/>
      <c r="YI124" s="244"/>
      <c r="YJ124" s="244"/>
      <c r="YK124" s="244"/>
      <c r="YL124" s="244"/>
      <c r="YM124" s="244"/>
      <c r="YN124" s="244"/>
      <c r="YO124" s="244"/>
      <c r="YP124" s="244"/>
      <c r="YQ124" s="244"/>
      <c r="YR124" s="244"/>
      <c r="YS124" s="244"/>
      <c r="YT124" s="244"/>
      <c r="YU124" s="244"/>
      <c r="YV124" s="244"/>
      <c r="YW124" s="244"/>
      <c r="YX124" s="244"/>
      <c r="YY124" s="244"/>
      <c r="YZ124" s="244"/>
      <c r="ZA124" s="244"/>
      <c r="ZB124" s="244"/>
      <c r="ZC124" s="244"/>
      <c r="ZD124" s="244"/>
      <c r="ZE124" s="244"/>
      <c r="ZF124" s="244"/>
      <c r="ZG124" s="244"/>
      <c r="ZH124" s="244"/>
      <c r="ZI124" s="244"/>
      <c r="ZJ124" s="244"/>
      <c r="ZK124" s="244"/>
      <c r="ZL124" s="244"/>
      <c r="ZM124" s="244"/>
      <c r="ZN124" s="244"/>
      <c r="ZO124" s="244"/>
      <c r="ZP124" s="244"/>
      <c r="ZQ124" s="244"/>
      <c r="ZR124" s="244"/>
      <c r="ZS124" s="244"/>
      <c r="ZT124" s="244"/>
      <c r="ZU124" s="244"/>
      <c r="ZV124" s="244"/>
      <c r="ZW124" s="244"/>
      <c r="ZX124" s="244"/>
      <c r="ZY124" s="244"/>
      <c r="ZZ124" s="244"/>
      <c r="AAA124" s="244"/>
      <c r="AAB124" s="244"/>
      <c r="AAC124" s="244"/>
      <c r="AAD124" s="244"/>
      <c r="AAE124" s="244"/>
      <c r="AAF124" s="244"/>
      <c r="AAG124" s="244"/>
      <c r="AAH124" s="244"/>
      <c r="AAI124" s="244"/>
      <c r="AAJ124" s="244"/>
      <c r="AAK124" s="244"/>
      <c r="AAL124" s="244"/>
      <c r="AAM124" s="244"/>
      <c r="AAN124" s="244"/>
      <c r="AAO124" s="244"/>
      <c r="AAP124" s="244"/>
      <c r="AAQ124" s="244"/>
      <c r="AAR124" s="244"/>
      <c r="AAS124" s="244"/>
      <c r="AAT124" s="244"/>
      <c r="AAU124" s="244"/>
      <c r="AAV124" s="244"/>
      <c r="AAW124" s="244"/>
      <c r="AAX124" s="244"/>
      <c r="AAY124" s="244"/>
      <c r="AAZ124" s="244"/>
      <c r="ABA124" s="244"/>
      <c r="ABB124" s="244"/>
      <c r="ABC124" s="244"/>
      <c r="ABD124" s="244"/>
      <c r="ABE124" s="244"/>
      <c r="ABF124" s="244"/>
      <c r="ABG124" s="244"/>
      <c r="ABH124" s="244"/>
      <c r="ABI124" s="244"/>
      <c r="ABJ124" s="244"/>
      <c r="ABK124" s="244"/>
      <c r="ABL124" s="244"/>
      <c r="ABM124" s="244"/>
      <c r="ABN124" s="244"/>
      <c r="ABO124" s="244"/>
      <c r="ABP124" s="244"/>
      <c r="ABQ124" s="244"/>
      <c r="ABR124" s="244"/>
      <c r="ABS124" s="244"/>
      <c r="ABT124" s="244"/>
      <c r="ABU124" s="244"/>
      <c r="ABV124" s="244"/>
      <c r="ABW124" s="244"/>
      <c r="ABX124" s="244"/>
      <c r="ABY124" s="244"/>
      <c r="ABZ124" s="244"/>
      <c r="ACA124" s="244"/>
      <c r="ACB124" s="244"/>
      <c r="ACC124" s="244"/>
      <c r="ACD124" s="244"/>
      <c r="ACE124" s="244"/>
      <c r="ACF124" s="244"/>
      <c r="ACG124" s="244"/>
      <c r="ACH124" s="244"/>
      <c r="ACI124" s="244"/>
      <c r="ACJ124" s="244"/>
      <c r="ACK124" s="244"/>
      <c r="ACL124" s="244"/>
      <c r="ACM124" s="244"/>
      <c r="ACN124" s="244"/>
      <c r="ACO124" s="244"/>
      <c r="ACP124" s="244"/>
      <c r="ACQ124" s="244"/>
      <c r="ACR124" s="244"/>
      <c r="ACS124" s="244"/>
      <c r="ACT124" s="244"/>
      <c r="ACU124" s="244"/>
      <c r="ACV124" s="244"/>
      <c r="ACW124" s="244"/>
      <c r="ACX124" s="244"/>
      <c r="ACY124" s="244"/>
      <c r="ACZ124" s="244"/>
      <c r="ADA124" s="244"/>
      <c r="ADB124" s="244"/>
      <c r="ADC124" s="244"/>
      <c r="ADD124" s="244"/>
      <c r="ADE124" s="244"/>
      <c r="ADF124" s="244"/>
      <c r="ADG124" s="244"/>
      <c r="ADH124" s="244"/>
      <c r="ADI124" s="244"/>
      <c r="ADJ124" s="244"/>
      <c r="ADK124" s="244"/>
      <c r="ADL124" s="244"/>
      <c r="ADM124" s="244"/>
      <c r="ADN124" s="244"/>
      <c r="ADO124" s="244"/>
      <c r="ADP124" s="244"/>
      <c r="ADQ124" s="244"/>
      <c r="ADR124" s="244"/>
      <c r="ADS124" s="244"/>
      <c r="ADT124" s="244"/>
      <c r="ADU124" s="244"/>
      <c r="ADV124" s="244"/>
      <c r="ADW124" s="244"/>
      <c r="ADX124" s="244"/>
      <c r="ADY124" s="244"/>
      <c r="ADZ124" s="244"/>
      <c r="AEA124" s="244"/>
      <c r="AEB124" s="244"/>
      <c r="AEC124" s="244"/>
      <c r="AED124" s="244"/>
      <c r="AEE124" s="244"/>
      <c r="AEF124" s="244"/>
      <c r="AEG124" s="244"/>
      <c r="AEH124" s="244"/>
      <c r="AEI124" s="244"/>
      <c r="AEJ124" s="244"/>
      <c r="AEK124" s="244"/>
      <c r="AEL124" s="244"/>
      <c r="AEM124" s="244"/>
      <c r="AEN124" s="244"/>
      <c r="AEO124" s="244"/>
      <c r="AEP124" s="244"/>
      <c r="AEQ124" s="244"/>
      <c r="AER124" s="244"/>
      <c r="AES124" s="244"/>
      <c r="AET124" s="244"/>
      <c r="AEU124" s="244"/>
      <c r="AEV124" s="244"/>
      <c r="AEW124" s="244"/>
      <c r="AEX124" s="244"/>
      <c r="AEY124" s="244"/>
      <c r="AEZ124" s="244"/>
      <c r="AFA124" s="244"/>
      <c r="AFB124" s="244"/>
      <c r="AFC124" s="244"/>
      <c r="AFD124" s="244"/>
      <c r="AFE124" s="244"/>
      <c r="AFF124" s="244"/>
      <c r="AFG124" s="244"/>
      <c r="AFH124" s="244"/>
      <c r="AFI124" s="244"/>
      <c r="AFJ124" s="244"/>
      <c r="AFK124" s="244"/>
      <c r="AFL124" s="244"/>
      <c r="AFM124" s="244"/>
      <c r="AFN124" s="244"/>
      <c r="AFO124" s="244"/>
      <c r="AFP124" s="244"/>
      <c r="AFQ124" s="244"/>
      <c r="AFR124" s="244"/>
      <c r="AFS124" s="244"/>
      <c r="AFT124" s="244"/>
      <c r="AFU124" s="244"/>
      <c r="AFV124" s="244"/>
      <c r="AFW124" s="244"/>
      <c r="AFX124" s="244"/>
      <c r="AFY124" s="244"/>
      <c r="AFZ124" s="244"/>
      <c r="AGA124" s="244"/>
      <c r="AGB124" s="244"/>
      <c r="AGC124" s="244"/>
      <c r="AGD124" s="244"/>
      <c r="AGE124" s="244"/>
      <c r="AGF124" s="244"/>
      <c r="AGG124" s="244"/>
      <c r="AGH124" s="244"/>
      <c r="AGI124" s="244"/>
      <c r="AGJ124" s="244"/>
      <c r="AGK124" s="244"/>
      <c r="AGL124" s="244"/>
      <c r="AGM124" s="244"/>
      <c r="AGN124" s="244"/>
      <c r="AGO124" s="244"/>
      <c r="AGP124" s="244"/>
      <c r="AGQ124" s="244"/>
      <c r="AGR124" s="244"/>
      <c r="AGS124" s="244"/>
      <c r="AGT124" s="244"/>
      <c r="AGU124" s="244"/>
      <c r="AGV124" s="244"/>
      <c r="AGW124" s="244"/>
      <c r="AGX124" s="244"/>
      <c r="AGY124" s="244"/>
      <c r="AGZ124" s="244"/>
      <c r="AHA124" s="244"/>
      <c r="AHB124" s="244"/>
      <c r="AHC124" s="244"/>
      <c r="AHD124" s="244"/>
      <c r="AHE124" s="244"/>
      <c r="AHF124" s="244"/>
      <c r="AHG124" s="244"/>
      <c r="AHH124" s="244"/>
      <c r="AHI124" s="244"/>
      <c r="AHJ124" s="244"/>
      <c r="AHK124" s="244"/>
      <c r="AHL124" s="244"/>
      <c r="AHM124" s="244"/>
      <c r="AHN124" s="244"/>
      <c r="AHO124" s="244"/>
      <c r="AHP124" s="244"/>
      <c r="AHQ124" s="244"/>
      <c r="AHR124" s="244"/>
      <c r="AHS124" s="244"/>
      <c r="AHT124" s="244"/>
      <c r="AHU124" s="244"/>
      <c r="AHV124" s="244"/>
      <c r="AHW124" s="244"/>
      <c r="AHX124" s="244"/>
      <c r="AHY124" s="244"/>
      <c r="AHZ124" s="244"/>
      <c r="AIA124" s="244"/>
      <c r="AIB124" s="244"/>
      <c r="AIC124" s="244"/>
      <c r="AID124" s="244"/>
      <c r="AIE124" s="244"/>
      <c r="AIF124" s="244"/>
      <c r="AIG124" s="244"/>
      <c r="AIH124" s="244"/>
      <c r="AII124" s="244"/>
      <c r="AIJ124" s="244"/>
      <c r="AIK124" s="244"/>
      <c r="AIL124" s="244"/>
      <c r="AIM124" s="244"/>
      <c r="AIN124" s="244"/>
      <c r="AIO124" s="244"/>
      <c r="AIP124" s="244"/>
      <c r="AIQ124" s="244"/>
      <c r="AIR124" s="244"/>
      <c r="AIS124" s="244"/>
      <c r="AIT124" s="244"/>
      <c r="AIU124" s="244"/>
      <c r="AIV124" s="244"/>
      <c r="AIW124" s="244"/>
      <c r="AIX124" s="244"/>
      <c r="AIY124" s="244"/>
      <c r="AIZ124" s="244"/>
      <c r="AJA124" s="244"/>
      <c r="AJB124" s="244"/>
      <c r="AJC124" s="244"/>
      <c r="AJD124" s="244"/>
      <c r="AJE124" s="244"/>
      <c r="AJF124" s="244"/>
      <c r="AJG124" s="244"/>
      <c r="AJH124" s="244"/>
      <c r="AJI124" s="244"/>
      <c r="AJJ124" s="244"/>
      <c r="AJK124" s="244"/>
      <c r="AJL124" s="244"/>
      <c r="AJM124" s="244"/>
      <c r="AJN124" s="244"/>
      <c r="AJO124" s="244"/>
      <c r="AJP124" s="244"/>
      <c r="AJQ124" s="244"/>
      <c r="AJR124" s="244"/>
      <c r="AJS124" s="244"/>
      <c r="AJT124" s="244"/>
      <c r="AJU124" s="244"/>
      <c r="AJV124" s="244"/>
      <c r="AJW124" s="244"/>
      <c r="AJX124" s="244"/>
      <c r="AJY124" s="244"/>
      <c r="AJZ124" s="244"/>
      <c r="AKA124" s="244"/>
      <c r="AKB124" s="244"/>
      <c r="AKC124" s="244"/>
      <c r="AKD124" s="244"/>
      <c r="AKE124" s="244"/>
      <c r="AKF124" s="244"/>
      <c r="AKG124" s="244"/>
      <c r="AKH124" s="244"/>
      <c r="AKI124" s="244"/>
      <c r="AKJ124" s="244"/>
      <c r="AKK124" s="244"/>
      <c r="AKL124" s="244"/>
      <c r="AKM124" s="244"/>
      <c r="AKN124" s="244"/>
      <c r="AKO124" s="244"/>
      <c r="AKP124" s="244"/>
      <c r="AKQ124" s="244"/>
      <c r="AKR124" s="244"/>
      <c r="AKS124" s="244"/>
      <c r="AKT124" s="244"/>
      <c r="AKU124" s="244"/>
      <c r="AKV124" s="244"/>
      <c r="AKW124" s="244"/>
      <c r="AKX124" s="244"/>
      <c r="AKY124" s="244"/>
      <c r="AKZ124" s="244"/>
      <c r="ALA124" s="244"/>
      <c r="ALB124" s="244"/>
      <c r="ALC124" s="244"/>
      <c r="ALD124" s="244"/>
      <c r="ALE124" s="244"/>
      <c r="ALF124" s="244"/>
      <c r="ALG124" s="244"/>
      <c r="ALH124" s="244"/>
      <c r="ALI124" s="244"/>
      <c r="ALJ124" s="244"/>
      <c r="ALK124" s="244"/>
      <c r="ALL124" s="244"/>
      <c r="ALM124" s="244"/>
      <c r="ALN124" s="244"/>
      <c r="ALO124" s="244"/>
      <c r="ALP124" s="244"/>
      <c r="ALQ124" s="244"/>
      <c r="ALR124" s="244"/>
      <c r="ALS124" s="244"/>
      <c r="ALT124" s="244"/>
      <c r="ALU124" s="244"/>
      <c r="ALV124" s="244"/>
      <c r="ALW124" s="244"/>
      <c r="ALX124" s="244"/>
      <c r="ALY124" s="244"/>
      <c r="ALZ124" s="244"/>
      <c r="AMA124" s="244"/>
      <c r="AMB124" s="244"/>
      <c r="AMC124" s="244"/>
      <c r="AMD124" s="244"/>
      <c r="AME124" s="244"/>
      <c r="AMF124" s="244"/>
      <c r="AMG124" s="244"/>
      <c r="AMH124" s="244"/>
      <c r="AMI124" s="244"/>
      <c r="AMJ124" s="244"/>
      <c r="AMK124" s="244"/>
      <c r="AML124" s="244"/>
      <c r="AMM124" s="244"/>
      <c r="AMN124" s="244"/>
      <c r="AMO124" s="244"/>
      <c r="AMP124" s="244"/>
      <c r="AMQ124" s="244"/>
      <c r="AMR124" s="244"/>
      <c r="AMS124" s="244"/>
      <c r="AMT124" s="244"/>
      <c r="AMU124" s="244"/>
      <c r="AMV124" s="244"/>
      <c r="AMW124" s="244"/>
      <c r="AMX124" s="244"/>
      <c r="AMY124" s="244"/>
      <c r="AMZ124" s="244"/>
      <c r="ANA124" s="244"/>
      <c r="ANB124" s="244"/>
      <c r="ANC124" s="244"/>
      <c r="AND124" s="244"/>
      <c r="ANE124" s="244"/>
      <c r="ANF124" s="244"/>
      <c r="ANG124" s="244"/>
      <c r="ANH124" s="244"/>
      <c r="ANI124" s="244"/>
      <c r="ANJ124" s="244"/>
      <c r="ANK124" s="244"/>
      <c r="ANL124" s="244"/>
      <c r="ANM124" s="244"/>
      <c r="ANN124" s="244"/>
      <c r="ANO124" s="244"/>
      <c r="ANP124" s="244"/>
      <c r="ANQ124" s="244"/>
      <c r="ANR124" s="244"/>
      <c r="ANS124" s="244"/>
      <c r="ANT124" s="244"/>
      <c r="ANU124" s="244"/>
      <c r="ANV124" s="244"/>
      <c r="ANW124" s="244"/>
      <c r="ANX124" s="244"/>
      <c r="ANY124" s="244"/>
      <c r="ANZ124" s="244"/>
      <c r="AOA124" s="244"/>
      <c r="AOB124" s="244"/>
      <c r="AOC124" s="244"/>
      <c r="AOD124" s="244"/>
      <c r="AOE124" s="244"/>
      <c r="AOF124" s="244"/>
      <c r="AOG124" s="244"/>
      <c r="AOH124" s="244"/>
      <c r="AOI124" s="244"/>
      <c r="AOJ124" s="244"/>
      <c r="AOK124" s="244"/>
      <c r="AOL124" s="244"/>
      <c r="AOM124" s="244"/>
      <c r="AON124" s="244"/>
      <c r="AOO124" s="244"/>
      <c r="AOP124" s="244"/>
      <c r="AOQ124" s="244"/>
      <c r="AOR124" s="244"/>
      <c r="AOS124" s="244"/>
      <c r="AOT124" s="244"/>
      <c r="AOU124" s="244"/>
      <c r="AOV124" s="244"/>
      <c r="AOW124" s="244"/>
      <c r="AOX124" s="244"/>
      <c r="AOY124" s="244"/>
      <c r="AOZ124" s="244"/>
      <c r="APA124" s="244"/>
      <c r="APB124" s="244"/>
      <c r="APC124" s="244"/>
      <c r="APD124" s="244"/>
      <c r="APE124" s="244"/>
      <c r="APF124" s="244"/>
      <c r="APG124" s="244"/>
      <c r="APH124" s="244"/>
      <c r="API124" s="244"/>
      <c r="APJ124" s="244"/>
      <c r="APK124" s="244"/>
      <c r="APL124" s="244"/>
      <c r="APM124" s="244"/>
      <c r="APN124" s="244"/>
      <c r="APO124" s="244"/>
      <c r="APP124" s="244"/>
      <c r="APQ124" s="244"/>
      <c r="APR124" s="244"/>
      <c r="APS124" s="244"/>
      <c r="APT124" s="244"/>
      <c r="APU124" s="244"/>
      <c r="APV124" s="244"/>
      <c r="APW124" s="244"/>
      <c r="APX124" s="244"/>
      <c r="APY124" s="244"/>
      <c r="APZ124" s="244"/>
      <c r="AQA124" s="244"/>
      <c r="AQB124" s="244"/>
      <c r="AQC124" s="244"/>
      <c r="AQD124" s="244"/>
      <c r="AQE124" s="244"/>
      <c r="AQF124" s="244"/>
      <c r="AQG124" s="244"/>
      <c r="AQH124" s="244"/>
      <c r="AQI124" s="244"/>
      <c r="AQJ124" s="244"/>
      <c r="AQK124" s="244"/>
      <c r="AQL124" s="244"/>
      <c r="AQM124" s="244"/>
      <c r="AQN124" s="244"/>
      <c r="AQO124" s="244"/>
      <c r="AQP124" s="244"/>
      <c r="AQQ124" s="244"/>
      <c r="AQR124" s="244"/>
      <c r="AQS124" s="244"/>
      <c r="AQT124" s="244"/>
      <c r="AQU124" s="244"/>
      <c r="AQV124" s="244"/>
      <c r="AQW124" s="244"/>
      <c r="AQX124" s="244"/>
      <c r="AQY124" s="244"/>
      <c r="AQZ124" s="244"/>
      <c r="ARA124" s="244"/>
      <c r="ARB124" s="244"/>
      <c r="ARC124" s="244"/>
      <c r="ARD124" s="244"/>
      <c r="ARE124" s="244"/>
      <c r="ARF124" s="244"/>
      <c r="ARG124" s="244"/>
      <c r="ARH124" s="244"/>
      <c r="ARI124" s="244"/>
      <c r="ARJ124" s="244"/>
      <c r="ARK124" s="244"/>
      <c r="ARL124" s="244"/>
      <c r="ARM124" s="244"/>
      <c r="ARN124" s="244"/>
      <c r="ARO124" s="244"/>
      <c r="ARP124" s="244"/>
      <c r="ARQ124" s="244"/>
      <c r="ARR124" s="244"/>
      <c r="ARS124" s="244"/>
      <c r="ART124" s="244"/>
      <c r="ARU124" s="244"/>
      <c r="ARV124" s="244"/>
      <c r="ARW124" s="244"/>
      <c r="ARX124" s="244"/>
      <c r="ARY124" s="244"/>
      <c r="ARZ124" s="244"/>
      <c r="ASA124" s="244"/>
      <c r="ASB124" s="244"/>
      <c r="ASC124" s="244"/>
      <c r="ASD124" s="244"/>
      <c r="ASE124" s="244"/>
      <c r="ASF124" s="244"/>
      <c r="ASG124" s="244"/>
      <c r="ASH124" s="244"/>
      <c r="ASI124" s="244"/>
      <c r="ASJ124" s="244"/>
      <c r="ASK124" s="244"/>
      <c r="ASL124" s="244"/>
      <c r="ASM124" s="244"/>
      <c r="ASN124" s="244"/>
      <c r="ASO124" s="244"/>
      <c r="ASP124" s="244"/>
      <c r="ASQ124" s="244"/>
      <c r="ASR124" s="244"/>
      <c r="ASS124" s="244"/>
      <c r="AST124" s="244"/>
      <c r="ASU124" s="244"/>
      <c r="ASV124" s="244"/>
      <c r="ASW124" s="244"/>
      <c r="ASX124" s="244"/>
      <c r="ASY124" s="244"/>
      <c r="ASZ124" s="244"/>
      <c r="ATA124" s="244"/>
      <c r="ATB124" s="244"/>
      <c r="ATC124" s="244"/>
      <c r="ATD124" s="244"/>
      <c r="ATE124" s="244"/>
      <c r="ATF124" s="244"/>
      <c r="ATG124" s="244"/>
      <c r="ATH124" s="244"/>
      <c r="ATI124" s="244"/>
      <c r="ATJ124" s="244"/>
      <c r="ATK124" s="244"/>
      <c r="ATL124" s="244"/>
      <c r="ATM124" s="244"/>
      <c r="ATN124" s="244"/>
      <c r="ATO124" s="244"/>
      <c r="ATP124" s="244"/>
      <c r="ATQ124" s="244"/>
      <c r="ATR124" s="244"/>
      <c r="ATS124" s="244"/>
      <c r="ATT124" s="244"/>
      <c r="ATU124" s="244"/>
      <c r="ATV124" s="244"/>
      <c r="ATW124" s="244"/>
      <c r="ATX124" s="244"/>
      <c r="ATY124" s="244"/>
      <c r="ATZ124" s="244"/>
      <c r="AUA124" s="244"/>
      <c r="AUB124" s="244"/>
      <c r="AUC124" s="244"/>
      <c r="AUD124" s="244"/>
      <c r="AUE124" s="244"/>
      <c r="AUF124" s="244"/>
      <c r="AUG124" s="244"/>
      <c r="AUH124" s="244"/>
      <c r="AUI124" s="244"/>
      <c r="AUJ124" s="244"/>
      <c r="AUK124" s="244"/>
      <c r="AUL124" s="244"/>
      <c r="AUM124" s="244"/>
      <c r="AUN124" s="244"/>
      <c r="AUO124" s="244"/>
      <c r="AUP124" s="244"/>
      <c r="AUQ124" s="244"/>
      <c r="AUR124" s="244"/>
      <c r="AUS124" s="244"/>
      <c r="AUT124" s="244"/>
      <c r="AUU124" s="244"/>
      <c r="AUV124" s="244"/>
      <c r="AUW124" s="244"/>
      <c r="AUX124" s="244"/>
      <c r="AUY124" s="244"/>
      <c r="AUZ124" s="244"/>
      <c r="AVA124" s="244"/>
      <c r="AVB124" s="244"/>
      <c r="AVC124" s="244"/>
      <c r="AVD124" s="244"/>
      <c r="AVE124" s="244"/>
      <c r="AVF124" s="244"/>
      <c r="AVG124" s="244"/>
      <c r="AVH124" s="244"/>
      <c r="AVI124" s="244"/>
      <c r="AVJ124" s="244"/>
      <c r="AVK124" s="244"/>
      <c r="AVL124" s="244"/>
      <c r="AVM124" s="244"/>
      <c r="AVN124" s="244"/>
      <c r="AVO124" s="244"/>
      <c r="AVP124" s="244"/>
      <c r="AVQ124" s="244"/>
      <c r="AVR124" s="244"/>
      <c r="AVS124" s="244"/>
      <c r="AVT124" s="244"/>
      <c r="AVU124" s="244"/>
      <c r="AVV124" s="244"/>
      <c r="AVW124" s="244"/>
      <c r="AVX124" s="244"/>
      <c r="AVY124" s="244"/>
      <c r="AVZ124" s="244"/>
      <c r="AWA124" s="244"/>
      <c r="AWB124" s="244"/>
      <c r="AWC124" s="244"/>
      <c r="AWD124" s="244"/>
      <c r="AWE124" s="244"/>
      <c r="AWF124" s="244"/>
      <c r="AWG124" s="244"/>
      <c r="AWH124" s="244"/>
      <c r="AWI124" s="244"/>
      <c r="AWJ124" s="244"/>
      <c r="AWK124" s="244"/>
      <c r="AWL124" s="244"/>
      <c r="AWM124" s="244"/>
      <c r="AWN124" s="244"/>
      <c r="AWO124" s="244"/>
      <c r="AWP124" s="244"/>
      <c r="AWQ124" s="244"/>
      <c r="AWR124" s="244"/>
      <c r="AWS124" s="244"/>
      <c r="AWT124" s="244"/>
      <c r="AWU124" s="244"/>
      <c r="AWV124" s="244"/>
      <c r="AWW124" s="244"/>
      <c r="AWX124" s="244"/>
      <c r="AWY124" s="244"/>
      <c r="AWZ124" s="244"/>
      <c r="AXA124" s="244"/>
      <c r="AXB124" s="244"/>
      <c r="AXC124" s="244"/>
      <c r="AXD124" s="244"/>
      <c r="AXE124" s="244"/>
      <c r="AXF124" s="244"/>
      <c r="AXG124" s="244"/>
      <c r="AXH124" s="244"/>
      <c r="AXI124" s="244"/>
      <c r="AXJ124" s="244"/>
      <c r="AXK124" s="244"/>
      <c r="AXL124" s="244"/>
      <c r="AXM124" s="244"/>
      <c r="AXN124" s="244"/>
      <c r="AXO124" s="244"/>
      <c r="AXP124" s="244"/>
      <c r="AXQ124" s="244"/>
      <c r="AXR124" s="244"/>
      <c r="AXS124" s="244"/>
      <c r="AXT124" s="244"/>
      <c r="AXU124" s="244"/>
      <c r="AXV124" s="244"/>
      <c r="AXW124" s="244"/>
      <c r="AXX124" s="244"/>
      <c r="AXY124" s="244"/>
      <c r="AXZ124" s="244"/>
      <c r="AYA124" s="244"/>
      <c r="AYB124" s="244"/>
      <c r="AYC124" s="244"/>
      <c r="AYD124" s="244"/>
      <c r="AYE124" s="244"/>
      <c r="AYF124" s="244"/>
      <c r="AYG124" s="244"/>
      <c r="AYH124" s="244"/>
      <c r="AYI124" s="244"/>
      <c r="AYJ124" s="244"/>
      <c r="AYK124" s="244"/>
      <c r="AYL124" s="244"/>
      <c r="AYM124" s="244"/>
      <c r="AYN124" s="244"/>
      <c r="AYO124" s="244"/>
      <c r="AYP124" s="244"/>
      <c r="AYQ124" s="244"/>
      <c r="AYR124" s="244"/>
      <c r="AYS124" s="244"/>
      <c r="AYT124" s="244"/>
      <c r="AYU124" s="244"/>
      <c r="AYV124" s="244"/>
      <c r="AYW124" s="244"/>
      <c r="AYX124" s="244"/>
      <c r="AYY124" s="244"/>
      <c r="AYZ124" s="244"/>
      <c r="AZA124" s="244"/>
      <c r="AZB124" s="244"/>
      <c r="AZC124" s="244"/>
      <c r="AZD124" s="244"/>
      <c r="AZE124" s="244"/>
      <c r="AZF124" s="244"/>
      <c r="AZG124" s="244"/>
      <c r="AZH124" s="244"/>
      <c r="AZI124" s="244"/>
      <c r="AZJ124" s="244"/>
      <c r="AZK124" s="244"/>
      <c r="AZL124" s="244"/>
      <c r="AZM124" s="244"/>
      <c r="AZN124" s="244"/>
      <c r="AZO124" s="244"/>
      <c r="AZP124" s="244"/>
      <c r="AZQ124" s="244"/>
      <c r="AZR124" s="244"/>
      <c r="AZS124" s="244"/>
      <c r="AZT124" s="244"/>
      <c r="AZU124" s="244"/>
      <c r="AZV124" s="244"/>
      <c r="AZW124" s="244"/>
      <c r="AZX124" s="244"/>
      <c r="AZY124" s="244"/>
      <c r="AZZ124" s="244"/>
      <c r="BAA124" s="244"/>
      <c r="BAB124" s="244"/>
      <c r="BAC124" s="244"/>
      <c r="BAD124" s="244"/>
      <c r="BAE124" s="244"/>
      <c r="BAF124" s="244"/>
      <c r="BAG124" s="244"/>
      <c r="BAH124" s="244"/>
      <c r="BAI124" s="244"/>
      <c r="BAJ124" s="244"/>
      <c r="BAK124" s="244"/>
      <c r="BAL124" s="244"/>
      <c r="BAM124" s="244"/>
      <c r="BAN124" s="244"/>
      <c r="BAO124" s="244"/>
      <c r="BAP124" s="244"/>
      <c r="BAQ124" s="244"/>
      <c r="BAR124" s="244"/>
      <c r="BAS124" s="244"/>
      <c r="BAT124" s="244"/>
      <c r="BAU124" s="244"/>
      <c r="BAV124" s="244"/>
      <c r="BAW124" s="244"/>
      <c r="BAX124" s="244"/>
      <c r="BAY124" s="244"/>
      <c r="BAZ124" s="244"/>
      <c r="BBA124" s="244"/>
      <c r="BBB124" s="244"/>
      <c r="BBC124" s="244"/>
      <c r="BBD124" s="244"/>
      <c r="BBE124" s="244"/>
      <c r="BBF124" s="244"/>
      <c r="BBG124" s="244"/>
      <c r="BBH124" s="244"/>
      <c r="BBI124" s="244"/>
      <c r="BBJ124" s="244"/>
      <c r="BBK124" s="244"/>
      <c r="BBL124" s="244"/>
      <c r="BBM124" s="244"/>
      <c r="BBN124" s="244"/>
      <c r="BBO124" s="244"/>
      <c r="BBP124" s="244"/>
      <c r="BBQ124" s="244"/>
      <c r="BBR124" s="244"/>
      <c r="BBS124" s="244"/>
      <c r="BBT124" s="244"/>
      <c r="BBU124" s="244"/>
      <c r="BBV124" s="244"/>
      <c r="BBW124" s="244"/>
      <c r="BBX124" s="244"/>
      <c r="BBY124" s="244"/>
      <c r="BBZ124" s="244"/>
      <c r="BCA124" s="244"/>
      <c r="BCB124" s="244"/>
      <c r="BCC124" s="244"/>
      <c r="BCD124" s="244"/>
      <c r="BCE124" s="244"/>
      <c r="BCF124" s="244"/>
      <c r="BCG124" s="244"/>
      <c r="BCH124" s="244"/>
      <c r="BCI124" s="244"/>
      <c r="BCJ124" s="244"/>
      <c r="BCK124" s="244"/>
      <c r="BCL124" s="244"/>
      <c r="BCM124" s="244"/>
      <c r="BCN124" s="244"/>
      <c r="BCO124" s="244"/>
      <c r="BCP124" s="244"/>
      <c r="BCQ124" s="244"/>
      <c r="BCR124" s="244"/>
      <c r="BCS124" s="244"/>
      <c r="BCT124" s="244"/>
      <c r="BCU124" s="244"/>
      <c r="BCV124" s="244"/>
      <c r="BCW124" s="244"/>
      <c r="BCX124" s="244"/>
      <c r="BCY124" s="244"/>
      <c r="BCZ124" s="244"/>
      <c r="BDA124" s="244"/>
      <c r="BDB124" s="244"/>
      <c r="BDC124" s="244"/>
      <c r="BDD124" s="244"/>
      <c r="BDE124" s="244"/>
      <c r="BDF124" s="244"/>
      <c r="BDG124" s="244"/>
      <c r="BDH124" s="244"/>
      <c r="BDI124" s="244"/>
      <c r="BDJ124" s="244"/>
      <c r="BDK124" s="244"/>
      <c r="BDL124" s="244"/>
      <c r="BDM124" s="244"/>
      <c r="BDN124" s="244"/>
      <c r="BDO124" s="244"/>
      <c r="BDP124" s="244"/>
      <c r="BDQ124" s="244"/>
      <c r="BDR124" s="244"/>
      <c r="BDS124" s="244"/>
      <c r="BDT124" s="244"/>
      <c r="BDU124" s="244"/>
      <c r="BDV124" s="244"/>
      <c r="BDW124" s="244"/>
      <c r="BDX124" s="244"/>
      <c r="BDY124" s="244"/>
      <c r="BDZ124" s="244"/>
      <c r="BEA124" s="244"/>
      <c r="BEB124" s="244"/>
      <c r="BEC124" s="244"/>
      <c r="BED124" s="244"/>
      <c r="BEE124" s="244"/>
      <c r="BEF124" s="244"/>
      <c r="BEG124" s="244"/>
      <c r="BEH124" s="244"/>
      <c r="BEI124" s="244"/>
      <c r="BEJ124" s="244"/>
      <c r="BEK124" s="244"/>
      <c r="BEL124" s="244"/>
      <c r="BEM124" s="244"/>
      <c r="BEN124" s="244"/>
      <c r="BEO124" s="244"/>
      <c r="BEP124" s="244"/>
      <c r="BEQ124" s="244"/>
      <c r="BER124" s="244"/>
      <c r="BES124" s="244"/>
      <c r="BET124" s="244"/>
      <c r="BEU124" s="244"/>
      <c r="BEV124" s="244"/>
      <c r="BEW124" s="244"/>
      <c r="BEX124" s="244"/>
      <c r="BEY124" s="244"/>
      <c r="BEZ124" s="244"/>
      <c r="BFA124" s="244"/>
      <c r="BFB124" s="244"/>
      <c r="BFC124" s="244"/>
      <c r="BFD124" s="244"/>
      <c r="BFE124" s="244"/>
      <c r="BFF124" s="244"/>
      <c r="BFG124" s="244"/>
      <c r="BFH124" s="244"/>
      <c r="BFI124" s="244"/>
      <c r="BFJ124" s="244"/>
      <c r="BFK124" s="244"/>
      <c r="BFL124" s="244"/>
      <c r="BFM124" s="244"/>
      <c r="BFN124" s="244"/>
      <c r="BFO124" s="244"/>
      <c r="BFP124" s="244"/>
      <c r="BFQ124" s="244"/>
      <c r="BFR124" s="244"/>
      <c r="BFS124" s="244"/>
      <c r="BFT124" s="244"/>
      <c r="BFU124" s="244"/>
      <c r="BFV124" s="244"/>
      <c r="BFW124" s="244"/>
      <c r="BFX124" s="244"/>
      <c r="BFY124" s="244"/>
      <c r="BFZ124" s="244"/>
      <c r="BGA124" s="244"/>
      <c r="BGB124" s="244"/>
      <c r="BGC124" s="244"/>
      <c r="BGD124" s="244"/>
      <c r="BGE124" s="244"/>
      <c r="BGF124" s="244"/>
      <c r="BGG124" s="244"/>
      <c r="BGH124" s="244"/>
      <c r="BGI124" s="244"/>
      <c r="BGJ124" s="244"/>
      <c r="BGK124" s="244"/>
      <c r="BGL124" s="244"/>
      <c r="BGM124" s="244"/>
      <c r="BGN124" s="244"/>
      <c r="BGO124" s="244"/>
      <c r="BGP124" s="244"/>
      <c r="BGQ124" s="244"/>
      <c r="BGR124" s="244"/>
      <c r="BGS124" s="244"/>
      <c r="BGT124" s="244"/>
      <c r="BGU124" s="244"/>
      <c r="BGV124" s="244"/>
      <c r="BGW124" s="244"/>
      <c r="BGX124" s="244"/>
      <c r="BGY124" s="244"/>
      <c r="BGZ124" s="244"/>
      <c r="BHA124" s="244"/>
      <c r="BHB124" s="244"/>
      <c r="BHC124" s="244"/>
      <c r="BHD124" s="244"/>
      <c r="BHE124" s="244"/>
      <c r="BHF124" s="244"/>
      <c r="BHG124" s="244"/>
      <c r="BHH124" s="244"/>
      <c r="BHI124" s="244"/>
      <c r="BHJ124" s="244"/>
      <c r="BHK124" s="244"/>
      <c r="BHL124" s="244"/>
      <c r="BHM124" s="244"/>
      <c r="BHN124" s="244"/>
      <c r="BHO124" s="244"/>
      <c r="BHP124" s="244"/>
      <c r="BHQ124" s="244"/>
      <c r="BHR124" s="244"/>
      <c r="BHS124" s="244"/>
      <c r="BHT124" s="244"/>
      <c r="BHU124" s="244"/>
      <c r="BHV124" s="244"/>
      <c r="BHW124" s="244"/>
      <c r="BHX124" s="244"/>
      <c r="BHY124" s="244"/>
      <c r="BHZ124" s="244"/>
      <c r="BIA124" s="244"/>
      <c r="BIB124" s="244"/>
      <c r="BIC124" s="244"/>
      <c r="BID124" s="244"/>
      <c r="BIE124" s="244"/>
      <c r="BIF124" s="244"/>
      <c r="BIG124" s="244"/>
      <c r="BIH124" s="244"/>
      <c r="BII124" s="244"/>
      <c r="BIJ124" s="244"/>
      <c r="BIK124" s="244"/>
      <c r="BIL124" s="244"/>
      <c r="BIM124" s="244"/>
      <c r="BIN124" s="244"/>
      <c r="BIO124" s="244"/>
      <c r="BIP124" s="244"/>
      <c r="BIQ124" s="244"/>
      <c r="BIR124" s="244"/>
      <c r="BIS124" s="244"/>
      <c r="BIT124" s="244"/>
      <c r="BIU124" s="244"/>
      <c r="BIV124" s="244"/>
      <c r="BIW124" s="244"/>
      <c r="BIX124" s="244"/>
      <c r="BIY124" s="244"/>
      <c r="BIZ124" s="244"/>
      <c r="BJA124" s="244"/>
      <c r="BJB124" s="244"/>
      <c r="BJC124" s="244"/>
      <c r="BJD124" s="244"/>
      <c r="BJE124" s="244"/>
      <c r="BJF124" s="244"/>
      <c r="BJG124" s="244"/>
      <c r="BJH124" s="244"/>
      <c r="BJI124" s="244"/>
      <c r="BJJ124" s="244"/>
      <c r="BJK124" s="244"/>
      <c r="BJL124" s="244"/>
      <c r="BJM124" s="244"/>
      <c r="BJN124" s="244"/>
      <c r="BJO124" s="244"/>
      <c r="BJP124" s="244"/>
      <c r="BJQ124" s="244"/>
      <c r="BJR124" s="244"/>
      <c r="BJS124" s="244"/>
      <c r="BJT124" s="244"/>
      <c r="BJU124" s="244"/>
      <c r="BJV124" s="244"/>
      <c r="BJW124" s="244"/>
      <c r="BJX124" s="244"/>
      <c r="BJY124" s="244"/>
      <c r="BJZ124" s="244"/>
      <c r="BKA124" s="244"/>
      <c r="BKB124" s="244"/>
      <c r="BKC124" s="244"/>
      <c r="BKD124" s="244"/>
      <c r="BKE124" s="244"/>
      <c r="BKF124" s="244"/>
      <c r="BKG124" s="244"/>
      <c r="BKH124" s="244"/>
      <c r="BKI124" s="244"/>
      <c r="BKJ124" s="244"/>
      <c r="BKK124" s="244"/>
      <c r="BKL124" s="244"/>
      <c r="BKM124" s="244"/>
      <c r="BKN124" s="244"/>
      <c r="BKO124" s="244"/>
      <c r="BKP124" s="244"/>
      <c r="BKQ124" s="244"/>
      <c r="BKR124" s="244"/>
      <c r="BKS124" s="244"/>
      <c r="BKT124" s="244"/>
      <c r="BKU124" s="244"/>
      <c r="BKV124" s="244"/>
      <c r="BKW124" s="244"/>
      <c r="BKX124" s="244"/>
      <c r="BKY124" s="244"/>
      <c r="BKZ124" s="244"/>
      <c r="BLA124" s="244"/>
      <c r="BLB124" s="244"/>
      <c r="BLC124" s="244"/>
      <c r="BLD124" s="244"/>
      <c r="BLE124" s="244"/>
      <c r="BLF124" s="244"/>
      <c r="BLG124" s="244"/>
      <c r="BLH124" s="244"/>
      <c r="BLI124" s="244"/>
      <c r="BLJ124" s="244"/>
      <c r="BLK124" s="244"/>
      <c r="BLL124" s="244"/>
      <c r="BLM124" s="244"/>
      <c r="BLN124" s="244"/>
      <c r="BLO124" s="244"/>
      <c r="BLP124" s="244"/>
      <c r="BLQ124" s="244"/>
      <c r="BLR124" s="244"/>
      <c r="BLS124" s="244"/>
      <c r="BLT124" s="244"/>
      <c r="BLU124" s="244"/>
      <c r="BLV124" s="244"/>
      <c r="BLW124" s="244"/>
      <c r="BLX124" s="244"/>
      <c r="BLY124" s="244"/>
      <c r="BLZ124" s="244"/>
      <c r="BMA124" s="244"/>
      <c r="BMB124" s="244"/>
      <c r="BMC124" s="244"/>
      <c r="BMD124" s="244"/>
      <c r="BME124" s="244"/>
      <c r="BMF124" s="244"/>
      <c r="BMG124" s="244"/>
      <c r="BMH124" s="244"/>
      <c r="BMI124" s="244"/>
      <c r="BMJ124" s="244"/>
      <c r="BMK124" s="244"/>
      <c r="BML124" s="244"/>
      <c r="BMM124" s="244"/>
      <c r="BMN124" s="244"/>
      <c r="BMO124" s="244"/>
      <c r="BMP124" s="244"/>
      <c r="BMQ124" s="244"/>
      <c r="BMR124" s="244"/>
      <c r="BMS124" s="244"/>
      <c r="BMT124" s="244"/>
      <c r="BMU124" s="244"/>
      <c r="BMV124" s="244"/>
      <c r="BMW124" s="244"/>
      <c r="BMX124" s="244"/>
      <c r="BMY124" s="244"/>
      <c r="BMZ124" s="244"/>
      <c r="BNA124" s="244"/>
      <c r="BNB124" s="244"/>
      <c r="BNC124" s="244"/>
      <c r="BND124" s="244"/>
      <c r="BNE124" s="244"/>
      <c r="BNF124" s="244"/>
      <c r="BNG124" s="244"/>
      <c r="BNH124" s="244"/>
      <c r="BNI124" s="244"/>
      <c r="BNJ124" s="244"/>
      <c r="BNK124" s="244"/>
      <c r="BNL124" s="244"/>
      <c r="BNM124" s="244"/>
      <c r="BNN124" s="244"/>
      <c r="BNO124" s="244"/>
      <c r="BNP124" s="244"/>
      <c r="BNQ124" s="244"/>
      <c r="BNR124" s="244"/>
      <c r="BNS124" s="244"/>
      <c r="BNT124" s="244"/>
      <c r="BNU124" s="244"/>
      <c r="BNV124" s="244"/>
      <c r="BNW124" s="244"/>
      <c r="BNX124" s="244"/>
      <c r="BNY124" s="244"/>
      <c r="BNZ124" s="244"/>
      <c r="BOA124" s="244"/>
      <c r="BOB124" s="244"/>
      <c r="BOC124" s="244"/>
      <c r="BOD124" s="244"/>
      <c r="BOE124" s="244"/>
      <c r="BOF124" s="244"/>
      <c r="BOG124" s="244"/>
      <c r="BOH124" s="244"/>
      <c r="BOI124" s="244"/>
      <c r="BOJ124" s="244"/>
      <c r="BOK124" s="244"/>
      <c r="BOL124" s="244"/>
      <c r="BOM124" s="244"/>
      <c r="BON124" s="244"/>
      <c r="BOO124" s="244"/>
      <c r="BOP124" s="244"/>
      <c r="BOQ124" s="244"/>
      <c r="BOR124" s="244"/>
      <c r="BOS124" s="244"/>
      <c r="BOT124" s="244"/>
      <c r="BOU124" s="244"/>
      <c r="BOV124" s="244"/>
      <c r="BOW124" s="244"/>
      <c r="BOX124" s="244"/>
      <c r="BOY124" s="244"/>
      <c r="BOZ124" s="244"/>
      <c r="BPA124" s="244"/>
      <c r="BPB124" s="244"/>
      <c r="BPC124" s="244"/>
      <c r="BPD124" s="244"/>
      <c r="BPE124" s="244"/>
      <c r="BPF124" s="244"/>
      <c r="BPG124" s="244"/>
      <c r="BPH124" s="244"/>
      <c r="BPI124" s="244"/>
      <c r="BPJ124" s="244"/>
      <c r="BPK124" s="244"/>
      <c r="BPL124" s="244"/>
      <c r="BPM124" s="244"/>
      <c r="BPN124" s="244"/>
      <c r="BPO124" s="244"/>
      <c r="BPP124" s="244"/>
      <c r="BPQ124" s="244"/>
      <c r="BPR124" s="244"/>
      <c r="BPS124" s="244"/>
      <c r="BPT124" s="244"/>
      <c r="BPU124" s="244"/>
      <c r="BPV124" s="244"/>
      <c r="BPW124" s="244"/>
      <c r="BPX124" s="244"/>
      <c r="BPY124" s="244"/>
      <c r="BPZ124" s="244"/>
      <c r="BQA124" s="244"/>
      <c r="BQB124" s="244"/>
      <c r="BQC124" s="244"/>
      <c r="BQD124" s="244"/>
      <c r="BQE124" s="244"/>
      <c r="BQF124" s="244"/>
      <c r="BQG124" s="244"/>
      <c r="BQH124" s="244"/>
      <c r="BQI124" s="244"/>
      <c r="BQJ124" s="244"/>
      <c r="BQK124" s="244"/>
      <c r="BQL124" s="244"/>
      <c r="BQM124" s="244"/>
      <c r="BQN124" s="244"/>
      <c r="BQO124" s="244"/>
      <c r="BQP124" s="244"/>
      <c r="BQQ124" s="244"/>
      <c r="BQR124" s="244"/>
      <c r="BQS124" s="244"/>
      <c r="BQT124" s="244"/>
      <c r="BQU124" s="244"/>
      <c r="BQV124" s="244"/>
      <c r="BQW124" s="244"/>
      <c r="BQX124" s="244"/>
      <c r="BQY124" s="244"/>
      <c r="BQZ124" s="244"/>
      <c r="BRA124" s="244"/>
      <c r="BRB124" s="244"/>
      <c r="BRC124" s="244"/>
      <c r="BRD124" s="244"/>
      <c r="BRE124" s="244"/>
      <c r="BRF124" s="244"/>
      <c r="BRG124" s="244"/>
      <c r="BRH124" s="244"/>
      <c r="BRI124" s="244"/>
      <c r="BRJ124" s="244"/>
      <c r="BRK124" s="244"/>
      <c r="BRL124" s="244"/>
      <c r="BRM124" s="244"/>
      <c r="BRN124" s="244"/>
      <c r="BRO124" s="244"/>
      <c r="BRP124" s="244"/>
      <c r="BRQ124" s="244"/>
      <c r="BRR124" s="244"/>
      <c r="BRS124" s="244"/>
      <c r="BRT124" s="244"/>
      <c r="BRU124" s="244"/>
      <c r="BRV124" s="244"/>
      <c r="BRW124" s="244"/>
      <c r="BRX124" s="244"/>
      <c r="BRY124" s="244"/>
      <c r="BRZ124" s="244"/>
      <c r="BSA124" s="244"/>
      <c r="BSB124" s="244"/>
      <c r="BSC124" s="244"/>
      <c r="BSD124" s="244"/>
      <c r="BSE124" s="244"/>
      <c r="BSF124" s="244"/>
      <c r="BSG124" s="244"/>
      <c r="BSH124" s="244"/>
      <c r="BSI124" s="244"/>
      <c r="BSJ124" s="244"/>
      <c r="BSK124" s="244"/>
      <c r="BSL124" s="244"/>
      <c r="BSM124" s="244"/>
      <c r="BSN124" s="244"/>
      <c r="BSO124" s="244"/>
      <c r="BSP124" s="244"/>
      <c r="BSQ124" s="244"/>
      <c r="BSR124" s="244"/>
      <c r="BSS124" s="244"/>
      <c r="BST124" s="244"/>
      <c r="BSU124" s="244"/>
      <c r="BSV124" s="244"/>
      <c r="BSW124" s="244"/>
      <c r="BSX124" s="244"/>
      <c r="BSY124" s="244"/>
      <c r="BSZ124" s="244"/>
      <c r="BTA124" s="244"/>
      <c r="BTB124" s="244"/>
      <c r="BTC124" s="244"/>
      <c r="BTD124" s="244"/>
      <c r="BTE124" s="244"/>
      <c r="BTF124" s="244"/>
      <c r="BTG124" s="244"/>
      <c r="BTH124" s="244"/>
      <c r="BTI124" s="244"/>
      <c r="BTJ124" s="244"/>
      <c r="BTK124" s="244"/>
      <c r="BTL124" s="244"/>
      <c r="BTM124" s="244"/>
      <c r="BTN124" s="244"/>
      <c r="BTO124" s="244"/>
      <c r="BTP124" s="244"/>
      <c r="BTQ124" s="244"/>
      <c r="BTR124" s="244"/>
      <c r="BTS124" s="244"/>
      <c r="BTT124" s="244"/>
      <c r="BTU124" s="244"/>
      <c r="BTV124" s="244"/>
      <c r="BTW124" s="244"/>
      <c r="BTX124" s="244"/>
      <c r="BTY124" s="244"/>
      <c r="BTZ124" s="244"/>
      <c r="BUA124" s="244"/>
      <c r="BUB124" s="244"/>
      <c r="BUC124" s="244"/>
      <c r="BUD124" s="244"/>
      <c r="BUE124" s="244"/>
      <c r="BUF124" s="244"/>
      <c r="BUG124" s="244"/>
      <c r="BUH124" s="244"/>
      <c r="BUI124" s="244"/>
      <c r="BUJ124" s="244"/>
      <c r="BUK124" s="244"/>
      <c r="BUL124" s="244"/>
      <c r="BUM124" s="244"/>
      <c r="BUN124" s="244"/>
      <c r="BUO124" s="244"/>
      <c r="BUP124" s="244"/>
      <c r="BUQ124" s="244"/>
      <c r="BUR124" s="244"/>
      <c r="BUS124" s="244"/>
      <c r="BUT124" s="244"/>
      <c r="BUU124" s="244"/>
      <c r="BUV124" s="244"/>
      <c r="BUW124" s="244"/>
      <c r="BUX124" s="244"/>
      <c r="BUY124" s="244"/>
      <c r="BUZ124" s="244"/>
      <c r="BVA124" s="244"/>
      <c r="BVB124" s="244"/>
      <c r="BVC124" s="244"/>
      <c r="BVD124" s="244"/>
      <c r="BVE124" s="244"/>
      <c r="BVF124" s="244"/>
      <c r="BVG124" s="244"/>
      <c r="BVH124" s="244"/>
      <c r="BVI124" s="244"/>
      <c r="BVJ124" s="244"/>
      <c r="BVK124" s="244"/>
      <c r="BVL124" s="244"/>
      <c r="BVM124" s="244"/>
      <c r="BVN124" s="244"/>
      <c r="BVO124" s="244"/>
      <c r="BVP124" s="244"/>
      <c r="BVQ124" s="244"/>
      <c r="BVR124" s="244"/>
      <c r="BVS124" s="244"/>
      <c r="BVT124" s="244"/>
      <c r="BVU124" s="244"/>
      <c r="BVV124" s="244"/>
      <c r="BVW124" s="244"/>
      <c r="BVX124" s="244"/>
      <c r="BVY124" s="244"/>
      <c r="BVZ124" s="244"/>
      <c r="BWA124" s="244"/>
      <c r="BWB124" s="244"/>
      <c r="BWC124" s="244"/>
      <c r="BWD124" s="244"/>
      <c r="BWE124" s="244"/>
      <c r="BWF124" s="244"/>
      <c r="BWG124" s="244"/>
      <c r="BWH124" s="244"/>
      <c r="BWI124" s="244"/>
      <c r="BWJ124" s="244"/>
      <c r="BWK124" s="244"/>
      <c r="BWL124" s="244"/>
      <c r="BWM124" s="244"/>
      <c r="BWN124" s="244"/>
      <c r="BWO124" s="244"/>
      <c r="BWP124" s="244"/>
      <c r="BWQ124" s="244"/>
      <c r="BWR124" s="244"/>
      <c r="BWS124" s="244"/>
      <c r="BWT124" s="244"/>
      <c r="BWU124" s="244"/>
      <c r="BWV124" s="244"/>
      <c r="BWW124" s="244"/>
      <c r="BWX124" s="244"/>
      <c r="BWY124" s="244"/>
      <c r="BWZ124" s="244"/>
      <c r="BXA124" s="244"/>
      <c r="BXB124" s="244"/>
      <c r="BXC124" s="244"/>
      <c r="BXD124" s="244"/>
      <c r="BXE124" s="244"/>
      <c r="BXF124" s="244"/>
      <c r="BXG124" s="244"/>
      <c r="BXH124" s="244"/>
      <c r="BXI124" s="244"/>
      <c r="BXJ124" s="244"/>
      <c r="BXK124" s="244"/>
      <c r="BXL124" s="244"/>
      <c r="BXM124" s="244"/>
      <c r="BXN124" s="244"/>
      <c r="BXO124" s="244"/>
      <c r="BXP124" s="244"/>
      <c r="BXQ124" s="244"/>
      <c r="BXR124" s="244"/>
      <c r="BXS124" s="244"/>
      <c r="BXT124" s="244"/>
      <c r="BXU124" s="244"/>
      <c r="BXV124" s="244"/>
      <c r="BXW124" s="244"/>
      <c r="BXX124" s="244"/>
      <c r="BXY124" s="244"/>
      <c r="BXZ124" s="244"/>
      <c r="BYA124" s="244"/>
      <c r="BYB124" s="244"/>
      <c r="BYC124" s="244"/>
      <c r="BYD124" s="244"/>
      <c r="BYE124" s="244"/>
      <c r="BYF124" s="244"/>
      <c r="BYG124" s="244"/>
      <c r="BYH124" s="244"/>
      <c r="BYI124" s="244"/>
      <c r="BYJ124" s="244"/>
      <c r="BYK124" s="244"/>
      <c r="BYL124" s="244"/>
      <c r="BYM124" s="244"/>
      <c r="BYN124" s="244"/>
      <c r="BYO124" s="244"/>
      <c r="BYP124" s="244"/>
      <c r="BYQ124" s="244"/>
      <c r="BYR124" s="244"/>
      <c r="BYS124" s="244"/>
      <c r="BYT124" s="244"/>
      <c r="BYU124" s="244"/>
      <c r="BYV124" s="244"/>
      <c r="BYW124" s="244"/>
      <c r="BYX124" s="244"/>
      <c r="BYY124" s="244"/>
      <c r="BYZ124" s="244"/>
      <c r="BZA124" s="244"/>
      <c r="BZB124" s="244"/>
      <c r="BZC124" s="244"/>
      <c r="BZD124" s="244"/>
      <c r="BZE124" s="244"/>
      <c r="BZF124" s="244"/>
      <c r="BZG124" s="244"/>
      <c r="BZH124" s="244"/>
      <c r="BZI124" s="244"/>
      <c r="BZJ124" s="244"/>
      <c r="BZK124" s="244"/>
      <c r="BZL124" s="244"/>
      <c r="BZM124" s="244"/>
      <c r="BZN124" s="244"/>
      <c r="BZO124" s="244"/>
      <c r="BZP124" s="244"/>
      <c r="BZQ124" s="244"/>
      <c r="BZR124" s="244"/>
      <c r="BZS124" s="244"/>
      <c r="BZT124" s="244"/>
      <c r="BZU124" s="244"/>
      <c r="BZV124" s="244"/>
      <c r="BZW124" s="244"/>
      <c r="BZX124" s="244"/>
      <c r="BZY124" s="244"/>
      <c r="BZZ124" s="244"/>
      <c r="CAA124" s="244"/>
      <c r="CAB124" s="244"/>
      <c r="CAC124" s="244"/>
      <c r="CAD124" s="244"/>
      <c r="CAE124" s="244"/>
      <c r="CAF124" s="244"/>
      <c r="CAG124" s="244"/>
      <c r="CAH124" s="244"/>
      <c r="CAI124" s="244"/>
      <c r="CAJ124" s="244"/>
      <c r="CAK124" s="244"/>
      <c r="CAL124" s="244"/>
      <c r="CAM124" s="244"/>
      <c r="CAN124" s="244"/>
      <c r="CAO124" s="244"/>
      <c r="CAP124" s="244"/>
      <c r="CAQ124" s="244"/>
      <c r="CAR124" s="244"/>
      <c r="CAS124" s="244"/>
      <c r="CAT124" s="244"/>
      <c r="CAU124" s="244"/>
      <c r="CAV124" s="244"/>
      <c r="CAW124" s="244"/>
      <c r="CAX124" s="244"/>
      <c r="CAY124" s="244"/>
      <c r="CAZ124" s="244"/>
      <c r="CBA124" s="244"/>
      <c r="CBB124" s="244"/>
      <c r="CBC124" s="244"/>
      <c r="CBD124" s="244"/>
      <c r="CBE124" s="244"/>
      <c r="CBF124" s="244"/>
      <c r="CBG124" s="244"/>
      <c r="CBH124" s="244"/>
      <c r="CBI124" s="244"/>
      <c r="CBJ124" s="244"/>
      <c r="CBK124" s="244"/>
      <c r="CBL124" s="244"/>
      <c r="CBM124" s="244"/>
      <c r="CBN124" s="244"/>
      <c r="CBO124" s="244"/>
      <c r="CBP124" s="244"/>
      <c r="CBQ124" s="244"/>
      <c r="CBR124" s="244"/>
      <c r="CBS124" s="244"/>
      <c r="CBT124" s="244"/>
      <c r="CBU124" s="244"/>
      <c r="CBV124" s="244"/>
      <c r="CBW124" s="244"/>
      <c r="CBX124" s="244"/>
      <c r="CBY124" s="244"/>
      <c r="CBZ124" s="244"/>
      <c r="CCA124" s="244"/>
      <c r="CCB124" s="244"/>
      <c r="CCC124" s="244"/>
      <c r="CCD124" s="244"/>
      <c r="CCE124" s="244"/>
      <c r="CCF124" s="244"/>
      <c r="CCG124" s="244"/>
      <c r="CCH124" s="244"/>
      <c r="CCI124" s="244"/>
      <c r="CCJ124" s="244"/>
      <c r="CCK124" s="244"/>
      <c r="CCL124" s="244"/>
      <c r="CCM124" s="244"/>
      <c r="CCN124" s="244"/>
      <c r="CCO124" s="244"/>
      <c r="CCP124" s="244"/>
      <c r="CCQ124" s="244"/>
      <c r="CCR124" s="244"/>
      <c r="CCS124" s="244"/>
      <c r="CCT124" s="244"/>
      <c r="CCU124" s="244"/>
      <c r="CCV124" s="244"/>
      <c r="CCW124" s="244"/>
      <c r="CCX124" s="244"/>
      <c r="CCY124" s="244"/>
      <c r="CCZ124" s="244"/>
      <c r="CDA124" s="244"/>
      <c r="CDB124" s="244"/>
      <c r="CDC124" s="244"/>
      <c r="CDD124" s="244"/>
      <c r="CDE124" s="244"/>
      <c r="CDF124" s="244"/>
      <c r="CDG124" s="244"/>
      <c r="CDH124" s="244"/>
      <c r="CDI124" s="244"/>
      <c r="CDJ124" s="244"/>
      <c r="CDK124" s="244"/>
      <c r="CDL124" s="244"/>
      <c r="CDM124" s="244"/>
      <c r="CDN124" s="244"/>
      <c r="CDO124" s="244"/>
      <c r="CDP124" s="244"/>
      <c r="CDQ124" s="244"/>
      <c r="CDR124" s="244"/>
      <c r="CDS124" s="244"/>
      <c r="CDT124" s="244"/>
      <c r="CDU124" s="244"/>
      <c r="CDV124" s="244"/>
      <c r="CDW124" s="244"/>
      <c r="CDX124" s="244"/>
      <c r="CDY124" s="244"/>
      <c r="CDZ124" s="244"/>
      <c r="CEA124" s="244"/>
      <c r="CEB124" s="244"/>
      <c r="CEC124" s="244"/>
      <c r="CED124" s="244"/>
      <c r="CEE124" s="244"/>
      <c r="CEF124" s="244"/>
      <c r="CEG124" s="244"/>
      <c r="CEH124" s="244"/>
      <c r="CEI124" s="244"/>
      <c r="CEJ124" s="244"/>
      <c r="CEK124" s="244"/>
      <c r="CEL124" s="244"/>
      <c r="CEM124" s="244"/>
      <c r="CEN124" s="244"/>
      <c r="CEO124" s="244"/>
      <c r="CEP124" s="244"/>
      <c r="CEQ124" s="244"/>
      <c r="CER124" s="244"/>
      <c r="CES124" s="244"/>
      <c r="CET124" s="244"/>
      <c r="CEU124" s="244"/>
      <c r="CEV124" s="244"/>
      <c r="CEW124" s="244"/>
      <c r="CEX124" s="244"/>
      <c r="CEY124" s="244"/>
      <c r="CEZ124" s="244"/>
      <c r="CFA124" s="244"/>
      <c r="CFB124" s="244"/>
      <c r="CFC124" s="244"/>
      <c r="CFD124" s="244"/>
      <c r="CFE124" s="244"/>
      <c r="CFF124" s="244"/>
      <c r="CFG124" s="244"/>
      <c r="CFH124" s="244"/>
      <c r="CFI124" s="244"/>
      <c r="CFJ124" s="244"/>
      <c r="CFK124" s="244"/>
      <c r="CFL124" s="244"/>
      <c r="CFM124" s="244"/>
      <c r="CFN124" s="244"/>
      <c r="CFO124" s="244"/>
      <c r="CFP124" s="244"/>
      <c r="CFQ124" s="244"/>
      <c r="CFR124" s="244"/>
      <c r="CFS124" s="244"/>
      <c r="CFT124" s="244"/>
      <c r="CFU124" s="244"/>
      <c r="CFV124" s="244"/>
      <c r="CFW124" s="244"/>
      <c r="CFX124" s="244"/>
      <c r="CFY124" s="244"/>
      <c r="CFZ124" s="244"/>
      <c r="CGA124" s="244"/>
      <c r="CGB124" s="244"/>
      <c r="CGC124" s="244"/>
      <c r="CGD124" s="244"/>
      <c r="CGE124" s="244"/>
      <c r="CGF124" s="244"/>
      <c r="CGG124" s="244"/>
      <c r="CGH124" s="244"/>
      <c r="CGI124" s="244"/>
      <c r="CGJ124" s="244"/>
      <c r="CGK124" s="244"/>
      <c r="CGL124" s="244"/>
      <c r="CGM124" s="244"/>
      <c r="CGN124" s="244"/>
      <c r="CGO124" s="244"/>
      <c r="CGP124" s="244"/>
      <c r="CGQ124" s="244"/>
      <c r="CGR124" s="244"/>
      <c r="CGS124" s="244"/>
      <c r="CGT124" s="244"/>
      <c r="CGU124" s="244"/>
      <c r="CGV124" s="244"/>
      <c r="CGW124" s="244"/>
      <c r="CGX124" s="244"/>
      <c r="CGY124" s="244"/>
      <c r="CGZ124" s="244"/>
      <c r="CHA124" s="244"/>
      <c r="CHB124" s="244"/>
      <c r="CHC124" s="244"/>
      <c r="CHD124" s="244"/>
      <c r="CHE124" s="244"/>
      <c r="CHF124" s="244"/>
      <c r="CHG124" s="244"/>
      <c r="CHH124" s="244"/>
      <c r="CHI124" s="244"/>
      <c r="CHJ124" s="244"/>
      <c r="CHK124" s="244"/>
      <c r="CHL124" s="244"/>
      <c r="CHM124" s="244"/>
      <c r="CHN124" s="244"/>
      <c r="CHO124" s="244"/>
      <c r="CHP124" s="244"/>
      <c r="CHQ124" s="244"/>
      <c r="CHR124" s="244"/>
      <c r="CHS124" s="244"/>
      <c r="CHT124" s="244"/>
      <c r="CHU124" s="244"/>
      <c r="CHV124" s="244"/>
      <c r="CHW124" s="244"/>
      <c r="CHX124" s="244"/>
      <c r="CHY124" s="244"/>
      <c r="CHZ124" s="244"/>
      <c r="CIA124" s="244"/>
      <c r="CIB124" s="244"/>
      <c r="CIC124" s="244"/>
      <c r="CID124" s="244"/>
      <c r="CIE124" s="244"/>
      <c r="CIF124" s="244"/>
      <c r="CIG124" s="244"/>
      <c r="CIH124" s="244"/>
      <c r="CII124" s="244"/>
      <c r="CIJ124" s="244"/>
      <c r="CIK124" s="244"/>
      <c r="CIL124" s="244"/>
      <c r="CIM124" s="244"/>
      <c r="CIN124" s="244"/>
      <c r="CIO124" s="244"/>
      <c r="CIP124" s="244"/>
      <c r="CIQ124" s="244"/>
      <c r="CIR124" s="244"/>
      <c r="CIS124" s="244"/>
      <c r="CIT124" s="244"/>
      <c r="CIU124" s="244"/>
      <c r="CIV124" s="244"/>
      <c r="CIW124" s="244"/>
      <c r="CIX124" s="244"/>
      <c r="CIY124" s="244"/>
      <c r="CIZ124" s="244"/>
      <c r="CJA124" s="244"/>
      <c r="CJB124" s="244"/>
      <c r="CJC124" s="244"/>
      <c r="CJD124" s="244"/>
      <c r="CJE124" s="244"/>
      <c r="CJF124" s="244"/>
      <c r="CJG124" s="244"/>
      <c r="CJH124" s="244"/>
      <c r="CJI124" s="244"/>
      <c r="CJJ124" s="244"/>
      <c r="CJK124" s="244"/>
      <c r="CJL124" s="244"/>
      <c r="CJM124" s="244"/>
      <c r="CJN124" s="244"/>
      <c r="CJO124" s="244"/>
      <c r="CJP124" s="244"/>
      <c r="CJQ124" s="244"/>
      <c r="CJR124" s="244"/>
      <c r="CJS124" s="244"/>
      <c r="CJT124" s="244"/>
      <c r="CJU124" s="244"/>
      <c r="CJV124" s="244"/>
      <c r="CJW124" s="244"/>
      <c r="CJX124" s="244"/>
      <c r="CJY124" s="244"/>
      <c r="CJZ124" s="244"/>
      <c r="CKA124" s="244"/>
      <c r="CKB124" s="244"/>
      <c r="CKC124" s="244"/>
      <c r="CKD124" s="244"/>
      <c r="CKE124" s="244"/>
      <c r="CKF124" s="244"/>
      <c r="CKG124" s="244"/>
      <c r="CKH124" s="244"/>
      <c r="CKI124" s="244"/>
      <c r="CKJ124" s="244"/>
      <c r="CKK124" s="244"/>
      <c r="CKL124" s="244"/>
      <c r="CKM124" s="244"/>
      <c r="CKN124" s="244"/>
      <c r="CKO124" s="244"/>
      <c r="CKP124" s="244"/>
      <c r="CKQ124" s="244"/>
      <c r="CKR124" s="244"/>
      <c r="CKS124" s="244"/>
      <c r="CKT124" s="244"/>
      <c r="CKU124" s="244"/>
      <c r="CKV124" s="244"/>
      <c r="CKW124" s="244"/>
      <c r="CKX124" s="244"/>
      <c r="CKY124" s="244"/>
      <c r="CKZ124" s="244"/>
      <c r="CLA124" s="244"/>
      <c r="CLB124" s="244"/>
      <c r="CLC124" s="244"/>
      <c r="CLD124" s="244"/>
      <c r="CLE124" s="244"/>
      <c r="CLF124" s="244"/>
      <c r="CLG124" s="244"/>
      <c r="CLH124" s="244"/>
      <c r="CLI124" s="244"/>
      <c r="CLJ124" s="244"/>
      <c r="CLK124" s="244"/>
      <c r="CLL124" s="244"/>
      <c r="CLM124" s="244"/>
      <c r="CLN124" s="244"/>
      <c r="CLO124" s="244"/>
      <c r="CLP124" s="244"/>
      <c r="CLQ124" s="244"/>
      <c r="CLR124" s="244"/>
      <c r="CLS124" s="244"/>
      <c r="CLT124" s="244"/>
      <c r="CLU124" s="244"/>
      <c r="CLV124" s="244"/>
      <c r="CLW124" s="244"/>
      <c r="CLX124" s="244"/>
      <c r="CLY124" s="244"/>
      <c r="CLZ124" s="244"/>
      <c r="CMA124" s="244"/>
      <c r="CMB124" s="244"/>
      <c r="CMC124" s="244"/>
      <c r="CMD124" s="244"/>
      <c r="CME124" s="244"/>
      <c r="CMF124" s="244"/>
      <c r="CMG124" s="244"/>
      <c r="CMH124" s="244"/>
      <c r="CMI124" s="244"/>
      <c r="CMJ124" s="244"/>
      <c r="CMK124" s="244"/>
      <c r="CML124" s="244"/>
      <c r="CMM124" s="244"/>
      <c r="CMN124" s="244"/>
      <c r="CMO124" s="244"/>
      <c r="CMP124" s="244"/>
      <c r="CMQ124" s="244"/>
      <c r="CMR124" s="244"/>
      <c r="CMS124" s="244"/>
      <c r="CMT124" s="244"/>
      <c r="CMU124" s="244"/>
      <c r="CMV124" s="244"/>
      <c r="CMW124" s="244"/>
      <c r="CMX124" s="244"/>
      <c r="CMY124" s="244"/>
      <c r="CMZ124" s="244"/>
      <c r="CNA124" s="244"/>
      <c r="CNB124" s="244"/>
      <c r="CNC124" s="244"/>
      <c r="CND124" s="244"/>
      <c r="CNE124" s="244"/>
      <c r="CNF124" s="244"/>
      <c r="CNG124" s="244"/>
      <c r="CNH124" s="244"/>
      <c r="CNI124" s="244"/>
      <c r="CNJ124" s="244"/>
      <c r="CNK124" s="244"/>
      <c r="CNL124" s="244"/>
      <c r="CNM124" s="244"/>
      <c r="CNN124" s="244"/>
      <c r="CNO124" s="244"/>
      <c r="CNP124" s="244"/>
      <c r="CNQ124" s="244"/>
      <c r="CNR124" s="244"/>
      <c r="CNS124" s="244"/>
      <c r="CNT124" s="244"/>
      <c r="CNU124" s="244"/>
      <c r="CNV124" s="244"/>
      <c r="CNW124" s="244"/>
      <c r="CNX124" s="244"/>
      <c r="CNY124" s="244"/>
      <c r="CNZ124" s="244"/>
      <c r="COA124" s="244"/>
      <c r="COB124" s="244"/>
      <c r="COC124" s="244"/>
      <c r="COD124" s="244"/>
      <c r="COE124" s="244"/>
      <c r="COF124" s="244"/>
      <c r="COG124" s="244"/>
      <c r="COH124" s="244"/>
      <c r="COI124" s="244"/>
      <c r="COJ124" s="244"/>
      <c r="COK124" s="244"/>
      <c r="COL124" s="244"/>
      <c r="COM124" s="244"/>
      <c r="CON124" s="244"/>
      <c r="COO124" s="244"/>
      <c r="COP124" s="244"/>
      <c r="COQ124" s="244"/>
      <c r="COR124" s="244"/>
      <c r="COS124" s="244"/>
      <c r="COT124" s="244"/>
      <c r="COU124" s="244"/>
      <c r="COV124" s="244"/>
      <c r="COW124" s="244"/>
      <c r="COX124" s="244"/>
      <c r="COY124" s="244"/>
      <c r="COZ124" s="244"/>
      <c r="CPA124" s="244"/>
      <c r="CPB124" s="244"/>
      <c r="CPC124" s="244"/>
      <c r="CPD124" s="244"/>
      <c r="CPE124" s="244"/>
      <c r="CPF124" s="244"/>
      <c r="CPG124" s="244"/>
      <c r="CPH124" s="244"/>
      <c r="CPI124" s="244"/>
      <c r="CPJ124" s="244"/>
      <c r="CPK124" s="244"/>
      <c r="CPL124" s="244"/>
      <c r="CPM124" s="244"/>
      <c r="CPN124" s="244"/>
      <c r="CPO124" s="244"/>
      <c r="CPP124" s="244"/>
      <c r="CPQ124" s="244"/>
      <c r="CPR124" s="244"/>
      <c r="CPS124" s="244"/>
      <c r="CPT124" s="244"/>
      <c r="CPU124" s="244"/>
      <c r="CPV124" s="244"/>
      <c r="CPW124" s="244"/>
      <c r="CPX124" s="244"/>
      <c r="CPY124" s="244"/>
      <c r="CPZ124" s="244"/>
      <c r="CQA124" s="244"/>
      <c r="CQB124" s="244"/>
      <c r="CQC124" s="244"/>
      <c r="CQD124" s="244"/>
      <c r="CQE124" s="244"/>
      <c r="CQF124" s="244"/>
      <c r="CQG124" s="244"/>
      <c r="CQH124" s="244"/>
      <c r="CQI124" s="244"/>
      <c r="CQJ124" s="244"/>
      <c r="CQK124" s="244"/>
      <c r="CQL124" s="244"/>
      <c r="CQM124" s="244"/>
      <c r="CQN124" s="244"/>
      <c r="CQO124" s="244"/>
      <c r="CQP124" s="244"/>
      <c r="CQQ124" s="244"/>
      <c r="CQR124" s="244"/>
      <c r="CQS124" s="244"/>
      <c r="CQT124" s="244"/>
      <c r="CQU124" s="244"/>
      <c r="CQV124" s="244"/>
      <c r="CQW124" s="244"/>
      <c r="CQX124" s="244"/>
      <c r="CQY124" s="244"/>
      <c r="CQZ124" s="244"/>
      <c r="CRA124" s="244"/>
      <c r="CRB124" s="244"/>
      <c r="CRC124" s="244"/>
      <c r="CRD124" s="244"/>
      <c r="CRE124" s="244"/>
      <c r="CRF124" s="244"/>
      <c r="CRG124" s="244"/>
      <c r="CRH124" s="244"/>
      <c r="CRI124" s="244"/>
      <c r="CRJ124" s="244"/>
      <c r="CRK124" s="244"/>
      <c r="CRL124" s="244"/>
      <c r="CRM124" s="244"/>
      <c r="CRN124" s="244"/>
      <c r="CRO124" s="244"/>
      <c r="CRP124" s="244"/>
      <c r="CRQ124" s="244"/>
      <c r="CRR124" s="244"/>
      <c r="CRS124" s="244"/>
      <c r="CRT124" s="244"/>
      <c r="CRU124" s="244"/>
      <c r="CRV124" s="244"/>
      <c r="CRW124" s="244"/>
      <c r="CRX124" s="244"/>
      <c r="CRY124" s="244"/>
      <c r="CRZ124" s="244"/>
      <c r="CSA124" s="244"/>
      <c r="CSB124" s="244"/>
      <c r="CSC124" s="244"/>
      <c r="CSD124" s="244"/>
      <c r="CSE124" s="244"/>
      <c r="CSF124" s="244"/>
      <c r="CSG124" s="244"/>
      <c r="CSH124" s="244"/>
      <c r="CSI124" s="244"/>
      <c r="CSJ124" s="244"/>
      <c r="CSK124" s="244"/>
      <c r="CSL124" s="244"/>
      <c r="CSM124" s="244"/>
      <c r="CSN124" s="244"/>
      <c r="CSO124" s="244"/>
      <c r="CSP124" s="244"/>
      <c r="CSQ124" s="244"/>
      <c r="CSR124" s="244"/>
      <c r="CSS124" s="244"/>
      <c r="CST124" s="244"/>
      <c r="CSU124" s="244"/>
      <c r="CSV124" s="244"/>
      <c r="CSW124" s="244"/>
      <c r="CSX124" s="244"/>
      <c r="CSY124" s="244"/>
      <c r="CSZ124" s="244"/>
      <c r="CTA124" s="244"/>
      <c r="CTB124" s="244"/>
      <c r="CTC124" s="244"/>
      <c r="CTD124" s="244"/>
      <c r="CTE124" s="244"/>
      <c r="CTF124" s="244"/>
      <c r="CTG124" s="244"/>
      <c r="CTH124" s="244"/>
      <c r="CTI124" s="244"/>
      <c r="CTJ124" s="244"/>
      <c r="CTK124" s="244"/>
      <c r="CTL124" s="244"/>
      <c r="CTM124" s="244"/>
      <c r="CTN124" s="244"/>
      <c r="CTO124" s="244"/>
      <c r="CTP124" s="244"/>
      <c r="CTQ124" s="244"/>
      <c r="CTR124" s="244"/>
      <c r="CTS124" s="244"/>
      <c r="CTT124" s="244"/>
      <c r="CTU124" s="244"/>
      <c r="CTV124" s="244"/>
      <c r="CTW124" s="244"/>
      <c r="CTX124" s="244"/>
      <c r="CTY124" s="244"/>
      <c r="CTZ124" s="244"/>
      <c r="CUA124" s="244"/>
      <c r="CUB124" s="244"/>
      <c r="CUC124" s="244"/>
      <c r="CUD124" s="244"/>
      <c r="CUE124" s="244"/>
      <c r="CUF124" s="244"/>
      <c r="CUG124" s="244"/>
      <c r="CUH124" s="244"/>
      <c r="CUI124" s="244"/>
      <c r="CUJ124" s="244"/>
      <c r="CUK124" s="244"/>
      <c r="CUL124" s="244"/>
      <c r="CUM124" s="244"/>
      <c r="CUN124" s="244"/>
      <c r="CUO124" s="244"/>
      <c r="CUP124" s="244"/>
      <c r="CUQ124" s="244"/>
      <c r="CUR124" s="244"/>
      <c r="CUS124" s="244"/>
      <c r="CUT124" s="244"/>
      <c r="CUU124" s="244"/>
      <c r="CUV124" s="244"/>
      <c r="CUW124" s="244"/>
      <c r="CUX124" s="244"/>
      <c r="CUY124" s="244"/>
      <c r="CUZ124" s="244"/>
      <c r="CVA124" s="244"/>
      <c r="CVB124" s="244"/>
      <c r="CVC124" s="244"/>
      <c r="CVD124" s="244"/>
      <c r="CVE124" s="244"/>
      <c r="CVF124" s="244"/>
      <c r="CVG124" s="244"/>
      <c r="CVH124" s="244"/>
      <c r="CVI124" s="244"/>
      <c r="CVJ124" s="244"/>
      <c r="CVK124" s="244"/>
      <c r="CVL124" s="244"/>
      <c r="CVM124" s="244"/>
      <c r="CVN124" s="244"/>
      <c r="CVO124" s="244"/>
      <c r="CVP124" s="244"/>
      <c r="CVQ124" s="244"/>
      <c r="CVR124" s="244"/>
      <c r="CVS124" s="244"/>
      <c r="CVT124" s="244"/>
      <c r="CVU124" s="244"/>
      <c r="CVV124" s="244"/>
      <c r="CVW124" s="244"/>
      <c r="CVX124" s="244"/>
      <c r="CVY124" s="244"/>
      <c r="CVZ124" s="244"/>
      <c r="CWA124" s="244"/>
      <c r="CWB124" s="244"/>
      <c r="CWC124" s="244"/>
      <c r="CWD124" s="244"/>
      <c r="CWE124" s="244"/>
      <c r="CWF124" s="244"/>
      <c r="CWG124" s="244"/>
      <c r="CWH124" s="244"/>
      <c r="CWI124" s="244"/>
      <c r="CWJ124" s="244"/>
      <c r="CWK124" s="244"/>
      <c r="CWL124" s="244"/>
      <c r="CWM124" s="244"/>
      <c r="CWN124" s="244"/>
      <c r="CWO124" s="244"/>
      <c r="CWP124" s="244"/>
      <c r="CWQ124" s="244"/>
      <c r="CWR124" s="244"/>
      <c r="CWS124" s="244"/>
      <c r="CWT124" s="244"/>
      <c r="CWU124" s="244"/>
      <c r="CWV124" s="244"/>
      <c r="CWW124" s="244"/>
      <c r="CWX124" s="244"/>
      <c r="CWY124" s="244"/>
      <c r="CWZ124" s="244"/>
      <c r="CXA124" s="244"/>
      <c r="CXB124" s="244"/>
      <c r="CXC124" s="244"/>
      <c r="CXD124" s="244"/>
      <c r="CXE124" s="244"/>
      <c r="CXF124" s="244"/>
      <c r="CXG124" s="244"/>
      <c r="CXH124" s="244"/>
      <c r="CXI124" s="244"/>
      <c r="CXJ124" s="244"/>
      <c r="CXK124" s="244"/>
      <c r="CXL124" s="244"/>
      <c r="CXM124" s="244"/>
      <c r="CXN124" s="244"/>
      <c r="CXO124" s="244"/>
      <c r="CXP124" s="244"/>
      <c r="CXQ124" s="244"/>
      <c r="CXR124" s="244"/>
      <c r="CXS124" s="244"/>
      <c r="CXT124" s="244"/>
      <c r="CXU124" s="244"/>
      <c r="CXV124" s="244"/>
      <c r="CXW124" s="244"/>
      <c r="CXX124" s="244"/>
      <c r="CXY124" s="244"/>
      <c r="CXZ124" s="244"/>
      <c r="CYA124" s="244"/>
      <c r="CYB124" s="244"/>
      <c r="CYC124" s="244"/>
      <c r="CYD124" s="244"/>
      <c r="CYE124" s="244"/>
      <c r="CYF124" s="244"/>
      <c r="CYG124" s="244"/>
      <c r="CYH124" s="244"/>
      <c r="CYI124" s="244"/>
      <c r="CYJ124" s="244"/>
      <c r="CYK124" s="244"/>
      <c r="CYL124" s="244"/>
      <c r="CYM124" s="244"/>
      <c r="CYN124" s="244"/>
      <c r="CYO124" s="244"/>
      <c r="CYP124" s="244"/>
      <c r="CYQ124" s="244"/>
      <c r="CYR124" s="244"/>
      <c r="CYS124" s="244"/>
      <c r="CYT124" s="244"/>
      <c r="CYU124" s="244"/>
      <c r="CYV124" s="244"/>
      <c r="CYW124" s="244"/>
      <c r="CYX124" s="244"/>
      <c r="CYY124" s="244"/>
      <c r="CYZ124" s="244"/>
      <c r="CZA124" s="244"/>
      <c r="CZB124" s="244"/>
      <c r="CZC124" s="244"/>
      <c r="CZD124" s="244"/>
      <c r="CZE124" s="244"/>
      <c r="CZF124" s="244"/>
      <c r="CZG124" s="244"/>
      <c r="CZH124" s="244"/>
      <c r="CZI124" s="244"/>
      <c r="CZJ124" s="244"/>
      <c r="CZK124" s="244"/>
      <c r="CZL124" s="244"/>
      <c r="CZM124" s="244"/>
      <c r="CZN124" s="244"/>
      <c r="CZO124" s="244"/>
      <c r="CZP124" s="244"/>
      <c r="CZQ124" s="244"/>
      <c r="CZR124" s="244"/>
      <c r="CZS124" s="244"/>
      <c r="CZT124" s="244"/>
      <c r="CZU124" s="244"/>
      <c r="CZV124" s="244"/>
      <c r="CZW124" s="244"/>
      <c r="CZX124" s="244"/>
      <c r="CZY124" s="244"/>
      <c r="CZZ124" s="244"/>
      <c r="DAA124" s="244"/>
      <c r="DAB124" s="244"/>
      <c r="DAC124" s="244"/>
      <c r="DAD124" s="244"/>
      <c r="DAE124" s="244"/>
      <c r="DAF124" s="244"/>
      <c r="DAG124" s="244"/>
      <c r="DAH124" s="244"/>
      <c r="DAI124" s="244"/>
      <c r="DAJ124" s="244"/>
      <c r="DAK124" s="244"/>
      <c r="DAL124" s="244"/>
      <c r="DAM124" s="244"/>
      <c r="DAN124" s="244"/>
      <c r="DAO124" s="244"/>
      <c r="DAP124" s="244"/>
      <c r="DAQ124" s="244"/>
      <c r="DAR124" s="244"/>
      <c r="DAS124" s="244"/>
      <c r="DAT124" s="244"/>
      <c r="DAU124" s="244"/>
      <c r="DAV124" s="244"/>
      <c r="DAW124" s="244"/>
      <c r="DAX124" s="244"/>
      <c r="DAY124" s="244"/>
      <c r="DAZ124" s="244"/>
      <c r="DBA124" s="244"/>
      <c r="DBB124" s="244"/>
      <c r="DBC124" s="244"/>
      <c r="DBD124" s="244"/>
      <c r="DBE124" s="244"/>
      <c r="DBF124" s="244"/>
      <c r="DBG124" s="244"/>
      <c r="DBH124" s="244"/>
      <c r="DBI124" s="244"/>
      <c r="DBJ124" s="244"/>
      <c r="DBK124" s="244"/>
      <c r="DBL124" s="244"/>
      <c r="DBM124" s="244"/>
      <c r="DBN124" s="244"/>
      <c r="DBO124" s="244"/>
      <c r="DBP124" s="244"/>
      <c r="DBQ124" s="244"/>
      <c r="DBR124" s="244"/>
      <c r="DBS124" s="244"/>
      <c r="DBT124" s="244"/>
      <c r="DBU124" s="244"/>
      <c r="DBV124" s="244"/>
      <c r="DBW124" s="244"/>
      <c r="DBX124" s="244"/>
      <c r="DBY124" s="244"/>
      <c r="DBZ124" s="244"/>
      <c r="DCA124" s="244"/>
      <c r="DCB124" s="244"/>
      <c r="DCC124" s="244"/>
      <c r="DCD124" s="244"/>
      <c r="DCE124" s="244"/>
      <c r="DCF124" s="244"/>
      <c r="DCG124" s="244"/>
      <c r="DCH124" s="244"/>
      <c r="DCI124" s="244"/>
      <c r="DCJ124" s="244"/>
      <c r="DCK124" s="244"/>
      <c r="DCL124" s="244"/>
      <c r="DCM124" s="244"/>
      <c r="DCN124" s="244"/>
      <c r="DCO124" s="244"/>
      <c r="DCP124" s="244"/>
      <c r="DCQ124" s="244"/>
      <c r="DCR124" s="244"/>
      <c r="DCS124" s="244"/>
      <c r="DCT124" s="244"/>
      <c r="DCU124" s="244"/>
      <c r="DCV124" s="244"/>
      <c r="DCW124" s="244"/>
      <c r="DCX124" s="244"/>
      <c r="DCY124" s="244"/>
      <c r="DCZ124" s="244"/>
      <c r="DDA124" s="244"/>
      <c r="DDB124" s="244"/>
      <c r="DDC124" s="244"/>
      <c r="DDD124" s="244"/>
      <c r="DDE124" s="244"/>
      <c r="DDF124" s="244"/>
      <c r="DDG124" s="244"/>
      <c r="DDH124" s="244"/>
      <c r="DDI124" s="244"/>
      <c r="DDJ124" s="244"/>
      <c r="DDK124" s="244"/>
      <c r="DDL124" s="244"/>
      <c r="DDM124" s="244"/>
      <c r="DDN124" s="244"/>
      <c r="DDO124" s="244"/>
      <c r="DDP124" s="244"/>
      <c r="DDQ124" s="244"/>
      <c r="DDR124" s="244"/>
      <c r="DDS124" s="244"/>
      <c r="DDT124" s="244"/>
      <c r="DDU124" s="244"/>
      <c r="DDV124" s="244"/>
      <c r="DDW124" s="244"/>
      <c r="DDX124" s="244"/>
      <c r="DDY124" s="244"/>
      <c r="DDZ124" s="244"/>
      <c r="DEA124" s="244"/>
      <c r="DEB124" s="244"/>
      <c r="DEC124" s="244"/>
      <c r="DED124" s="244"/>
      <c r="DEE124" s="244"/>
      <c r="DEF124" s="244"/>
      <c r="DEG124" s="244"/>
      <c r="DEH124" s="244"/>
      <c r="DEI124" s="244"/>
      <c r="DEJ124" s="244"/>
      <c r="DEK124" s="244"/>
      <c r="DEL124" s="244"/>
      <c r="DEM124" s="244"/>
      <c r="DEN124" s="244"/>
      <c r="DEO124" s="244"/>
      <c r="DEP124" s="244"/>
      <c r="DEQ124" s="244"/>
      <c r="DER124" s="244"/>
      <c r="DES124" s="244"/>
      <c r="DET124" s="244"/>
      <c r="DEU124" s="244"/>
      <c r="DEV124" s="244"/>
      <c r="DEW124" s="244"/>
      <c r="DEX124" s="244"/>
      <c r="DEY124" s="244"/>
      <c r="DEZ124" s="244"/>
      <c r="DFA124" s="244"/>
      <c r="DFB124" s="244"/>
      <c r="DFC124" s="244"/>
      <c r="DFD124" s="244"/>
      <c r="DFE124" s="244"/>
      <c r="DFF124" s="244"/>
      <c r="DFG124" s="244"/>
      <c r="DFH124" s="244"/>
      <c r="DFI124" s="244"/>
      <c r="DFJ124" s="244"/>
      <c r="DFK124" s="244"/>
      <c r="DFL124" s="244"/>
      <c r="DFM124" s="244"/>
      <c r="DFN124" s="244"/>
      <c r="DFO124" s="244"/>
      <c r="DFP124" s="244"/>
      <c r="DFQ124" s="244"/>
      <c r="DFR124" s="244"/>
      <c r="DFS124" s="244"/>
      <c r="DFT124" s="244"/>
      <c r="DFU124" s="244"/>
      <c r="DFV124" s="244"/>
      <c r="DFW124" s="244"/>
      <c r="DFX124" s="244"/>
      <c r="DFY124" s="244"/>
      <c r="DFZ124" s="244"/>
      <c r="DGA124" s="244"/>
      <c r="DGB124" s="244"/>
      <c r="DGC124" s="244"/>
      <c r="DGD124" s="244"/>
      <c r="DGE124" s="244"/>
      <c r="DGF124" s="244"/>
      <c r="DGG124" s="244"/>
      <c r="DGH124" s="244"/>
      <c r="DGI124" s="244"/>
      <c r="DGJ124" s="244"/>
      <c r="DGK124" s="244"/>
      <c r="DGL124" s="244"/>
      <c r="DGM124" s="244"/>
      <c r="DGN124" s="244"/>
      <c r="DGO124" s="244"/>
      <c r="DGP124" s="244"/>
      <c r="DGQ124" s="244"/>
      <c r="DGR124" s="244"/>
      <c r="DGS124" s="244"/>
      <c r="DGT124" s="244"/>
      <c r="DGU124" s="244"/>
      <c r="DGV124" s="244"/>
      <c r="DGW124" s="244"/>
      <c r="DGX124" s="244"/>
      <c r="DGY124" s="244"/>
      <c r="DGZ124" s="244"/>
      <c r="DHA124" s="244"/>
      <c r="DHB124" s="244"/>
      <c r="DHC124" s="244"/>
      <c r="DHD124" s="244"/>
      <c r="DHE124" s="244"/>
      <c r="DHF124" s="244"/>
      <c r="DHG124" s="244"/>
      <c r="DHH124" s="244"/>
      <c r="DHI124" s="244"/>
      <c r="DHJ124" s="244"/>
      <c r="DHK124" s="244"/>
      <c r="DHL124" s="244"/>
      <c r="DHM124" s="244"/>
      <c r="DHN124" s="244"/>
      <c r="DHO124" s="244"/>
      <c r="DHP124" s="244"/>
      <c r="DHQ124" s="244"/>
      <c r="DHR124" s="244"/>
      <c r="DHS124" s="244"/>
      <c r="DHT124" s="244"/>
      <c r="DHU124" s="244"/>
      <c r="DHV124" s="244"/>
      <c r="DHW124" s="244"/>
      <c r="DHX124" s="244"/>
      <c r="DHY124" s="244"/>
      <c r="DHZ124" s="244"/>
      <c r="DIA124" s="244"/>
      <c r="DIB124" s="244"/>
      <c r="DIC124" s="244"/>
      <c r="DID124" s="244"/>
      <c r="DIE124" s="244"/>
      <c r="DIF124" s="244"/>
      <c r="DIG124" s="244"/>
      <c r="DIH124" s="244"/>
      <c r="DII124" s="244"/>
      <c r="DIJ124" s="244"/>
      <c r="DIK124" s="244"/>
      <c r="DIL124" s="244"/>
      <c r="DIM124" s="244"/>
      <c r="DIN124" s="244"/>
      <c r="DIO124" s="244"/>
      <c r="DIP124" s="244"/>
      <c r="DIQ124" s="244"/>
      <c r="DIR124" s="244"/>
      <c r="DIS124" s="244"/>
      <c r="DIT124" s="244"/>
      <c r="DIU124" s="244"/>
      <c r="DIV124" s="244"/>
      <c r="DIW124" s="244"/>
      <c r="DIX124" s="244"/>
      <c r="DIY124" s="244"/>
      <c r="DIZ124" s="244"/>
      <c r="DJA124" s="244"/>
      <c r="DJB124" s="244"/>
      <c r="DJC124" s="244"/>
      <c r="DJD124" s="244"/>
      <c r="DJE124" s="244"/>
      <c r="DJF124" s="244"/>
      <c r="DJG124" s="244"/>
      <c r="DJH124" s="244"/>
      <c r="DJI124" s="244"/>
      <c r="DJJ124" s="244"/>
      <c r="DJK124" s="244"/>
      <c r="DJL124" s="244"/>
      <c r="DJM124" s="244"/>
      <c r="DJN124" s="244"/>
      <c r="DJO124" s="244"/>
      <c r="DJP124" s="244"/>
      <c r="DJQ124" s="244"/>
      <c r="DJR124" s="244"/>
      <c r="DJS124" s="244"/>
      <c r="DJT124" s="244"/>
      <c r="DJU124" s="244"/>
      <c r="DJV124" s="244"/>
      <c r="DJW124" s="244"/>
      <c r="DJX124" s="244"/>
      <c r="DJY124" s="244"/>
      <c r="DJZ124" s="244"/>
      <c r="DKA124" s="244"/>
      <c r="DKB124" s="244"/>
      <c r="DKC124" s="244"/>
      <c r="DKD124" s="244"/>
      <c r="DKE124" s="244"/>
      <c r="DKF124" s="244"/>
      <c r="DKG124" s="244"/>
      <c r="DKH124" s="244"/>
      <c r="DKI124" s="244"/>
      <c r="DKJ124" s="244"/>
      <c r="DKK124" s="244"/>
      <c r="DKL124" s="244"/>
      <c r="DKM124" s="244"/>
      <c r="DKN124" s="244"/>
      <c r="DKO124" s="244"/>
      <c r="DKP124" s="244"/>
      <c r="DKQ124" s="244"/>
      <c r="DKR124" s="244"/>
      <c r="DKS124" s="244"/>
      <c r="DKT124" s="244"/>
      <c r="DKU124" s="244"/>
      <c r="DKV124" s="244"/>
      <c r="DKW124" s="244"/>
      <c r="DKX124" s="244"/>
      <c r="DKY124" s="244"/>
      <c r="DKZ124" s="244"/>
      <c r="DLA124" s="244"/>
      <c r="DLB124" s="244"/>
      <c r="DLC124" s="244"/>
      <c r="DLD124" s="244"/>
      <c r="DLE124" s="244"/>
      <c r="DLF124" s="244"/>
      <c r="DLG124" s="244"/>
      <c r="DLH124" s="244"/>
      <c r="DLI124" s="244"/>
      <c r="DLJ124" s="244"/>
      <c r="DLK124" s="244"/>
      <c r="DLL124" s="244"/>
      <c r="DLM124" s="244"/>
      <c r="DLN124" s="244"/>
      <c r="DLO124" s="244"/>
      <c r="DLP124" s="244"/>
      <c r="DLQ124" s="244"/>
      <c r="DLR124" s="244"/>
      <c r="DLS124" s="244"/>
      <c r="DLT124" s="244"/>
      <c r="DLU124" s="244"/>
      <c r="DLV124" s="244"/>
      <c r="DLW124" s="244"/>
      <c r="DLX124" s="244"/>
      <c r="DLY124" s="244"/>
      <c r="DLZ124" s="244"/>
      <c r="DMA124" s="244"/>
      <c r="DMB124" s="244"/>
      <c r="DMC124" s="244"/>
      <c r="DMD124" s="244"/>
      <c r="DME124" s="244"/>
      <c r="DMF124" s="244"/>
      <c r="DMG124" s="244"/>
      <c r="DMH124" s="244"/>
      <c r="DMI124" s="244"/>
      <c r="DMJ124" s="244"/>
      <c r="DMK124" s="244"/>
      <c r="DML124" s="244"/>
      <c r="DMM124" s="244"/>
      <c r="DMN124" s="244"/>
      <c r="DMO124" s="244"/>
      <c r="DMP124" s="244"/>
      <c r="DMQ124" s="244"/>
      <c r="DMR124" s="244"/>
      <c r="DMS124" s="244"/>
      <c r="DMT124" s="244"/>
      <c r="DMU124" s="244"/>
      <c r="DMV124" s="244"/>
      <c r="DMW124" s="244"/>
      <c r="DMX124" s="244"/>
      <c r="DMY124" s="244"/>
      <c r="DMZ124" s="244"/>
      <c r="DNA124" s="244"/>
      <c r="DNB124" s="244"/>
      <c r="DNC124" s="244"/>
      <c r="DND124" s="244"/>
      <c r="DNE124" s="244"/>
      <c r="DNF124" s="244"/>
      <c r="DNG124" s="244"/>
      <c r="DNH124" s="244"/>
      <c r="DNI124" s="244"/>
      <c r="DNJ124" s="244"/>
      <c r="DNK124" s="244"/>
      <c r="DNL124" s="244"/>
      <c r="DNM124" s="244"/>
      <c r="DNN124" s="244"/>
      <c r="DNO124" s="244"/>
      <c r="DNP124" s="244"/>
      <c r="DNQ124" s="244"/>
      <c r="DNR124" s="244"/>
      <c r="DNS124" s="244"/>
      <c r="DNT124" s="244"/>
      <c r="DNU124" s="244"/>
      <c r="DNV124" s="244"/>
      <c r="DNW124" s="244"/>
      <c r="DNX124" s="244"/>
      <c r="DNY124" s="244"/>
      <c r="DNZ124" s="244"/>
      <c r="DOA124" s="244"/>
      <c r="DOB124" s="244"/>
      <c r="DOC124" s="244"/>
      <c r="DOD124" s="244"/>
      <c r="DOE124" s="244"/>
      <c r="DOF124" s="244"/>
      <c r="DOG124" s="244"/>
      <c r="DOH124" s="244"/>
      <c r="DOI124" s="244"/>
      <c r="DOJ124" s="244"/>
      <c r="DOK124" s="244"/>
      <c r="DOL124" s="244"/>
      <c r="DOM124" s="244"/>
      <c r="DON124" s="244"/>
      <c r="DOO124" s="244"/>
      <c r="DOP124" s="244"/>
      <c r="DOQ124" s="244"/>
      <c r="DOR124" s="244"/>
      <c r="DOS124" s="244"/>
      <c r="DOT124" s="244"/>
      <c r="DOU124" s="244"/>
      <c r="DOV124" s="244"/>
      <c r="DOW124" s="244"/>
      <c r="DOX124" s="244"/>
      <c r="DOY124" s="244"/>
      <c r="DOZ124" s="244"/>
      <c r="DPA124" s="244"/>
      <c r="DPB124" s="244"/>
      <c r="DPC124" s="244"/>
      <c r="DPD124" s="244"/>
      <c r="DPE124" s="244"/>
      <c r="DPF124" s="244"/>
      <c r="DPG124" s="244"/>
      <c r="DPH124" s="244"/>
      <c r="DPI124" s="244"/>
      <c r="DPJ124" s="244"/>
      <c r="DPK124" s="244"/>
      <c r="DPL124" s="244"/>
      <c r="DPM124" s="244"/>
      <c r="DPN124" s="244"/>
      <c r="DPO124" s="244"/>
      <c r="DPP124" s="244"/>
      <c r="DPQ124" s="244"/>
      <c r="DPR124" s="244"/>
      <c r="DPS124" s="244"/>
      <c r="DPT124" s="244"/>
      <c r="DPU124" s="244"/>
      <c r="DPV124" s="244"/>
      <c r="DPW124" s="244"/>
      <c r="DPX124" s="244"/>
      <c r="DPY124" s="244"/>
      <c r="DPZ124" s="244"/>
      <c r="DQA124" s="244"/>
      <c r="DQB124" s="244"/>
      <c r="DQC124" s="244"/>
      <c r="DQD124" s="244"/>
      <c r="DQE124" s="244"/>
      <c r="DQF124" s="244"/>
      <c r="DQG124" s="244"/>
      <c r="DQH124" s="244"/>
      <c r="DQI124" s="244"/>
      <c r="DQJ124" s="244"/>
      <c r="DQK124" s="244"/>
      <c r="DQL124" s="244"/>
      <c r="DQM124" s="244"/>
      <c r="DQN124" s="244"/>
      <c r="DQO124" s="244"/>
      <c r="DQP124" s="244"/>
      <c r="DQQ124" s="244"/>
      <c r="DQR124" s="244"/>
      <c r="DQS124" s="244"/>
      <c r="DQT124" s="244"/>
      <c r="DQU124" s="244"/>
      <c r="DQV124" s="244"/>
      <c r="DQW124" s="244"/>
      <c r="DQX124" s="244"/>
      <c r="DQY124" s="244"/>
      <c r="DQZ124" s="244"/>
      <c r="DRA124" s="244"/>
      <c r="DRB124" s="244"/>
      <c r="DRC124" s="244"/>
      <c r="DRD124" s="244"/>
      <c r="DRE124" s="244"/>
      <c r="DRF124" s="244"/>
      <c r="DRG124" s="244"/>
      <c r="DRH124" s="244"/>
      <c r="DRI124" s="244"/>
      <c r="DRJ124" s="244"/>
      <c r="DRK124" s="244"/>
      <c r="DRL124" s="244"/>
      <c r="DRM124" s="244"/>
      <c r="DRN124" s="244"/>
      <c r="DRO124" s="244"/>
      <c r="DRP124" s="244"/>
      <c r="DRQ124" s="244"/>
      <c r="DRR124" s="244"/>
      <c r="DRS124" s="244"/>
      <c r="DRT124" s="244"/>
      <c r="DRU124" s="244"/>
      <c r="DRV124" s="244"/>
      <c r="DRW124" s="244"/>
      <c r="DRX124" s="244"/>
      <c r="DRY124" s="244"/>
      <c r="DRZ124" s="244"/>
      <c r="DSA124" s="244"/>
      <c r="DSB124" s="244"/>
      <c r="DSC124" s="244"/>
      <c r="DSD124" s="244"/>
      <c r="DSE124" s="244"/>
      <c r="DSF124" s="244"/>
      <c r="DSG124" s="244"/>
      <c r="DSH124" s="244"/>
      <c r="DSI124" s="244"/>
      <c r="DSJ124" s="244"/>
      <c r="DSK124" s="244"/>
      <c r="DSL124" s="244"/>
      <c r="DSM124" s="244"/>
      <c r="DSN124" s="244"/>
      <c r="DSO124" s="244"/>
      <c r="DSP124" s="244"/>
      <c r="DSQ124" s="244"/>
      <c r="DSR124" s="244"/>
      <c r="DSS124" s="244"/>
      <c r="DST124" s="244"/>
      <c r="DSU124" s="244"/>
      <c r="DSV124" s="244"/>
      <c r="DSW124" s="244"/>
      <c r="DSX124" s="244"/>
      <c r="DSY124" s="244"/>
      <c r="DSZ124" s="244"/>
      <c r="DTA124" s="244"/>
      <c r="DTB124" s="244"/>
      <c r="DTC124" s="244"/>
      <c r="DTD124" s="244"/>
      <c r="DTE124" s="244"/>
      <c r="DTF124" s="244"/>
      <c r="DTG124" s="244"/>
      <c r="DTH124" s="244"/>
      <c r="DTI124" s="244"/>
      <c r="DTJ124" s="244"/>
      <c r="DTK124" s="244"/>
      <c r="DTL124" s="244"/>
      <c r="DTM124" s="244"/>
      <c r="DTN124" s="244"/>
      <c r="DTO124" s="244"/>
      <c r="DTP124" s="244"/>
      <c r="DTQ124" s="244"/>
      <c r="DTR124" s="244"/>
      <c r="DTS124" s="244"/>
      <c r="DTT124" s="244"/>
      <c r="DTU124" s="244"/>
      <c r="DTV124" s="244"/>
      <c r="DTW124" s="244"/>
      <c r="DTX124" s="244"/>
      <c r="DTY124" s="244"/>
      <c r="DTZ124" s="244"/>
      <c r="DUA124" s="244"/>
      <c r="DUB124" s="244"/>
      <c r="DUC124" s="244"/>
      <c r="DUD124" s="244"/>
      <c r="DUE124" s="244"/>
      <c r="DUF124" s="244"/>
      <c r="DUG124" s="244"/>
      <c r="DUH124" s="244"/>
      <c r="DUI124" s="244"/>
      <c r="DUJ124" s="244"/>
      <c r="DUK124" s="244"/>
      <c r="DUL124" s="244"/>
      <c r="DUM124" s="244"/>
      <c r="DUN124" s="244"/>
      <c r="DUO124" s="244"/>
      <c r="DUP124" s="244"/>
      <c r="DUQ124" s="244"/>
      <c r="DUR124" s="244"/>
      <c r="DUS124" s="244"/>
      <c r="DUT124" s="244"/>
      <c r="DUU124" s="244"/>
      <c r="DUV124" s="244"/>
      <c r="DUW124" s="244"/>
      <c r="DUX124" s="244"/>
      <c r="DUY124" s="244"/>
      <c r="DUZ124" s="244"/>
      <c r="DVA124" s="244"/>
      <c r="DVB124" s="244"/>
      <c r="DVC124" s="244"/>
      <c r="DVD124" s="244"/>
      <c r="DVE124" s="244"/>
      <c r="DVF124" s="244"/>
      <c r="DVG124" s="244"/>
      <c r="DVH124" s="244"/>
      <c r="DVI124" s="244"/>
      <c r="DVJ124" s="244"/>
      <c r="DVK124" s="244"/>
      <c r="DVL124" s="244"/>
      <c r="DVM124" s="244"/>
      <c r="DVN124" s="244"/>
      <c r="DVO124" s="244"/>
      <c r="DVP124" s="244"/>
      <c r="DVQ124" s="244"/>
      <c r="DVR124" s="244"/>
      <c r="DVS124" s="244"/>
      <c r="DVT124" s="244"/>
      <c r="DVU124" s="244"/>
      <c r="DVV124" s="244"/>
      <c r="DVW124" s="244"/>
      <c r="DVX124" s="244"/>
      <c r="DVY124" s="244"/>
      <c r="DVZ124" s="244"/>
      <c r="DWA124" s="244"/>
      <c r="DWB124" s="244"/>
      <c r="DWC124" s="244"/>
      <c r="DWD124" s="244"/>
      <c r="DWE124" s="244"/>
      <c r="DWF124" s="244"/>
      <c r="DWG124" s="244"/>
      <c r="DWH124" s="244"/>
      <c r="DWI124" s="244"/>
      <c r="DWJ124" s="244"/>
      <c r="DWK124" s="244"/>
      <c r="DWL124" s="244"/>
      <c r="DWM124" s="244"/>
      <c r="DWN124" s="244"/>
      <c r="DWO124" s="244"/>
      <c r="DWP124" s="244"/>
      <c r="DWQ124" s="244"/>
      <c r="DWR124" s="244"/>
      <c r="DWS124" s="244"/>
      <c r="DWT124" s="244"/>
      <c r="DWU124" s="244"/>
      <c r="DWV124" s="244"/>
      <c r="DWW124" s="244"/>
      <c r="DWX124" s="244"/>
      <c r="DWY124" s="244"/>
      <c r="DWZ124" s="244"/>
      <c r="DXA124" s="244"/>
      <c r="DXB124" s="244"/>
      <c r="DXC124" s="244"/>
      <c r="DXD124" s="244"/>
      <c r="DXE124" s="244"/>
      <c r="DXF124" s="244"/>
      <c r="DXG124" s="244"/>
      <c r="DXH124" s="244"/>
      <c r="DXI124" s="244"/>
      <c r="DXJ124" s="244"/>
      <c r="DXK124" s="244"/>
      <c r="DXL124" s="244"/>
      <c r="DXM124" s="244"/>
      <c r="DXN124" s="244"/>
      <c r="DXO124" s="244"/>
      <c r="DXP124" s="244"/>
      <c r="DXQ124" s="244"/>
      <c r="DXR124" s="244"/>
      <c r="DXS124" s="244"/>
      <c r="DXT124" s="244"/>
      <c r="DXU124" s="244"/>
      <c r="DXV124" s="244"/>
      <c r="DXW124" s="244"/>
      <c r="DXX124" s="244"/>
      <c r="DXY124" s="244"/>
      <c r="DXZ124" s="244"/>
      <c r="DYA124" s="244"/>
      <c r="DYB124" s="244"/>
      <c r="DYC124" s="244"/>
      <c r="DYD124" s="244"/>
      <c r="DYE124" s="244"/>
      <c r="DYF124" s="244"/>
      <c r="DYG124" s="244"/>
      <c r="DYH124" s="244"/>
      <c r="DYI124" s="244"/>
      <c r="DYJ124" s="244"/>
      <c r="DYK124" s="244"/>
      <c r="DYL124" s="244"/>
      <c r="DYM124" s="244"/>
      <c r="DYN124" s="244"/>
      <c r="DYO124" s="244"/>
      <c r="DYP124" s="244"/>
      <c r="DYQ124" s="244"/>
      <c r="DYR124" s="244"/>
      <c r="DYS124" s="244"/>
      <c r="DYT124" s="244"/>
      <c r="DYU124" s="244"/>
      <c r="DYV124" s="244"/>
      <c r="DYW124" s="244"/>
      <c r="DYX124" s="244"/>
      <c r="DYY124" s="244"/>
      <c r="DYZ124" s="244"/>
      <c r="DZA124" s="244"/>
      <c r="DZB124" s="244"/>
      <c r="DZC124" s="244"/>
      <c r="DZD124" s="244"/>
      <c r="DZE124" s="244"/>
      <c r="DZF124" s="244"/>
      <c r="DZG124" s="244"/>
      <c r="DZH124" s="244"/>
      <c r="DZI124" s="244"/>
      <c r="DZJ124" s="244"/>
      <c r="DZK124" s="244"/>
      <c r="DZL124" s="244"/>
      <c r="DZM124" s="244"/>
      <c r="DZN124" s="244"/>
      <c r="DZO124" s="244"/>
      <c r="DZP124" s="244"/>
      <c r="DZQ124" s="244"/>
      <c r="DZR124" s="244"/>
      <c r="DZS124" s="244"/>
      <c r="DZT124" s="244"/>
      <c r="DZU124" s="244"/>
      <c r="DZV124" s="244"/>
      <c r="DZW124" s="244"/>
      <c r="DZX124" s="244"/>
      <c r="DZY124" s="244"/>
      <c r="DZZ124" s="244"/>
      <c r="EAA124" s="244"/>
      <c r="EAB124" s="244"/>
      <c r="EAC124" s="244"/>
      <c r="EAD124" s="244"/>
      <c r="EAE124" s="244"/>
      <c r="EAF124" s="244"/>
      <c r="EAG124" s="244"/>
      <c r="EAH124" s="244"/>
      <c r="EAI124" s="244"/>
      <c r="EAJ124" s="244"/>
      <c r="EAK124" s="244"/>
      <c r="EAL124" s="244"/>
      <c r="EAM124" s="244"/>
      <c r="EAN124" s="244"/>
      <c r="EAO124" s="244"/>
      <c r="EAP124" s="244"/>
      <c r="EAQ124" s="244"/>
      <c r="EAR124" s="244"/>
      <c r="EAS124" s="244"/>
      <c r="EAT124" s="244"/>
      <c r="EAU124" s="244"/>
      <c r="EAV124" s="244"/>
      <c r="EAW124" s="244"/>
      <c r="EAX124" s="244"/>
      <c r="EAY124" s="244"/>
      <c r="EAZ124" s="244"/>
      <c r="EBA124" s="244"/>
      <c r="EBB124" s="244"/>
      <c r="EBC124" s="244"/>
      <c r="EBD124" s="244"/>
      <c r="EBE124" s="244"/>
      <c r="EBF124" s="244"/>
      <c r="EBG124" s="244"/>
      <c r="EBH124" s="244"/>
      <c r="EBI124" s="244"/>
      <c r="EBJ124" s="244"/>
      <c r="EBK124" s="244"/>
      <c r="EBL124" s="244"/>
      <c r="EBM124" s="244"/>
      <c r="EBN124" s="244"/>
      <c r="EBO124" s="244"/>
      <c r="EBP124" s="244"/>
      <c r="EBQ124" s="244"/>
      <c r="EBR124" s="244"/>
      <c r="EBS124" s="244"/>
      <c r="EBT124" s="244"/>
      <c r="EBU124" s="244"/>
      <c r="EBV124" s="244"/>
      <c r="EBW124" s="244"/>
      <c r="EBX124" s="244"/>
      <c r="EBY124" s="244"/>
      <c r="EBZ124" s="244"/>
      <c r="ECA124" s="244"/>
      <c r="ECB124" s="244"/>
      <c r="ECC124" s="244"/>
      <c r="ECD124" s="244"/>
      <c r="ECE124" s="244"/>
      <c r="ECF124" s="244"/>
      <c r="ECG124" s="244"/>
      <c r="ECH124" s="244"/>
      <c r="ECI124" s="244"/>
      <c r="ECJ124" s="244"/>
      <c r="ECK124" s="244"/>
      <c r="ECL124" s="244"/>
      <c r="ECM124" s="244"/>
      <c r="ECN124" s="244"/>
      <c r="ECO124" s="244"/>
      <c r="ECP124" s="244"/>
      <c r="ECQ124" s="244"/>
      <c r="ECR124" s="244"/>
      <c r="ECS124" s="244"/>
      <c r="ECT124" s="244"/>
      <c r="ECU124" s="244"/>
      <c r="ECV124" s="244"/>
      <c r="ECW124" s="244"/>
      <c r="ECX124" s="244"/>
      <c r="ECY124" s="244"/>
      <c r="ECZ124" s="244"/>
      <c r="EDA124" s="244"/>
      <c r="EDB124" s="244"/>
      <c r="EDC124" s="244"/>
      <c r="EDD124" s="244"/>
      <c r="EDE124" s="244"/>
      <c r="EDF124" s="244"/>
      <c r="EDG124" s="244"/>
      <c r="EDH124" s="244"/>
      <c r="EDI124" s="244"/>
      <c r="EDJ124" s="244"/>
      <c r="EDK124" s="244"/>
      <c r="EDL124" s="244"/>
      <c r="EDM124" s="244"/>
      <c r="EDN124" s="244"/>
      <c r="EDO124" s="244"/>
      <c r="EDP124" s="244"/>
      <c r="EDQ124" s="244"/>
      <c r="EDR124" s="244"/>
      <c r="EDS124" s="244"/>
      <c r="EDT124" s="244"/>
      <c r="EDU124" s="244"/>
      <c r="EDV124" s="244"/>
      <c r="EDW124" s="244"/>
      <c r="EDX124" s="244"/>
      <c r="EDY124" s="244"/>
      <c r="EDZ124" s="244"/>
      <c r="EEA124" s="244"/>
      <c r="EEB124" s="244"/>
      <c r="EEC124" s="244"/>
      <c r="EED124" s="244"/>
      <c r="EEE124" s="244"/>
      <c r="EEF124" s="244"/>
      <c r="EEG124" s="244"/>
      <c r="EEH124" s="244"/>
      <c r="EEI124" s="244"/>
      <c r="EEJ124" s="244"/>
      <c r="EEK124" s="244"/>
      <c r="EEL124" s="244"/>
      <c r="EEM124" s="244"/>
      <c r="EEN124" s="244"/>
      <c r="EEO124" s="244"/>
      <c r="EEP124" s="244"/>
      <c r="EEQ124" s="244"/>
      <c r="EER124" s="244"/>
      <c r="EES124" s="244"/>
      <c r="EET124" s="244"/>
      <c r="EEU124" s="244"/>
      <c r="EEV124" s="244"/>
      <c r="EEW124" s="244"/>
      <c r="EEX124" s="244"/>
      <c r="EEY124" s="244"/>
      <c r="EEZ124" s="244"/>
      <c r="EFA124" s="244"/>
      <c r="EFB124" s="244"/>
      <c r="EFC124" s="244"/>
      <c r="EFD124" s="244"/>
      <c r="EFE124" s="244"/>
      <c r="EFF124" s="244"/>
      <c r="EFG124" s="244"/>
      <c r="EFH124" s="244"/>
      <c r="EFI124" s="244"/>
      <c r="EFJ124" s="244"/>
      <c r="EFK124" s="244"/>
      <c r="EFL124" s="244"/>
      <c r="EFM124" s="244"/>
      <c r="EFN124" s="244"/>
      <c r="EFO124" s="244"/>
      <c r="EFP124" s="244"/>
      <c r="EFQ124" s="244"/>
      <c r="EFR124" s="244"/>
      <c r="EFS124" s="244"/>
      <c r="EFT124" s="244"/>
      <c r="EFU124" s="244"/>
      <c r="EFV124" s="244"/>
      <c r="EFW124" s="244"/>
      <c r="EFX124" s="244"/>
      <c r="EFY124" s="244"/>
      <c r="EFZ124" s="244"/>
      <c r="EGA124" s="244"/>
      <c r="EGB124" s="244"/>
      <c r="EGC124" s="244"/>
      <c r="EGD124" s="244"/>
      <c r="EGE124" s="244"/>
      <c r="EGF124" s="244"/>
      <c r="EGG124" s="244"/>
      <c r="EGH124" s="244"/>
      <c r="EGI124" s="244"/>
      <c r="EGJ124" s="244"/>
      <c r="EGK124" s="244"/>
      <c r="EGL124" s="244"/>
      <c r="EGM124" s="244"/>
      <c r="EGN124" s="244"/>
      <c r="EGO124" s="244"/>
      <c r="EGP124" s="244"/>
      <c r="EGQ124" s="244"/>
      <c r="EGR124" s="244"/>
      <c r="EGS124" s="244"/>
      <c r="EGT124" s="244"/>
      <c r="EGU124" s="244"/>
      <c r="EGV124" s="244"/>
      <c r="EGW124" s="244"/>
      <c r="EGX124" s="244"/>
      <c r="EGY124" s="244"/>
      <c r="EGZ124" s="244"/>
      <c r="EHA124" s="244"/>
      <c r="EHB124" s="244"/>
      <c r="EHC124" s="244"/>
      <c r="EHD124" s="244"/>
      <c r="EHE124" s="244"/>
      <c r="EHF124" s="244"/>
      <c r="EHG124" s="244"/>
      <c r="EHH124" s="244"/>
      <c r="EHI124" s="244"/>
      <c r="EHJ124" s="244"/>
      <c r="EHK124" s="244"/>
      <c r="EHL124" s="244"/>
      <c r="EHM124" s="244"/>
      <c r="EHN124" s="244"/>
      <c r="EHO124" s="244"/>
      <c r="EHP124" s="244"/>
      <c r="EHQ124" s="244"/>
      <c r="EHR124" s="244"/>
      <c r="EHS124" s="244"/>
      <c r="EHT124" s="244"/>
      <c r="EHU124" s="244"/>
      <c r="EHV124" s="244"/>
      <c r="EHW124" s="244"/>
      <c r="EHX124" s="244"/>
      <c r="EHY124" s="244"/>
      <c r="EHZ124" s="244"/>
      <c r="EIA124" s="244"/>
      <c r="EIB124" s="244"/>
      <c r="EIC124" s="244"/>
      <c r="EID124" s="244"/>
      <c r="EIE124" s="244"/>
      <c r="EIF124" s="244"/>
      <c r="EIG124" s="244"/>
      <c r="EIH124" s="244"/>
      <c r="EII124" s="244"/>
      <c r="EIJ124" s="244"/>
      <c r="EIK124" s="244"/>
      <c r="EIL124" s="244"/>
      <c r="EIM124" s="244"/>
      <c r="EIN124" s="244"/>
      <c r="EIO124" s="244"/>
      <c r="EIP124" s="244"/>
      <c r="EIQ124" s="244"/>
      <c r="EIR124" s="244"/>
      <c r="EIS124" s="244"/>
      <c r="EIT124" s="244"/>
      <c r="EIU124" s="244"/>
      <c r="EIV124" s="244"/>
      <c r="EIW124" s="244"/>
      <c r="EIX124" s="244"/>
      <c r="EIY124" s="244"/>
      <c r="EIZ124" s="244"/>
      <c r="EJA124" s="244"/>
      <c r="EJB124" s="244"/>
      <c r="EJC124" s="244"/>
      <c r="EJD124" s="244"/>
      <c r="EJE124" s="244"/>
      <c r="EJF124" s="244"/>
      <c r="EJG124" s="244"/>
      <c r="EJH124" s="244"/>
      <c r="EJI124" s="244"/>
      <c r="EJJ124" s="244"/>
      <c r="EJK124" s="244"/>
      <c r="EJL124" s="244"/>
      <c r="EJM124" s="244"/>
      <c r="EJN124" s="244"/>
      <c r="EJO124" s="244"/>
      <c r="EJP124" s="244"/>
      <c r="EJQ124" s="244"/>
      <c r="EJR124" s="244"/>
      <c r="EJS124" s="244"/>
      <c r="EJT124" s="244"/>
      <c r="EJU124" s="244"/>
      <c r="EJV124" s="244"/>
      <c r="EJW124" s="244"/>
      <c r="EJX124" s="244"/>
      <c r="EJY124" s="244"/>
      <c r="EJZ124" s="244"/>
      <c r="EKA124" s="244"/>
      <c r="EKB124" s="244"/>
      <c r="EKC124" s="244"/>
      <c r="EKD124" s="244"/>
      <c r="EKE124" s="244"/>
      <c r="EKF124" s="244"/>
      <c r="EKG124" s="244"/>
      <c r="EKH124" s="244"/>
      <c r="EKI124" s="244"/>
      <c r="EKJ124" s="244"/>
      <c r="EKK124" s="244"/>
      <c r="EKL124" s="244"/>
      <c r="EKM124" s="244"/>
      <c r="EKN124" s="244"/>
      <c r="EKO124" s="244"/>
      <c r="EKP124" s="244"/>
      <c r="EKQ124" s="244"/>
      <c r="EKR124" s="244"/>
      <c r="EKS124" s="244"/>
      <c r="EKT124" s="244"/>
      <c r="EKU124" s="244"/>
      <c r="EKV124" s="244"/>
      <c r="EKW124" s="244"/>
      <c r="EKX124" s="244"/>
      <c r="EKY124" s="244"/>
      <c r="EKZ124" s="244"/>
      <c r="ELA124" s="244"/>
      <c r="ELB124" s="244"/>
      <c r="ELC124" s="244"/>
      <c r="ELD124" s="244"/>
      <c r="ELE124" s="244"/>
      <c r="ELF124" s="244"/>
      <c r="ELG124" s="244"/>
      <c r="ELH124" s="244"/>
      <c r="ELI124" s="244"/>
      <c r="ELJ124" s="244"/>
      <c r="ELK124" s="244"/>
      <c r="ELL124" s="244"/>
      <c r="ELM124" s="244"/>
      <c r="ELN124" s="244"/>
      <c r="ELO124" s="244"/>
      <c r="ELP124" s="244"/>
      <c r="ELQ124" s="244"/>
      <c r="ELR124" s="244"/>
      <c r="ELS124" s="244"/>
      <c r="ELT124" s="244"/>
      <c r="ELU124" s="244"/>
      <c r="ELV124" s="244"/>
      <c r="ELW124" s="244"/>
      <c r="ELX124" s="244"/>
      <c r="ELY124" s="244"/>
      <c r="ELZ124" s="244"/>
      <c r="EMA124" s="244"/>
      <c r="EMB124" s="244"/>
      <c r="EMC124" s="244"/>
      <c r="EMD124" s="244"/>
      <c r="EME124" s="244"/>
      <c r="EMF124" s="244"/>
      <c r="EMG124" s="244"/>
      <c r="EMH124" s="244"/>
      <c r="EMI124" s="244"/>
      <c r="EMJ124" s="244"/>
      <c r="EMK124" s="244"/>
      <c r="EML124" s="244"/>
      <c r="EMM124" s="244"/>
      <c r="EMN124" s="244"/>
      <c r="EMO124" s="244"/>
      <c r="EMP124" s="244"/>
      <c r="EMQ124" s="244"/>
      <c r="EMR124" s="244"/>
      <c r="EMS124" s="244"/>
      <c r="EMT124" s="244"/>
      <c r="EMU124" s="244"/>
      <c r="EMV124" s="244"/>
      <c r="EMW124" s="244"/>
      <c r="EMX124" s="244"/>
      <c r="EMY124" s="244"/>
      <c r="EMZ124" s="244"/>
      <c r="ENA124" s="244"/>
      <c r="ENB124" s="244"/>
      <c r="ENC124" s="244"/>
      <c r="END124" s="244"/>
      <c r="ENE124" s="244"/>
      <c r="ENF124" s="244"/>
      <c r="ENG124" s="244"/>
      <c r="ENH124" s="244"/>
      <c r="ENI124" s="244"/>
      <c r="ENJ124" s="244"/>
      <c r="ENK124" s="244"/>
      <c r="ENL124" s="244"/>
      <c r="ENM124" s="244"/>
      <c r="ENN124" s="244"/>
      <c r="ENO124" s="244"/>
      <c r="ENP124" s="244"/>
      <c r="ENQ124" s="244"/>
      <c r="ENR124" s="244"/>
      <c r="ENS124" s="244"/>
      <c r="ENT124" s="244"/>
      <c r="ENU124" s="244"/>
      <c r="ENV124" s="244"/>
      <c r="ENW124" s="244"/>
      <c r="ENX124" s="244"/>
      <c r="ENY124" s="244"/>
      <c r="ENZ124" s="244"/>
      <c r="EOA124" s="244"/>
      <c r="EOB124" s="244"/>
      <c r="EOC124" s="244"/>
      <c r="EOD124" s="244"/>
      <c r="EOE124" s="244"/>
      <c r="EOF124" s="244"/>
      <c r="EOG124" s="244"/>
      <c r="EOH124" s="244"/>
      <c r="EOI124" s="244"/>
      <c r="EOJ124" s="244"/>
      <c r="EOK124" s="244"/>
      <c r="EOL124" s="244"/>
      <c r="EOM124" s="244"/>
      <c r="EON124" s="244"/>
      <c r="EOO124" s="244"/>
      <c r="EOP124" s="244"/>
      <c r="EOQ124" s="244"/>
      <c r="EOR124" s="244"/>
      <c r="EOS124" s="244"/>
      <c r="EOT124" s="244"/>
      <c r="EOU124" s="244"/>
      <c r="EOV124" s="244"/>
      <c r="EOW124" s="244"/>
      <c r="EOX124" s="244"/>
      <c r="EOY124" s="244"/>
      <c r="EOZ124" s="244"/>
      <c r="EPA124" s="244"/>
      <c r="EPB124" s="244"/>
      <c r="EPC124" s="244"/>
      <c r="EPD124" s="244"/>
      <c r="EPE124" s="244"/>
      <c r="EPF124" s="244"/>
      <c r="EPG124" s="244"/>
      <c r="EPH124" s="244"/>
      <c r="EPI124" s="244"/>
      <c r="EPJ124" s="244"/>
      <c r="EPK124" s="244"/>
      <c r="EPL124" s="244"/>
      <c r="EPM124" s="244"/>
      <c r="EPN124" s="244"/>
      <c r="EPO124" s="244"/>
      <c r="EPP124" s="244"/>
      <c r="EPQ124" s="244"/>
      <c r="EPR124" s="244"/>
      <c r="EPS124" s="244"/>
      <c r="EPT124" s="244"/>
      <c r="EPU124" s="244"/>
      <c r="EPV124" s="244"/>
      <c r="EPW124" s="244"/>
      <c r="EPX124" s="244"/>
      <c r="EPY124" s="244"/>
      <c r="EPZ124" s="244"/>
      <c r="EQA124" s="244"/>
      <c r="EQB124" s="244"/>
      <c r="EQC124" s="244"/>
      <c r="EQD124" s="244"/>
      <c r="EQE124" s="244"/>
      <c r="EQF124" s="244"/>
      <c r="EQG124" s="244"/>
      <c r="EQH124" s="244"/>
      <c r="EQI124" s="244"/>
      <c r="EQJ124" s="244"/>
      <c r="EQK124" s="244"/>
      <c r="EQL124" s="244"/>
      <c r="EQM124" s="244"/>
      <c r="EQN124" s="244"/>
      <c r="EQO124" s="244"/>
      <c r="EQP124" s="244"/>
      <c r="EQQ124" s="244"/>
      <c r="EQR124" s="244"/>
      <c r="EQS124" s="244"/>
      <c r="EQT124" s="244"/>
      <c r="EQU124" s="244"/>
      <c r="EQV124" s="244"/>
      <c r="EQW124" s="244"/>
      <c r="EQX124" s="244"/>
      <c r="EQY124" s="244"/>
      <c r="EQZ124" s="244"/>
      <c r="ERA124" s="244"/>
      <c r="ERB124" s="244"/>
      <c r="ERC124" s="244"/>
      <c r="ERD124" s="244"/>
      <c r="ERE124" s="244"/>
      <c r="ERF124" s="244"/>
      <c r="ERG124" s="244"/>
      <c r="ERH124" s="244"/>
      <c r="ERI124" s="244"/>
      <c r="ERJ124" s="244"/>
      <c r="ERK124" s="244"/>
      <c r="ERL124" s="244"/>
      <c r="ERM124" s="244"/>
      <c r="ERN124" s="244"/>
      <c r="ERO124" s="244"/>
      <c r="ERP124" s="244"/>
      <c r="ERQ124" s="244"/>
      <c r="ERR124" s="244"/>
      <c r="ERS124" s="244"/>
      <c r="ERT124" s="244"/>
      <c r="ERU124" s="244"/>
      <c r="ERV124" s="244"/>
      <c r="ERW124" s="244"/>
      <c r="ERX124" s="244"/>
      <c r="ERY124" s="244"/>
      <c r="ERZ124" s="244"/>
      <c r="ESA124" s="244"/>
      <c r="ESB124" s="244"/>
      <c r="ESC124" s="244"/>
      <c r="ESD124" s="244"/>
      <c r="ESE124" s="244"/>
      <c r="ESF124" s="244"/>
      <c r="ESG124" s="244"/>
      <c r="ESH124" s="244"/>
      <c r="ESI124" s="244"/>
      <c r="ESJ124" s="244"/>
      <c r="ESK124" s="244"/>
      <c r="ESL124" s="244"/>
      <c r="ESM124" s="244"/>
      <c r="ESN124" s="244"/>
      <c r="ESO124" s="244"/>
      <c r="ESP124" s="244"/>
      <c r="ESQ124" s="244"/>
      <c r="ESR124" s="244"/>
      <c r="ESS124" s="244"/>
      <c r="EST124" s="244"/>
      <c r="ESU124" s="244"/>
      <c r="ESV124" s="244"/>
      <c r="ESW124" s="244"/>
      <c r="ESX124" s="244"/>
      <c r="ESY124" s="244"/>
      <c r="ESZ124" s="244"/>
      <c r="ETA124" s="244"/>
      <c r="ETB124" s="244"/>
      <c r="ETC124" s="244"/>
      <c r="ETD124" s="244"/>
      <c r="ETE124" s="244"/>
      <c r="ETF124" s="244"/>
      <c r="ETG124" s="244"/>
      <c r="ETH124" s="244"/>
      <c r="ETI124" s="244"/>
      <c r="ETJ124" s="244"/>
      <c r="ETK124" s="244"/>
      <c r="ETL124" s="244"/>
      <c r="ETM124" s="244"/>
      <c r="ETN124" s="244"/>
      <c r="ETO124" s="244"/>
      <c r="ETP124" s="244"/>
      <c r="ETQ124" s="244"/>
      <c r="ETR124" s="244"/>
      <c r="ETS124" s="244"/>
      <c r="ETT124" s="244"/>
      <c r="ETU124" s="244"/>
      <c r="ETV124" s="244"/>
      <c r="ETW124" s="244"/>
      <c r="ETX124" s="244"/>
      <c r="ETY124" s="244"/>
      <c r="ETZ124" s="244"/>
      <c r="EUA124" s="244"/>
      <c r="EUB124" s="244"/>
      <c r="EUC124" s="244"/>
      <c r="EUD124" s="244"/>
      <c r="EUE124" s="244"/>
      <c r="EUF124" s="244"/>
      <c r="EUG124" s="244"/>
      <c r="EUH124" s="244"/>
      <c r="EUI124" s="244"/>
      <c r="EUJ124" s="244"/>
      <c r="EUK124" s="244"/>
      <c r="EUL124" s="244"/>
      <c r="EUM124" s="244"/>
      <c r="EUN124" s="244"/>
      <c r="EUO124" s="244"/>
      <c r="EUP124" s="244"/>
      <c r="EUQ124" s="244"/>
      <c r="EUR124" s="244"/>
      <c r="EUS124" s="244"/>
      <c r="EUT124" s="244"/>
      <c r="EUU124" s="244"/>
      <c r="EUV124" s="244"/>
      <c r="EUW124" s="244"/>
      <c r="EUX124" s="244"/>
      <c r="EUY124" s="244"/>
      <c r="EUZ124" s="244"/>
      <c r="EVA124" s="244"/>
      <c r="EVB124" s="244"/>
      <c r="EVC124" s="244"/>
      <c r="EVD124" s="244"/>
      <c r="EVE124" s="244"/>
      <c r="EVF124" s="244"/>
      <c r="EVG124" s="244"/>
      <c r="EVH124" s="244"/>
      <c r="EVI124" s="244"/>
      <c r="EVJ124" s="244"/>
      <c r="EVK124" s="244"/>
      <c r="EVL124" s="244"/>
      <c r="EVM124" s="244"/>
      <c r="EVN124" s="244"/>
      <c r="EVO124" s="244"/>
      <c r="EVP124" s="244"/>
      <c r="EVQ124" s="244"/>
      <c r="EVR124" s="244"/>
      <c r="EVS124" s="244"/>
      <c r="EVT124" s="244"/>
      <c r="EVU124" s="244"/>
      <c r="EVV124" s="244"/>
      <c r="EVW124" s="244"/>
      <c r="EVX124" s="244"/>
      <c r="EVY124" s="244"/>
      <c r="EVZ124" s="244"/>
      <c r="EWA124" s="244"/>
      <c r="EWB124" s="244"/>
      <c r="EWC124" s="244"/>
      <c r="EWD124" s="244"/>
      <c r="EWE124" s="244"/>
      <c r="EWF124" s="244"/>
      <c r="EWG124" s="244"/>
      <c r="EWH124" s="244"/>
      <c r="EWI124" s="244"/>
      <c r="EWJ124" s="244"/>
      <c r="EWK124" s="244"/>
      <c r="EWL124" s="244"/>
      <c r="EWM124" s="244"/>
      <c r="EWN124" s="244"/>
      <c r="EWO124" s="244"/>
      <c r="EWP124" s="244"/>
      <c r="EWQ124" s="244"/>
      <c r="EWR124" s="244"/>
      <c r="EWS124" s="244"/>
      <c r="EWT124" s="244"/>
      <c r="EWU124" s="244"/>
      <c r="EWV124" s="244"/>
      <c r="EWW124" s="244"/>
      <c r="EWX124" s="244"/>
      <c r="EWY124" s="244"/>
      <c r="EWZ124" s="244"/>
      <c r="EXA124" s="244"/>
      <c r="EXB124" s="244"/>
      <c r="EXC124" s="244"/>
      <c r="EXD124" s="244"/>
      <c r="EXE124" s="244"/>
      <c r="EXF124" s="244"/>
      <c r="EXG124" s="244"/>
      <c r="EXH124" s="244"/>
      <c r="EXI124" s="244"/>
      <c r="EXJ124" s="244"/>
      <c r="EXK124" s="244"/>
      <c r="EXL124" s="244"/>
      <c r="EXM124" s="244"/>
      <c r="EXN124" s="244"/>
      <c r="EXO124" s="244"/>
      <c r="EXP124" s="244"/>
      <c r="EXQ124" s="244"/>
      <c r="EXR124" s="244"/>
      <c r="EXS124" s="244"/>
      <c r="EXT124" s="244"/>
      <c r="EXU124" s="244"/>
      <c r="EXV124" s="244"/>
      <c r="EXW124" s="244"/>
      <c r="EXX124" s="244"/>
      <c r="EXY124" s="244"/>
      <c r="EXZ124" s="244"/>
      <c r="EYA124" s="244"/>
      <c r="EYB124" s="244"/>
      <c r="EYC124" s="244"/>
      <c r="EYD124" s="244"/>
      <c r="EYE124" s="244"/>
      <c r="EYF124" s="244"/>
      <c r="EYG124" s="244"/>
      <c r="EYH124" s="244"/>
      <c r="EYI124" s="244"/>
      <c r="EYJ124" s="244"/>
      <c r="EYK124" s="244"/>
      <c r="EYL124" s="244"/>
      <c r="EYM124" s="244"/>
      <c r="EYN124" s="244"/>
      <c r="EYO124" s="244"/>
      <c r="EYP124" s="244"/>
      <c r="EYQ124" s="244"/>
      <c r="EYR124" s="244"/>
      <c r="EYS124" s="244"/>
      <c r="EYT124" s="244"/>
      <c r="EYU124" s="244"/>
      <c r="EYV124" s="244"/>
      <c r="EYW124" s="244"/>
      <c r="EYX124" s="244"/>
      <c r="EYY124" s="244"/>
      <c r="EYZ124" s="244"/>
      <c r="EZA124" s="244"/>
      <c r="EZB124" s="244"/>
      <c r="EZC124" s="244"/>
      <c r="EZD124" s="244"/>
      <c r="EZE124" s="244"/>
      <c r="EZF124" s="244"/>
      <c r="EZG124" s="244"/>
      <c r="EZH124" s="244"/>
      <c r="EZI124" s="244"/>
      <c r="EZJ124" s="244"/>
      <c r="EZK124" s="244"/>
      <c r="EZL124" s="244"/>
      <c r="EZM124" s="244"/>
      <c r="EZN124" s="244"/>
      <c r="EZO124" s="244"/>
      <c r="EZP124" s="244"/>
      <c r="EZQ124" s="244"/>
      <c r="EZR124" s="244"/>
      <c r="EZS124" s="244"/>
      <c r="EZT124" s="244"/>
      <c r="EZU124" s="244"/>
      <c r="EZV124" s="244"/>
      <c r="EZW124" s="244"/>
      <c r="EZX124" s="244"/>
      <c r="EZY124" s="244"/>
      <c r="EZZ124" s="244"/>
      <c r="FAA124" s="244"/>
      <c r="FAB124" s="244"/>
      <c r="FAC124" s="244"/>
      <c r="FAD124" s="244"/>
      <c r="FAE124" s="244"/>
      <c r="FAF124" s="244"/>
      <c r="FAG124" s="244"/>
      <c r="FAH124" s="244"/>
      <c r="FAI124" s="244"/>
      <c r="FAJ124" s="244"/>
      <c r="FAK124" s="244"/>
      <c r="FAL124" s="244"/>
      <c r="FAM124" s="244"/>
      <c r="FAN124" s="244"/>
      <c r="FAO124" s="244"/>
      <c r="FAP124" s="244"/>
      <c r="FAQ124" s="244"/>
      <c r="FAR124" s="244"/>
      <c r="FAS124" s="244"/>
      <c r="FAT124" s="244"/>
      <c r="FAU124" s="244"/>
      <c r="FAV124" s="244"/>
      <c r="FAW124" s="244"/>
      <c r="FAX124" s="244"/>
      <c r="FAY124" s="244"/>
      <c r="FAZ124" s="244"/>
      <c r="FBA124" s="244"/>
      <c r="FBB124" s="244"/>
      <c r="FBC124" s="244"/>
      <c r="FBD124" s="244"/>
      <c r="FBE124" s="244"/>
      <c r="FBF124" s="244"/>
      <c r="FBG124" s="244"/>
      <c r="FBH124" s="244"/>
      <c r="FBI124" s="244"/>
      <c r="FBJ124" s="244"/>
      <c r="FBK124" s="244"/>
      <c r="FBL124" s="244"/>
      <c r="FBM124" s="244"/>
      <c r="FBN124" s="244"/>
      <c r="FBO124" s="244"/>
      <c r="FBP124" s="244"/>
      <c r="FBQ124" s="244"/>
      <c r="FBR124" s="244"/>
      <c r="FBS124" s="244"/>
      <c r="FBT124" s="244"/>
      <c r="FBU124" s="244"/>
      <c r="FBV124" s="244"/>
      <c r="FBW124" s="244"/>
      <c r="FBX124" s="244"/>
      <c r="FBY124" s="244"/>
      <c r="FBZ124" s="244"/>
      <c r="FCA124" s="244"/>
      <c r="FCB124" s="244"/>
      <c r="FCC124" s="244"/>
      <c r="FCD124" s="244"/>
      <c r="FCE124" s="244"/>
      <c r="FCF124" s="244"/>
      <c r="FCG124" s="244"/>
      <c r="FCH124" s="244"/>
      <c r="FCI124" s="244"/>
      <c r="FCJ124" s="244"/>
      <c r="FCK124" s="244"/>
      <c r="FCL124" s="244"/>
      <c r="FCM124" s="244"/>
      <c r="FCN124" s="244"/>
      <c r="FCO124" s="244"/>
      <c r="FCP124" s="244"/>
      <c r="FCQ124" s="244"/>
      <c r="FCR124" s="244"/>
      <c r="FCS124" s="244"/>
      <c r="FCT124" s="244"/>
      <c r="FCU124" s="244"/>
      <c r="FCV124" s="244"/>
      <c r="FCW124" s="244"/>
      <c r="FCX124" s="244"/>
      <c r="FCY124" s="244"/>
      <c r="FCZ124" s="244"/>
      <c r="FDA124" s="244"/>
      <c r="FDB124" s="244"/>
      <c r="FDC124" s="244"/>
      <c r="FDD124" s="244"/>
      <c r="FDE124" s="244"/>
      <c r="FDF124" s="244"/>
      <c r="FDG124" s="244"/>
      <c r="FDH124" s="244"/>
      <c r="FDI124" s="244"/>
      <c r="FDJ124" s="244"/>
      <c r="FDK124" s="244"/>
      <c r="FDL124" s="244"/>
      <c r="FDM124" s="244"/>
      <c r="FDN124" s="244"/>
      <c r="FDO124" s="244"/>
      <c r="FDP124" s="244"/>
      <c r="FDQ124" s="244"/>
      <c r="FDR124" s="244"/>
      <c r="FDS124" s="244"/>
      <c r="FDT124" s="244"/>
      <c r="FDU124" s="244"/>
      <c r="FDV124" s="244"/>
      <c r="FDW124" s="244"/>
      <c r="FDX124" s="244"/>
      <c r="FDY124" s="244"/>
      <c r="FDZ124" s="244"/>
      <c r="FEA124" s="244"/>
      <c r="FEB124" s="244"/>
      <c r="FEC124" s="244"/>
      <c r="FED124" s="244"/>
      <c r="FEE124" s="244"/>
      <c r="FEF124" s="244"/>
      <c r="FEG124" s="244"/>
      <c r="FEH124" s="244"/>
      <c r="FEI124" s="244"/>
      <c r="FEJ124" s="244"/>
      <c r="FEK124" s="244"/>
      <c r="FEL124" s="244"/>
      <c r="FEM124" s="244"/>
      <c r="FEN124" s="244"/>
      <c r="FEO124" s="244"/>
      <c r="FEP124" s="244"/>
      <c r="FEQ124" s="244"/>
      <c r="FER124" s="244"/>
      <c r="FES124" s="244"/>
      <c r="FET124" s="244"/>
      <c r="FEU124" s="244"/>
      <c r="FEV124" s="244"/>
      <c r="FEW124" s="244"/>
      <c r="FEX124" s="244"/>
      <c r="FEY124" s="244"/>
      <c r="FEZ124" s="244"/>
      <c r="FFA124" s="244"/>
      <c r="FFB124" s="244"/>
      <c r="FFC124" s="244"/>
      <c r="FFD124" s="244"/>
      <c r="FFE124" s="244"/>
      <c r="FFF124" s="244"/>
      <c r="FFG124" s="244"/>
      <c r="FFH124" s="244"/>
      <c r="FFI124" s="244"/>
      <c r="FFJ124" s="244"/>
      <c r="FFK124" s="244"/>
      <c r="FFL124" s="244"/>
      <c r="FFM124" s="244"/>
      <c r="FFN124" s="244"/>
      <c r="FFO124" s="244"/>
      <c r="FFP124" s="244"/>
      <c r="FFQ124" s="244"/>
      <c r="FFR124" s="244"/>
      <c r="FFS124" s="244"/>
      <c r="FFT124" s="244"/>
      <c r="FFU124" s="244"/>
      <c r="FFV124" s="244"/>
      <c r="FFW124" s="244"/>
      <c r="FFX124" s="244"/>
      <c r="FFY124" s="244"/>
      <c r="FFZ124" s="244"/>
      <c r="FGA124" s="244"/>
      <c r="FGB124" s="244"/>
      <c r="FGC124" s="244"/>
      <c r="FGD124" s="244"/>
      <c r="FGE124" s="244"/>
      <c r="FGF124" s="244"/>
      <c r="FGG124" s="244"/>
      <c r="FGH124" s="244"/>
      <c r="FGI124" s="244"/>
      <c r="FGJ124" s="244"/>
      <c r="FGK124" s="244"/>
      <c r="FGL124" s="244"/>
      <c r="FGM124" s="244"/>
      <c r="FGN124" s="244"/>
      <c r="FGO124" s="244"/>
      <c r="FGP124" s="244"/>
      <c r="FGQ124" s="244"/>
      <c r="FGR124" s="244"/>
      <c r="FGS124" s="244"/>
      <c r="FGT124" s="244"/>
      <c r="FGU124" s="244"/>
      <c r="FGV124" s="244"/>
      <c r="FGW124" s="244"/>
      <c r="FGX124" s="244"/>
      <c r="FGY124" s="244"/>
      <c r="FGZ124" s="244"/>
      <c r="FHA124" s="244"/>
      <c r="FHB124" s="244"/>
      <c r="FHC124" s="244"/>
      <c r="FHD124" s="244"/>
      <c r="FHE124" s="244"/>
      <c r="FHF124" s="244"/>
      <c r="FHG124" s="244"/>
      <c r="FHH124" s="244"/>
      <c r="FHI124" s="244"/>
      <c r="FHJ124" s="244"/>
      <c r="FHK124" s="244"/>
      <c r="FHL124" s="244"/>
      <c r="FHM124" s="244"/>
      <c r="FHN124" s="244"/>
      <c r="FHO124" s="244"/>
      <c r="FHP124" s="244"/>
      <c r="FHQ124" s="244"/>
      <c r="FHR124" s="244"/>
      <c r="FHS124" s="244"/>
      <c r="FHT124" s="244"/>
      <c r="FHU124" s="244"/>
      <c r="FHV124" s="244"/>
      <c r="FHW124" s="244"/>
      <c r="FHX124" s="244"/>
      <c r="FHY124" s="244"/>
      <c r="FHZ124" s="244"/>
      <c r="FIA124" s="244"/>
      <c r="FIB124" s="244"/>
      <c r="FIC124" s="244"/>
      <c r="FID124" s="244"/>
      <c r="FIE124" s="244"/>
      <c r="FIF124" s="244"/>
      <c r="FIG124" s="244"/>
      <c r="FIH124" s="244"/>
      <c r="FII124" s="244"/>
      <c r="FIJ124" s="244"/>
      <c r="FIK124" s="244"/>
      <c r="FIL124" s="244"/>
      <c r="FIM124" s="244"/>
      <c r="FIN124" s="244"/>
      <c r="FIO124" s="244"/>
      <c r="FIP124" s="244"/>
      <c r="FIQ124" s="244"/>
      <c r="FIR124" s="244"/>
      <c r="FIS124" s="244"/>
      <c r="FIT124" s="244"/>
      <c r="FIU124" s="244"/>
      <c r="FIV124" s="244"/>
      <c r="FIW124" s="244"/>
      <c r="FIX124" s="244"/>
      <c r="FIY124" s="244"/>
      <c r="FIZ124" s="244"/>
      <c r="FJA124" s="244"/>
      <c r="FJB124" s="244"/>
      <c r="FJC124" s="244"/>
      <c r="FJD124" s="244"/>
      <c r="FJE124" s="244"/>
      <c r="FJF124" s="244"/>
      <c r="FJG124" s="244"/>
      <c r="FJH124" s="244"/>
      <c r="FJI124" s="244"/>
      <c r="FJJ124" s="244"/>
      <c r="FJK124" s="244"/>
      <c r="FJL124" s="244"/>
      <c r="FJM124" s="244"/>
      <c r="FJN124" s="244"/>
      <c r="FJO124" s="244"/>
      <c r="FJP124" s="244"/>
      <c r="FJQ124" s="244"/>
      <c r="FJR124" s="244"/>
      <c r="FJS124" s="244"/>
      <c r="FJT124" s="244"/>
      <c r="FJU124" s="244"/>
      <c r="FJV124" s="244"/>
      <c r="FJW124" s="244"/>
      <c r="FJX124" s="244"/>
      <c r="FJY124" s="244"/>
      <c r="FJZ124" s="244"/>
      <c r="FKA124" s="244"/>
      <c r="FKB124" s="244"/>
      <c r="FKC124" s="244"/>
      <c r="FKD124" s="244"/>
      <c r="FKE124" s="244"/>
      <c r="FKF124" s="244"/>
      <c r="FKG124" s="244"/>
      <c r="FKH124" s="244"/>
      <c r="FKI124" s="244"/>
      <c r="FKJ124" s="244"/>
      <c r="FKK124" s="244"/>
      <c r="FKL124" s="244"/>
      <c r="FKM124" s="244"/>
      <c r="FKN124" s="244"/>
      <c r="FKO124" s="244"/>
      <c r="FKP124" s="244"/>
      <c r="FKQ124" s="244"/>
      <c r="FKR124" s="244"/>
      <c r="FKS124" s="244"/>
      <c r="FKT124" s="244"/>
      <c r="FKU124" s="244"/>
      <c r="FKV124" s="244"/>
      <c r="FKW124" s="244"/>
      <c r="FKX124" s="244"/>
      <c r="FKY124" s="244"/>
      <c r="FKZ124" s="244"/>
      <c r="FLA124" s="244"/>
      <c r="FLB124" s="244"/>
      <c r="FLC124" s="244"/>
      <c r="FLD124" s="244"/>
      <c r="FLE124" s="244"/>
      <c r="FLF124" s="244"/>
      <c r="FLG124" s="244"/>
      <c r="FLH124" s="244"/>
      <c r="FLI124" s="244"/>
      <c r="FLJ124" s="244"/>
      <c r="FLK124" s="244"/>
      <c r="FLL124" s="244"/>
      <c r="FLM124" s="244"/>
      <c r="FLN124" s="244"/>
      <c r="FLO124" s="244"/>
      <c r="FLP124" s="244"/>
      <c r="FLQ124" s="244"/>
      <c r="FLR124" s="244"/>
      <c r="FLS124" s="244"/>
      <c r="FLT124" s="244"/>
      <c r="FLU124" s="244"/>
      <c r="FLV124" s="244"/>
      <c r="FLW124" s="244"/>
      <c r="FLX124" s="244"/>
      <c r="FLY124" s="244"/>
      <c r="FLZ124" s="244"/>
      <c r="FMA124" s="244"/>
      <c r="FMB124" s="244"/>
      <c r="FMC124" s="244"/>
      <c r="FMD124" s="244"/>
      <c r="FME124" s="244"/>
      <c r="FMF124" s="244"/>
      <c r="FMG124" s="244"/>
      <c r="FMH124" s="244"/>
      <c r="FMI124" s="244"/>
      <c r="FMJ124" s="244"/>
      <c r="FMK124" s="244"/>
      <c r="FML124" s="244"/>
      <c r="FMM124" s="244"/>
      <c r="FMN124" s="244"/>
      <c r="FMO124" s="244"/>
      <c r="FMP124" s="244"/>
      <c r="FMQ124" s="244"/>
      <c r="FMR124" s="244"/>
      <c r="FMS124" s="244"/>
      <c r="FMT124" s="244"/>
      <c r="FMU124" s="244"/>
      <c r="FMV124" s="244"/>
      <c r="FMW124" s="244"/>
      <c r="FMX124" s="244"/>
      <c r="FMY124" s="244"/>
      <c r="FMZ124" s="244"/>
      <c r="FNA124" s="244"/>
      <c r="FNB124" s="244"/>
      <c r="FNC124" s="244"/>
      <c r="FND124" s="244"/>
      <c r="FNE124" s="244"/>
      <c r="FNF124" s="244"/>
      <c r="FNG124" s="244"/>
      <c r="FNH124" s="244"/>
      <c r="FNI124" s="244"/>
      <c r="FNJ124" s="244"/>
      <c r="FNK124" s="244"/>
      <c r="FNL124" s="244"/>
      <c r="FNM124" s="244"/>
      <c r="FNN124" s="244"/>
      <c r="FNO124" s="244"/>
      <c r="FNP124" s="244"/>
      <c r="FNQ124" s="244"/>
      <c r="FNR124" s="244"/>
      <c r="FNS124" s="244"/>
      <c r="FNT124" s="244"/>
      <c r="FNU124" s="244"/>
      <c r="FNV124" s="244"/>
      <c r="FNW124" s="244"/>
      <c r="FNX124" s="244"/>
      <c r="FNY124" s="244"/>
      <c r="FNZ124" s="244"/>
      <c r="FOA124" s="244"/>
      <c r="FOB124" s="244"/>
      <c r="FOC124" s="244"/>
      <c r="FOD124" s="244"/>
      <c r="FOE124" s="244"/>
      <c r="FOF124" s="244"/>
      <c r="FOG124" s="244"/>
      <c r="FOH124" s="244"/>
      <c r="FOI124" s="244"/>
      <c r="FOJ124" s="244"/>
      <c r="FOK124" s="244"/>
      <c r="FOL124" s="244"/>
      <c r="FOM124" s="244"/>
      <c r="FON124" s="244"/>
      <c r="FOO124" s="244"/>
      <c r="FOP124" s="244"/>
      <c r="FOQ124" s="244"/>
      <c r="FOR124" s="244"/>
      <c r="FOS124" s="244"/>
      <c r="FOT124" s="244"/>
      <c r="FOU124" s="244"/>
      <c r="FOV124" s="244"/>
      <c r="FOW124" s="244"/>
      <c r="FOX124" s="244"/>
      <c r="FOY124" s="244"/>
      <c r="FOZ124" s="244"/>
      <c r="FPA124" s="244"/>
      <c r="FPB124" s="244"/>
      <c r="FPC124" s="244"/>
      <c r="FPD124" s="244"/>
      <c r="FPE124" s="244"/>
      <c r="FPF124" s="244"/>
      <c r="FPG124" s="244"/>
      <c r="FPH124" s="244"/>
      <c r="FPI124" s="244"/>
      <c r="FPJ124" s="244"/>
      <c r="FPK124" s="244"/>
      <c r="FPL124" s="244"/>
      <c r="FPM124" s="244"/>
      <c r="FPN124" s="244"/>
      <c r="FPO124" s="244"/>
      <c r="FPP124" s="244"/>
      <c r="FPQ124" s="244"/>
      <c r="FPR124" s="244"/>
      <c r="FPS124" s="244"/>
      <c r="FPT124" s="244"/>
      <c r="FPU124" s="244"/>
      <c r="FPV124" s="244"/>
      <c r="FPW124" s="244"/>
      <c r="FPX124" s="244"/>
      <c r="FPY124" s="244"/>
      <c r="FPZ124" s="244"/>
      <c r="FQA124" s="244"/>
      <c r="FQB124" s="244"/>
      <c r="FQC124" s="244"/>
      <c r="FQD124" s="244"/>
      <c r="FQE124" s="244"/>
      <c r="FQF124" s="244"/>
      <c r="FQG124" s="244"/>
      <c r="FQH124" s="244"/>
      <c r="FQI124" s="244"/>
      <c r="FQJ124" s="244"/>
      <c r="FQK124" s="244"/>
      <c r="FQL124" s="244"/>
      <c r="FQM124" s="244"/>
      <c r="FQN124" s="244"/>
      <c r="FQO124" s="244"/>
      <c r="FQP124" s="244"/>
      <c r="FQQ124" s="244"/>
      <c r="FQR124" s="244"/>
      <c r="FQS124" s="244"/>
      <c r="FQT124" s="244"/>
      <c r="FQU124" s="244"/>
      <c r="FQV124" s="244"/>
      <c r="FQW124" s="244"/>
      <c r="FQX124" s="244"/>
      <c r="FQY124" s="244"/>
      <c r="FQZ124" s="244"/>
      <c r="FRA124" s="244"/>
      <c r="FRB124" s="244"/>
      <c r="FRC124" s="244"/>
      <c r="FRD124" s="244"/>
      <c r="FRE124" s="244"/>
      <c r="FRF124" s="244"/>
      <c r="FRG124" s="244"/>
      <c r="FRH124" s="244"/>
      <c r="FRI124" s="244"/>
      <c r="FRJ124" s="244"/>
      <c r="FRK124" s="244"/>
      <c r="FRL124" s="244"/>
      <c r="FRM124" s="244"/>
      <c r="FRN124" s="244"/>
      <c r="FRO124" s="244"/>
      <c r="FRP124" s="244"/>
      <c r="FRQ124" s="244"/>
      <c r="FRR124" s="244"/>
      <c r="FRS124" s="244"/>
      <c r="FRT124" s="244"/>
      <c r="FRU124" s="244"/>
      <c r="FRV124" s="244"/>
      <c r="FRW124" s="244"/>
      <c r="FRX124" s="244"/>
      <c r="FRY124" s="244"/>
      <c r="FRZ124" s="244"/>
      <c r="FSA124" s="244"/>
      <c r="FSB124" s="244"/>
      <c r="FSC124" s="244"/>
      <c r="FSD124" s="244"/>
      <c r="FSE124" s="244"/>
      <c r="FSF124" s="244"/>
      <c r="FSG124" s="244"/>
      <c r="FSH124" s="244"/>
      <c r="FSI124" s="244"/>
      <c r="FSJ124" s="244"/>
      <c r="FSK124" s="244"/>
      <c r="FSL124" s="244"/>
      <c r="FSM124" s="244"/>
      <c r="FSN124" s="244"/>
      <c r="FSO124" s="244"/>
      <c r="FSP124" s="244"/>
      <c r="FSQ124" s="244"/>
      <c r="FSR124" s="244"/>
      <c r="FSS124" s="244"/>
      <c r="FST124" s="244"/>
      <c r="FSU124" s="244"/>
      <c r="FSV124" s="244"/>
      <c r="FSW124" s="244"/>
      <c r="FSX124" s="244"/>
      <c r="FSY124" s="244"/>
      <c r="FSZ124" s="244"/>
      <c r="FTA124" s="244"/>
      <c r="FTB124" s="244"/>
      <c r="FTC124" s="244"/>
      <c r="FTD124" s="244"/>
      <c r="FTE124" s="244"/>
      <c r="FTF124" s="244"/>
      <c r="FTG124" s="244"/>
      <c r="FTH124" s="244"/>
      <c r="FTI124" s="244"/>
      <c r="FTJ124" s="244"/>
      <c r="FTK124" s="244"/>
      <c r="FTL124" s="244"/>
      <c r="FTM124" s="244"/>
      <c r="FTN124" s="244"/>
      <c r="FTO124" s="244"/>
      <c r="FTP124" s="244"/>
      <c r="FTQ124" s="244"/>
      <c r="FTR124" s="244"/>
      <c r="FTS124" s="244"/>
      <c r="FTT124" s="244"/>
      <c r="FTU124" s="244"/>
      <c r="FTV124" s="244"/>
      <c r="FTW124" s="244"/>
      <c r="FTX124" s="244"/>
      <c r="FTY124" s="244"/>
      <c r="FTZ124" s="244"/>
      <c r="FUA124" s="244"/>
      <c r="FUB124" s="244"/>
      <c r="FUC124" s="244"/>
      <c r="FUD124" s="244"/>
      <c r="FUE124" s="244"/>
      <c r="FUF124" s="244"/>
      <c r="FUG124" s="244"/>
      <c r="FUH124" s="244"/>
      <c r="FUI124" s="244"/>
      <c r="FUJ124" s="244"/>
      <c r="FUK124" s="244"/>
      <c r="FUL124" s="244"/>
      <c r="FUM124" s="244"/>
      <c r="FUN124" s="244"/>
      <c r="FUO124" s="244"/>
      <c r="FUP124" s="244"/>
      <c r="FUQ124" s="244"/>
      <c r="FUR124" s="244"/>
      <c r="FUS124" s="244"/>
      <c r="FUT124" s="244"/>
      <c r="FUU124" s="244"/>
      <c r="FUV124" s="244"/>
      <c r="FUW124" s="244"/>
      <c r="FUX124" s="244"/>
      <c r="FUY124" s="244"/>
      <c r="FUZ124" s="244"/>
      <c r="FVA124" s="244"/>
      <c r="FVB124" s="244"/>
      <c r="FVC124" s="244"/>
      <c r="FVD124" s="244"/>
      <c r="FVE124" s="244"/>
      <c r="FVF124" s="244"/>
      <c r="FVG124" s="244"/>
      <c r="FVH124" s="244"/>
      <c r="FVI124" s="244"/>
      <c r="FVJ124" s="244"/>
      <c r="FVK124" s="244"/>
      <c r="FVL124" s="244"/>
      <c r="FVM124" s="244"/>
      <c r="FVN124" s="244"/>
      <c r="FVO124" s="244"/>
      <c r="FVP124" s="244"/>
      <c r="FVQ124" s="244"/>
      <c r="FVR124" s="244"/>
      <c r="FVS124" s="244"/>
      <c r="FVT124" s="244"/>
      <c r="FVU124" s="244"/>
      <c r="FVV124" s="244"/>
      <c r="FVW124" s="244"/>
      <c r="FVX124" s="244"/>
      <c r="FVY124" s="244"/>
      <c r="FVZ124" s="244"/>
      <c r="FWA124" s="244"/>
      <c r="FWB124" s="244"/>
      <c r="FWC124" s="244"/>
      <c r="FWD124" s="244"/>
      <c r="FWE124" s="244"/>
      <c r="FWF124" s="244"/>
      <c r="FWG124" s="244"/>
      <c r="FWH124" s="244"/>
      <c r="FWI124" s="244"/>
      <c r="FWJ124" s="244"/>
      <c r="FWK124" s="244"/>
      <c r="FWL124" s="244"/>
      <c r="FWM124" s="244"/>
      <c r="FWN124" s="244"/>
      <c r="FWO124" s="244"/>
      <c r="FWP124" s="244"/>
      <c r="FWQ124" s="244"/>
      <c r="FWR124" s="244"/>
      <c r="FWS124" s="244"/>
      <c r="FWT124" s="244"/>
      <c r="FWU124" s="244"/>
      <c r="FWV124" s="244"/>
      <c r="FWW124" s="244"/>
      <c r="FWX124" s="244"/>
      <c r="FWY124" s="244"/>
      <c r="FWZ124" s="244"/>
      <c r="FXA124" s="244"/>
      <c r="FXB124" s="244"/>
      <c r="FXC124" s="244"/>
      <c r="FXD124" s="244"/>
      <c r="FXE124" s="244"/>
      <c r="FXF124" s="244"/>
      <c r="FXG124" s="244"/>
      <c r="FXH124" s="244"/>
      <c r="FXI124" s="244"/>
      <c r="FXJ124" s="244"/>
      <c r="FXK124" s="244"/>
      <c r="FXL124" s="244"/>
      <c r="FXM124" s="244"/>
      <c r="FXN124" s="244"/>
      <c r="FXO124" s="244"/>
      <c r="FXP124" s="244"/>
      <c r="FXQ124" s="244"/>
      <c r="FXR124" s="244"/>
      <c r="FXS124" s="244"/>
      <c r="FXT124" s="244"/>
      <c r="FXU124" s="244"/>
      <c r="FXV124" s="244"/>
      <c r="FXW124" s="244"/>
      <c r="FXX124" s="244"/>
      <c r="FXY124" s="244"/>
      <c r="FXZ124" s="244"/>
      <c r="FYA124" s="244"/>
      <c r="FYB124" s="244"/>
      <c r="FYC124" s="244"/>
      <c r="FYD124" s="244"/>
      <c r="FYE124" s="244"/>
      <c r="FYF124" s="244"/>
      <c r="FYG124" s="244"/>
      <c r="FYH124" s="244"/>
      <c r="FYI124" s="244"/>
      <c r="FYJ124" s="244"/>
      <c r="FYK124" s="244"/>
      <c r="FYL124" s="244"/>
      <c r="FYM124" s="244"/>
      <c r="FYN124" s="244"/>
      <c r="FYO124" s="244"/>
      <c r="FYP124" s="244"/>
      <c r="FYQ124" s="244"/>
      <c r="FYR124" s="244"/>
      <c r="FYS124" s="244"/>
      <c r="FYT124" s="244"/>
      <c r="FYU124" s="244"/>
      <c r="FYV124" s="244"/>
      <c r="FYW124" s="244"/>
      <c r="FYX124" s="244"/>
      <c r="FYY124" s="244"/>
      <c r="FYZ124" s="244"/>
      <c r="FZA124" s="244"/>
      <c r="FZB124" s="244"/>
      <c r="FZC124" s="244"/>
      <c r="FZD124" s="244"/>
      <c r="FZE124" s="244"/>
      <c r="FZF124" s="244"/>
      <c r="FZG124" s="244"/>
      <c r="FZH124" s="244"/>
      <c r="FZI124" s="244"/>
      <c r="FZJ124" s="244"/>
      <c r="FZK124" s="244"/>
      <c r="FZL124" s="244"/>
      <c r="FZM124" s="244"/>
      <c r="FZN124" s="244"/>
      <c r="FZO124" s="244"/>
      <c r="FZP124" s="244"/>
      <c r="FZQ124" s="244"/>
      <c r="FZR124" s="244"/>
      <c r="FZS124" s="244"/>
      <c r="FZT124" s="244"/>
      <c r="FZU124" s="244"/>
      <c r="FZV124" s="244"/>
      <c r="FZW124" s="244"/>
      <c r="FZX124" s="244"/>
      <c r="FZY124" s="244"/>
      <c r="FZZ124" s="244"/>
      <c r="GAA124" s="244"/>
      <c r="GAB124" s="244"/>
      <c r="GAC124" s="244"/>
      <c r="GAD124" s="244"/>
      <c r="GAE124" s="244"/>
      <c r="GAF124" s="244"/>
      <c r="GAG124" s="244"/>
      <c r="GAH124" s="244"/>
      <c r="GAI124" s="244"/>
      <c r="GAJ124" s="244"/>
      <c r="GAK124" s="244"/>
      <c r="GAL124" s="244"/>
      <c r="GAM124" s="244"/>
      <c r="GAN124" s="244"/>
      <c r="GAO124" s="244"/>
      <c r="GAP124" s="244"/>
      <c r="GAQ124" s="244"/>
      <c r="GAR124" s="244"/>
      <c r="GAS124" s="244"/>
      <c r="GAT124" s="244"/>
      <c r="GAU124" s="244"/>
      <c r="GAV124" s="244"/>
      <c r="GAW124" s="244"/>
      <c r="GAX124" s="244"/>
      <c r="GAY124" s="244"/>
      <c r="GAZ124" s="244"/>
      <c r="GBA124" s="244"/>
      <c r="GBB124" s="244"/>
      <c r="GBC124" s="244"/>
      <c r="GBD124" s="244"/>
      <c r="GBE124" s="244"/>
      <c r="GBF124" s="244"/>
      <c r="GBG124" s="244"/>
      <c r="GBH124" s="244"/>
      <c r="GBI124" s="244"/>
      <c r="GBJ124" s="244"/>
      <c r="GBK124" s="244"/>
      <c r="GBL124" s="244"/>
      <c r="GBM124" s="244"/>
      <c r="GBN124" s="244"/>
      <c r="GBO124" s="244"/>
      <c r="GBP124" s="244"/>
      <c r="GBQ124" s="244"/>
      <c r="GBR124" s="244"/>
      <c r="GBS124" s="244"/>
      <c r="GBT124" s="244"/>
      <c r="GBU124" s="244"/>
      <c r="GBV124" s="244"/>
      <c r="GBW124" s="244"/>
      <c r="GBX124" s="244"/>
      <c r="GBY124" s="244"/>
      <c r="GBZ124" s="244"/>
      <c r="GCA124" s="244"/>
      <c r="GCB124" s="244"/>
      <c r="GCC124" s="244"/>
      <c r="GCD124" s="244"/>
      <c r="GCE124" s="244"/>
      <c r="GCF124" s="244"/>
      <c r="GCG124" s="244"/>
      <c r="GCH124" s="244"/>
      <c r="GCI124" s="244"/>
      <c r="GCJ124" s="244"/>
      <c r="GCK124" s="244"/>
      <c r="GCL124" s="244"/>
      <c r="GCM124" s="244"/>
      <c r="GCN124" s="244"/>
      <c r="GCO124" s="244"/>
      <c r="GCP124" s="244"/>
      <c r="GCQ124" s="244"/>
      <c r="GCR124" s="244"/>
      <c r="GCS124" s="244"/>
      <c r="GCT124" s="244"/>
      <c r="GCU124" s="244"/>
      <c r="GCV124" s="244"/>
      <c r="GCW124" s="244"/>
      <c r="GCX124" s="244"/>
      <c r="GCY124" s="244"/>
      <c r="GCZ124" s="244"/>
      <c r="GDA124" s="244"/>
      <c r="GDB124" s="244"/>
      <c r="GDC124" s="244"/>
      <c r="GDD124" s="244"/>
      <c r="GDE124" s="244"/>
      <c r="GDF124" s="244"/>
      <c r="GDG124" s="244"/>
      <c r="GDH124" s="244"/>
      <c r="GDI124" s="244"/>
      <c r="GDJ124" s="244"/>
      <c r="GDK124" s="244"/>
      <c r="GDL124" s="244"/>
      <c r="GDM124" s="244"/>
      <c r="GDN124" s="244"/>
      <c r="GDO124" s="244"/>
      <c r="GDP124" s="244"/>
      <c r="GDQ124" s="244"/>
      <c r="GDR124" s="244"/>
      <c r="GDS124" s="244"/>
      <c r="GDT124" s="244"/>
      <c r="GDU124" s="244"/>
      <c r="GDV124" s="244"/>
      <c r="GDW124" s="244"/>
      <c r="GDX124" s="244"/>
      <c r="GDY124" s="244"/>
      <c r="GDZ124" s="244"/>
      <c r="GEA124" s="244"/>
      <c r="GEB124" s="244"/>
      <c r="GEC124" s="244"/>
      <c r="GED124" s="244"/>
      <c r="GEE124" s="244"/>
      <c r="GEF124" s="244"/>
      <c r="GEG124" s="244"/>
      <c r="GEH124" s="244"/>
      <c r="GEI124" s="244"/>
      <c r="GEJ124" s="244"/>
      <c r="GEK124" s="244"/>
      <c r="GEL124" s="244"/>
      <c r="GEM124" s="244"/>
      <c r="GEN124" s="244"/>
      <c r="GEO124" s="244"/>
      <c r="GEP124" s="244"/>
      <c r="GEQ124" s="244"/>
      <c r="GER124" s="244"/>
      <c r="GES124" s="244"/>
      <c r="GET124" s="244"/>
      <c r="GEU124" s="244"/>
      <c r="GEV124" s="244"/>
      <c r="GEW124" s="244"/>
      <c r="GEX124" s="244"/>
      <c r="GEY124" s="244"/>
      <c r="GEZ124" s="244"/>
      <c r="GFA124" s="244"/>
      <c r="GFB124" s="244"/>
      <c r="GFC124" s="244"/>
      <c r="GFD124" s="244"/>
      <c r="GFE124" s="244"/>
      <c r="GFF124" s="244"/>
      <c r="GFG124" s="244"/>
      <c r="GFH124" s="244"/>
      <c r="GFI124" s="244"/>
      <c r="GFJ124" s="244"/>
      <c r="GFK124" s="244"/>
      <c r="GFL124" s="244"/>
      <c r="GFM124" s="244"/>
      <c r="GFN124" s="244"/>
      <c r="GFO124" s="244"/>
      <c r="GFP124" s="244"/>
      <c r="GFQ124" s="244"/>
      <c r="GFR124" s="244"/>
      <c r="GFS124" s="244"/>
      <c r="GFT124" s="244"/>
      <c r="GFU124" s="244"/>
      <c r="GFV124" s="244"/>
      <c r="GFW124" s="244"/>
      <c r="GFX124" s="244"/>
      <c r="GFY124" s="244"/>
      <c r="GFZ124" s="244"/>
      <c r="GGA124" s="244"/>
      <c r="GGB124" s="244"/>
      <c r="GGC124" s="244"/>
      <c r="GGD124" s="244"/>
      <c r="GGE124" s="244"/>
      <c r="GGF124" s="244"/>
      <c r="GGG124" s="244"/>
      <c r="GGH124" s="244"/>
      <c r="GGI124" s="244"/>
      <c r="GGJ124" s="244"/>
      <c r="GGK124" s="244"/>
      <c r="GGL124" s="244"/>
      <c r="GGM124" s="244"/>
      <c r="GGN124" s="244"/>
      <c r="GGO124" s="244"/>
      <c r="GGP124" s="244"/>
      <c r="GGQ124" s="244"/>
      <c r="GGR124" s="244"/>
      <c r="GGS124" s="244"/>
      <c r="GGT124" s="244"/>
      <c r="GGU124" s="244"/>
      <c r="GGV124" s="244"/>
      <c r="GGW124" s="244"/>
      <c r="GGX124" s="244"/>
      <c r="GGY124" s="244"/>
      <c r="GGZ124" s="244"/>
      <c r="GHA124" s="244"/>
      <c r="GHB124" s="244"/>
      <c r="GHC124" s="244"/>
      <c r="GHD124" s="244"/>
      <c r="GHE124" s="244"/>
      <c r="GHF124" s="244"/>
      <c r="GHG124" s="244"/>
      <c r="GHH124" s="244"/>
      <c r="GHI124" s="244"/>
      <c r="GHJ124" s="244"/>
      <c r="GHK124" s="244"/>
      <c r="GHL124" s="244"/>
      <c r="GHM124" s="244"/>
      <c r="GHN124" s="244"/>
      <c r="GHO124" s="244"/>
      <c r="GHP124" s="244"/>
      <c r="GHQ124" s="244"/>
      <c r="GHR124" s="244"/>
      <c r="GHS124" s="244"/>
      <c r="GHT124" s="244"/>
      <c r="GHU124" s="244"/>
      <c r="GHV124" s="244"/>
      <c r="GHW124" s="244"/>
      <c r="GHX124" s="244"/>
      <c r="GHY124" s="244"/>
      <c r="GHZ124" s="244"/>
      <c r="GIA124" s="244"/>
      <c r="GIB124" s="244"/>
      <c r="GIC124" s="244"/>
      <c r="GID124" s="244"/>
      <c r="GIE124" s="244"/>
      <c r="GIF124" s="244"/>
      <c r="GIG124" s="244"/>
      <c r="GIH124" s="244"/>
      <c r="GII124" s="244"/>
      <c r="GIJ124" s="244"/>
      <c r="GIK124" s="244"/>
      <c r="GIL124" s="244"/>
      <c r="GIM124" s="244"/>
      <c r="GIN124" s="244"/>
      <c r="GIO124" s="244"/>
      <c r="GIP124" s="244"/>
      <c r="GIQ124" s="244"/>
      <c r="GIR124" s="244"/>
      <c r="GIS124" s="244"/>
      <c r="GIT124" s="244"/>
      <c r="GIU124" s="244"/>
      <c r="GIV124" s="244"/>
      <c r="GIW124" s="244"/>
      <c r="GIX124" s="244"/>
      <c r="GIY124" s="244"/>
      <c r="GIZ124" s="244"/>
      <c r="GJA124" s="244"/>
      <c r="GJB124" s="244"/>
      <c r="GJC124" s="244"/>
      <c r="GJD124" s="244"/>
      <c r="GJE124" s="244"/>
      <c r="GJF124" s="244"/>
      <c r="GJG124" s="244"/>
      <c r="GJH124" s="244"/>
      <c r="GJI124" s="244"/>
      <c r="GJJ124" s="244"/>
      <c r="GJK124" s="244"/>
      <c r="GJL124" s="244"/>
      <c r="GJM124" s="244"/>
      <c r="GJN124" s="244"/>
      <c r="GJO124" s="244"/>
      <c r="GJP124" s="244"/>
      <c r="GJQ124" s="244"/>
      <c r="GJR124" s="244"/>
      <c r="GJS124" s="244"/>
      <c r="GJT124" s="244"/>
      <c r="GJU124" s="244"/>
      <c r="GJV124" s="244"/>
      <c r="GJW124" s="244"/>
      <c r="GJX124" s="244"/>
      <c r="GJY124" s="244"/>
      <c r="GJZ124" s="244"/>
      <c r="GKA124" s="244"/>
      <c r="GKB124" s="244"/>
      <c r="GKC124" s="244"/>
      <c r="GKD124" s="244"/>
      <c r="GKE124" s="244"/>
      <c r="GKF124" s="244"/>
      <c r="GKG124" s="244"/>
      <c r="GKH124" s="244"/>
      <c r="GKI124" s="244"/>
      <c r="GKJ124" s="244"/>
      <c r="GKK124" s="244"/>
      <c r="GKL124" s="244"/>
      <c r="GKM124" s="244"/>
      <c r="GKN124" s="244"/>
      <c r="GKO124" s="244"/>
      <c r="GKP124" s="244"/>
      <c r="GKQ124" s="244"/>
      <c r="GKR124" s="244"/>
      <c r="GKS124" s="244"/>
      <c r="GKT124" s="244"/>
      <c r="GKU124" s="244"/>
      <c r="GKV124" s="244"/>
      <c r="GKW124" s="244"/>
      <c r="GKX124" s="244"/>
      <c r="GKY124" s="244"/>
      <c r="GKZ124" s="244"/>
      <c r="GLA124" s="244"/>
      <c r="GLB124" s="244"/>
      <c r="GLC124" s="244"/>
      <c r="GLD124" s="244"/>
      <c r="GLE124" s="244"/>
      <c r="GLF124" s="244"/>
      <c r="GLG124" s="244"/>
      <c r="GLH124" s="244"/>
      <c r="GLI124" s="244"/>
      <c r="GLJ124" s="244"/>
      <c r="GLK124" s="244"/>
      <c r="GLL124" s="244"/>
      <c r="GLM124" s="244"/>
      <c r="GLN124" s="244"/>
      <c r="GLO124" s="244"/>
      <c r="GLP124" s="244"/>
      <c r="GLQ124" s="244"/>
      <c r="GLR124" s="244"/>
      <c r="GLS124" s="244"/>
      <c r="GLT124" s="244"/>
      <c r="GLU124" s="244"/>
      <c r="GLV124" s="244"/>
      <c r="GLW124" s="244"/>
      <c r="GLX124" s="244"/>
      <c r="GLY124" s="244"/>
      <c r="GLZ124" s="244"/>
      <c r="GMA124" s="244"/>
      <c r="GMB124" s="244"/>
      <c r="GMC124" s="244"/>
      <c r="GMD124" s="244"/>
      <c r="GME124" s="244"/>
      <c r="GMF124" s="244"/>
      <c r="GMG124" s="244"/>
      <c r="GMH124" s="244"/>
      <c r="GMI124" s="244"/>
      <c r="GMJ124" s="244"/>
      <c r="GMK124" s="244"/>
      <c r="GML124" s="244"/>
      <c r="GMM124" s="244"/>
      <c r="GMN124" s="244"/>
      <c r="GMO124" s="244"/>
      <c r="GMP124" s="244"/>
      <c r="GMQ124" s="244"/>
      <c r="GMR124" s="244"/>
      <c r="GMS124" s="244"/>
      <c r="GMT124" s="244"/>
      <c r="GMU124" s="244"/>
      <c r="GMV124" s="244"/>
      <c r="GMW124" s="244"/>
      <c r="GMX124" s="244"/>
      <c r="GMY124" s="244"/>
      <c r="GMZ124" s="244"/>
      <c r="GNA124" s="244"/>
      <c r="GNB124" s="244"/>
      <c r="GNC124" s="244"/>
      <c r="GND124" s="244"/>
      <c r="GNE124" s="244"/>
      <c r="GNF124" s="244"/>
      <c r="GNG124" s="244"/>
      <c r="GNH124" s="244"/>
      <c r="GNI124" s="244"/>
      <c r="GNJ124" s="244"/>
      <c r="GNK124" s="244"/>
      <c r="GNL124" s="244"/>
      <c r="GNM124" s="244"/>
      <c r="GNN124" s="244"/>
      <c r="GNO124" s="244"/>
      <c r="GNP124" s="244"/>
      <c r="GNQ124" s="244"/>
      <c r="GNR124" s="244"/>
      <c r="GNS124" s="244"/>
      <c r="GNT124" s="244"/>
      <c r="GNU124" s="244"/>
      <c r="GNV124" s="244"/>
      <c r="GNW124" s="244"/>
      <c r="GNX124" s="244"/>
      <c r="GNY124" s="244"/>
      <c r="GNZ124" s="244"/>
      <c r="GOA124" s="244"/>
      <c r="GOB124" s="244"/>
      <c r="GOC124" s="244"/>
      <c r="GOD124" s="244"/>
      <c r="GOE124" s="244"/>
      <c r="GOF124" s="244"/>
      <c r="GOG124" s="244"/>
      <c r="GOH124" s="244"/>
      <c r="GOI124" s="244"/>
      <c r="GOJ124" s="244"/>
      <c r="GOK124" s="244"/>
      <c r="GOL124" s="244"/>
      <c r="GOM124" s="244"/>
      <c r="GON124" s="244"/>
      <c r="GOO124" s="244"/>
      <c r="GOP124" s="244"/>
      <c r="GOQ124" s="244"/>
      <c r="GOR124" s="244"/>
      <c r="GOS124" s="244"/>
      <c r="GOT124" s="244"/>
      <c r="GOU124" s="244"/>
      <c r="GOV124" s="244"/>
      <c r="GOW124" s="244"/>
      <c r="GOX124" s="244"/>
      <c r="GOY124" s="244"/>
      <c r="GOZ124" s="244"/>
      <c r="GPA124" s="244"/>
      <c r="GPB124" s="244"/>
      <c r="GPC124" s="244"/>
      <c r="GPD124" s="244"/>
      <c r="GPE124" s="244"/>
      <c r="GPF124" s="244"/>
      <c r="GPG124" s="244"/>
      <c r="GPH124" s="244"/>
      <c r="GPI124" s="244"/>
      <c r="GPJ124" s="244"/>
      <c r="GPK124" s="244"/>
      <c r="GPL124" s="244"/>
      <c r="GPM124" s="244"/>
      <c r="GPN124" s="244"/>
      <c r="GPO124" s="244"/>
      <c r="GPP124" s="244"/>
      <c r="GPQ124" s="244"/>
      <c r="GPR124" s="244"/>
      <c r="GPS124" s="244"/>
      <c r="GPT124" s="244"/>
      <c r="GPU124" s="244"/>
      <c r="GPV124" s="244"/>
      <c r="GPW124" s="244"/>
      <c r="GPX124" s="244"/>
      <c r="GPY124" s="244"/>
      <c r="GPZ124" s="244"/>
      <c r="GQA124" s="244"/>
      <c r="GQB124" s="244"/>
      <c r="GQC124" s="244"/>
      <c r="GQD124" s="244"/>
      <c r="GQE124" s="244"/>
      <c r="GQF124" s="244"/>
      <c r="GQG124" s="244"/>
      <c r="GQH124" s="244"/>
      <c r="GQI124" s="244"/>
      <c r="GQJ124" s="244"/>
      <c r="GQK124" s="244"/>
      <c r="GQL124" s="244"/>
      <c r="GQM124" s="244"/>
      <c r="GQN124" s="244"/>
      <c r="GQO124" s="244"/>
      <c r="GQP124" s="244"/>
      <c r="GQQ124" s="244"/>
      <c r="GQR124" s="244"/>
      <c r="GQS124" s="244"/>
      <c r="GQT124" s="244"/>
      <c r="GQU124" s="244"/>
      <c r="GQV124" s="244"/>
      <c r="GQW124" s="244"/>
      <c r="GQX124" s="244"/>
      <c r="GQY124" s="244"/>
      <c r="GQZ124" s="244"/>
      <c r="GRA124" s="244"/>
      <c r="GRB124" s="244"/>
      <c r="GRC124" s="244"/>
      <c r="GRD124" s="244"/>
      <c r="GRE124" s="244"/>
      <c r="GRF124" s="244"/>
      <c r="GRG124" s="244"/>
      <c r="GRH124" s="244"/>
      <c r="GRI124" s="244"/>
      <c r="GRJ124" s="244"/>
      <c r="GRK124" s="244"/>
      <c r="GRL124" s="244"/>
      <c r="GRM124" s="244"/>
      <c r="GRN124" s="244"/>
      <c r="GRO124" s="244"/>
      <c r="GRP124" s="244"/>
      <c r="GRQ124" s="244"/>
      <c r="GRR124" s="244"/>
      <c r="GRS124" s="244"/>
      <c r="GRT124" s="244"/>
      <c r="GRU124" s="244"/>
      <c r="GRV124" s="244"/>
      <c r="GRW124" s="244"/>
      <c r="GRX124" s="244"/>
      <c r="GRY124" s="244"/>
      <c r="GRZ124" s="244"/>
      <c r="GSA124" s="244"/>
      <c r="GSB124" s="244"/>
      <c r="GSC124" s="244"/>
      <c r="GSD124" s="244"/>
      <c r="GSE124" s="244"/>
      <c r="GSF124" s="244"/>
      <c r="GSG124" s="244"/>
      <c r="GSH124" s="244"/>
      <c r="GSI124" s="244"/>
      <c r="GSJ124" s="244"/>
      <c r="GSK124" s="244"/>
      <c r="GSL124" s="244"/>
      <c r="GSM124" s="244"/>
      <c r="GSN124" s="244"/>
      <c r="GSO124" s="244"/>
      <c r="GSP124" s="244"/>
      <c r="GSQ124" s="244"/>
      <c r="GSR124" s="244"/>
      <c r="GSS124" s="244"/>
      <c r="GST124" s="244"/>
      <c r="GSU124" s="244"/>
      <c r="GSV124" s="244"/>
      <c r="GSW124" s="244"/>
      <c r="GSX124" s="244"/>
      <c r="GSY124" s="244"/>
      <c r="GSZ124" s="244"/>
      <c r="GTA124" s="244"/>
      <c r="GTB124" s="244"/>
      <c r="GTC124" s="244"/>
      <c r="GTD124" s="244"/>
      <c r="GTE124" s="244"/>
      <c r="GTF124" s="244"/>
      <c r="GTG124" s="244"/>
      <c r="GTH124" s="244"/>
      <c r="GTI124" s="244"/>
      <c r="GTJ124" s="244"/>
      <c r="GTK124" s="244"/>
      <c r="GTL124" s="244"/>
      <c r="GTM124" s="244"/>
      <c r="GTN124" s="244"/>
      <c r="GTO124" s="244"/>
      <c r="GTP124" s="244"/>
      <c r="GTQ124" s="244"/>
      <c r="GTR124" s="244"/>
      <c r="GTS124" s="244"/>
      <c r="GTT124" s="244"/>
      <c r="GTU124" s="244"/>
      <c r="GTV124" s="244"/>
      <c r="GTW124" s="244"/>
      <c r="GTX124" s="244"/>
      <c r="GTY124" s="244"/>
      <c r="GTZ124" s="244"/>
      <c r="GUA124" s="244"/>
      <c r="GUB124" s="244"/>
      <c r="GUC124" s="244"/>
      <c r="GUD124" s="244"/>
      <c r="GUE124" s="244"/>
      <c r="GUF124" s="244"/>
      <c r="GUG124" s="244"/>
      <c r="GUH124" s="244"/>
      <c r="GUI124" s="244"/>
      <c r="GUJ124" s="244"/>
      <c r="GUK124" s="244"/>
      <c r="GUL124" s="244"/>
      <c r="GUM124" s="244"/>
      <c r="GUN124" s="244"/>
      <c r="GUO124" s="244"/>
      <c r="GUP124" s="244"/>
      <c r="GUQ124" s="244"/>
      <c r="GUR124" s="244"/>
      <c r="GUS124" s="244"/>
      <c r="GUT124" s="244"/>
      <c r="GUU124" s="244"/>
      <c r="GUV124" s="244"/>
      <c r="GUW124" s="244"/>
      <c r="GUX124" s="244"/>
      <c r="GUY124" s="244"/>
      <c r="GUZ124" s="244"/>
      <c r="GVA124" s="244"/>
      <c r="GVB124" s="244"/>
      <c r="GVC124" s="244"/>
      <c r="GVD124" s="244"/>
      <c r="GVE124" s="244"/>
      <c r="GVF124" s="244"/>
      <c r="GVG124" s="244"/>
      <c r="GVH124" s="244"/>
      <c r="GVI124" s="244"/>
      <c r="GVJ124" s="244"/>
      <c r="GVK124" s="244"/>
      <c r="GVL124" s="244"/>
      <c r="GVM124" s="244"/>
      <c r="GVN124" s="244"/>
      <c r="GVO124" s="244"/>
      <c r="GVP124" s="244"/>
      <c r="GVQ124" s="244"/>
      <c r="GVR124" s="244"/>
      <c r="GVS124" s="244"/>
      <c r="GVT124" s="244"/>
      <c r="GVU124" s="244"/>
      <c r="GVV124" s="244"/>
      <c r="GVW124" s="244"/>
      <c r="GVX124" s="244"/>
      <c r="GVY124" s="244"/>
      <c r="GVZ124" s="244"/>
      <c r="GWA124" s="244"/>
      <c r="GWB124" s="244"/>
      <c r="GWC124" s="244"/>
      <c r="GWD124" s="244"/>
      <c r="GWE124" s="244"/>
      <c r="GWF124" s="244"/>
      <c r="GWG124" s="244"/>
      <c r="GWH124" s="244"/>
      <c r="GWI124" s="244"/>
      <c r="GWJ124" s="244"/>
      <c r="GWK124" s="244"/>
      <c r="GWL124" s="244"/>
      <c r="GWM124" s="244"/>
      <c r="GWN124" s="244"/>
      <c r="GWO124" s="244"/>
      <c r="GWP124" s="244"/>
      <c r="GWQ124" s="244"/>
      <c r="GWR124" s="244"/>
      <c r="GWS124" s="244"/>
      <c r="GWT124" s="244"/>
      <c r="GWU124" s="244"/>
      <c r="GWV124" s="244"/>
      <c r="GWW124" s="244"/>
      <c r="GWX124" s="244"/>
      <c r="GWY124" s="244"/>
      <c r="GWZ124" s="244"/>
      <c r="GXA124" s="244"/>
      <c r="GXB124" s="244"/>
      <c r="GXC124" s="244"/>
      <c r="GXD124" s="244"/>
      <c r="GXE124" s="244"/>
      <c r="GXF124" s="244"/>
      <c r="GXG124" s="244"/>
      <c r="GXH124" s="244"/>
      <c r="GXI124" s="244"/>
      <c r="GXJ124" s="244"/>
      <c r="GXK124" s="244"/>
      <c r="GXL124" s="244"/>
      <c r="GXM124" s="244"/>
      <c r="GXN124" s="244"/>
      <c r="GXO124" s="244"/>
      <c r="GXP124" s="244"/>
      <c r="GXQ124" s="244"/>
      <c r="GXR124" s="244"/>
      <c r="GXS124" s="244"/>
      <c r="GXT124" s="244"/>
      <c r="GXU124" s="244"/>
      <c r="GXV124" s="244"/>
      <c r="GXW124" s="244"/>
      <c r="GXX124" s="244"/>
      <c r="GXY124" s="244"/>
      <c r="GXZ124" s="244"/>
      <c r="GYA124" s="244"/>
      <c r="GYB124" s="244"/>
      <c r="GYC124" s="244"/>
      <c r="GYD124" s="244"/>
      <c r="GYE124" s="244"/>
      <c r="GYF124" s="244"/>
      <c r="GYG124" s="244"/>
      <c r="GYH124" s="244"/>
      <c r="GYI124" s="244"/>
      <c r="GYJ124" s="244"/>
      <c r="GYK124" s="244"/>
      <c r="GYL124" s="244"/>
      <c r="GYM124" s="244"/>
      <c r="GYN124" s="244"/>
      <c r="GYO124" s="244"/>
      <c r="GYP124" s="244"/>
      <c r="GYQ124" s="244"/>
      <c r="GYR124" s="244"/>
      <c r="GYS124" s="244"/>
      <c r="GYT124" s="244"/>
      <c r="GYU124" s="244"/>
      <c r="GYV124" s="244"/>
      <c r="GYW124" s="244"/>
      <c r="GYX124" s="244"/>
      <c r="GYY124" s="244"/>
      <c r="GYZ124" s="244"/>
      <c r="GZA124" s="244"/>
      <c r="GZB124" s="244"/>
      <c r="GZC124" s="244"/>
      <c r="GZD124" s="244"/>
      <c r="GZE124" s="244"/>
      <c r="GZF124" s="244"/>
      <c r="GZG124" s="244"/>
      <c r="GZH124" s="244"/>
      <c r="GZI124" s="244"/>
      <c r="GZJ124" s="244"/>
      <c r="GZK124" s="244"/>
      <c r="GZL124" s="244"/>
      <c r="GZM124" s="244"/>
      <c r="GZN124" s="244"/>
      <c r="GZO124" s="244"/>
      <c r="GZP124" s="244"/>
      <c r="GZQ124" s="244"/>
      <c r="GZR124" s="244"/>
      <c r="GZS124" s="244"/>
      <c r="GZT124" s="244"/>
      <c r="GZU124" s="244"/>
      <c r="GZV124" s="244"/>
      <c r="GZW124" s="244"/>
      <c r="GZX124" s="244"/>
      <c r="GZY124" s="244"/>
      <c r="GZZ124" s="244"/>
      <c r="HAA124" s="244"/>
      <c r="HAB124" s="244"/>
      <c r="HAC124" s="244"/>
      <c r="HAD124" s="244"/>
      <c r="HAE124" s="244"/>
      <c r="HAF124" s="244"/>
      <c r="HAG124" s="244"/>
      <c r="HAH124" s="244"/>
      <c r="HAI124" s="244"/>
      <c r="HAJ124" s="244"/>
      <c r="HAK124" s="244"/>
      <c r="HAL124" s="244"/>
      <c r="HAM124" s="244"/>
      <c r="HAN124" s="244"/>
      <c r="HAO124" s="244"/>
      <c r="HAP124" s="244"/>
      <c r="HAQ124" s="244"/>
      <c r="HAR124" s="244"/>
      <c r="HAS124" s="244"/>
      <c r="HAT124" s="244"/>
      <c r="HAU124" s="244"/>
      <c r="HAV124" s="244"/>
      <c r="HAW124" s="244"/>
      <c r="HAX124" s="244"/>
      <c r="HAY124" s="244"/>
      <c r="HAZ124" s="244"/>
      <c r="HBA124" s="244"/>
      <c r="HBB124" s="244"/>
      <c r="HBC124" s="244"/>
      <c r="HBD124" s="244"/>
      <c r="HBE124" s="244"/>
      <c r="HBF124" s="244"/>
      <c r="HBG124" s="244"/>
      <c r="HBH124" s="244"/>
      <c r="HBI124" s="244"/>
      <c r="HBJ124" s="244"/>
      <c r="HBK124" s="244"/>
      <c r="HBL124" s="244"/>
      <c r="HBM124" s="244"/>
      <c r="HBN124" s="244"/>
      <c r="HBO124" s="244"/>
      <c r="HBP124" s="244"/>
      <c r="HBQ124" s="244"/>
      <c r="HBR124" s="244"/>
      <c r="HBS124" s="244"/>
      <c r="HBT124" s="244"/>
      <c r="HBU124" s="244"/>
      <c r="HBV124" s="244"/>
      <c r="HBW124" s="244"/>
      <c r="HBX124" s="244"/>
      <c r="HBY124" s="244"/>
      <c r="HBZ124" s="244"/>
      <c r="HCA124" s="244"/>
      <c r="HCB124" s="244"/>
      <c r="HCC124" s="244"/>
      <c r="HCD124" s="244"/>
      <c r="HCE124" s="244"/>
      <c r="HCF124" s="244"/>
      <c r="HCG124" s="244"/>
      <c r="HCH124" s="244"/>
      <c r="HCI124" s="244"/>
      <c r="HCJ124" s="244"/>
      <c r="HCK124" s="244"/>
      <c r="HCL124" s="244"/>
      <c r="HCM124" s="244"/>
      <c r="HCN124" s="244"/>
      <c r="HCO124" s="244"/>
      <c r="HCP124" s="244"/>
      <c r="HCQ124" s="244"/>
      <c r="HCR124" s="244"/>
      <c r="HCS124" s="244"/>
      <c r="HCT124" s="244"/>
      <c r="HCU124" s="244"/>
      <c r="HCV124" s="244"/>
      <c r="HCW124" s="244"/>
      <c r="HCX124" s="244"/>
      <c r="HCY124" s="244"/>
      <c r="HCZ124" s="244"/>
      <c r="HDA124" s="244"/>
      <c r="HDB124" s="244"/>
      <c r="HDC124" s="244"/>
      <c r="HDD124" s="244"/>
      <c r="HDE124" s="244"/>
      <c r="HDF124" s="244"/>
      <c r="HDG124" s="244"/>
      <c r="HDH124" s="244"/>
      <c r="HDI124" s="244"/>
      <c r="HDJ124" s="244"/>
      <c r="HDK124" s="244"/>
      <c r="HDL124" s="244"/>
      <c r="HDM124" s="244"/>
      <c r="HDN124" s="244"/>
      <c r="HDO124" s="244"/>
      <c r="HDP124" s="244"/>
      <c r="HDQ124" s="244"/>
      <c r="HDR124" s="244"/>
      <c r="HDS124" s="244"/>
      <c r="HDT124" s="244"/>
      <c r="HDU124" s="244"/>
      <c r="HDV124" s="244"/>
      <c r="HDW124" s="244"/>
      <c r="HDX124" s="244"/>
      <c r="HDY124" s="244"/>
      <c r="HDZ124" s="244"/>
      <c r="HEA124" s="244"/>
      <c r="HEB124" s="244"/>
      <c r="HEC124" s="244"/>
      <c r="HED124" s="244"/>
      <c r="HEE124" s="244"/>
      <c r="HEF124" s="244"/>
      <c r="HEG124" s="244"/>
      <c r="HEH124" s="244"/>
      <c r="HEI124" s="244"/>
      <c r="HEJ124" s="244"/>
      <c r="HEK124" s="244"/>
      <c r="HEL124" s="244"/>
      <c r="HEM124" s="244"/>
      <c r="HEN124" s="244"/>
      <c r="HEO124" s="244"/>
      <c r="HEP124" s="244"/>
      <c r="HEQ124" s="244"/>
      <c r="HER124" s="244"/>
      <c r="HES124" s="244"/>
      <c r="HET124" s="244"/>
      <c r="HEU124" s="244"/>
      <c r="HEV124" s="244"/>
      <c r="HEW124" s="244"/>
      <c r="HEX124" s="244"/>
      <c r="HEY124" s="244"/>
      <c r="HEZ124" s="244"/>
      <c r="HFA124" s="244"/>
      <c r="HFB124" s="244"/>
      <c r="HFC124" s="244"/>
      <c r="HFD124" s="244"/>
      <c r="HFE124" s="244"/>
      <c r="HFF124" s="244"/>
      <c r="HFG124" s="244"/>
      <c r="HFH124" s="244"/>
      <c r="HFI124" s="244"/>
      <c r="HFJ124" s="244"/>
      <c r="HFK124" s="244"/>
      <c r="HFL124" s="244"/>
      <c r="HFM124" s="244"/>
      <c r="HFN124" s="244"/>
      <c r="HFO124" s="244"/>
      <c r="HFP124" s="244"/>
      <c r="HFQ124" s="244"/>
      <c r="HFR124" s="244"/>
      <c r="HFS124" s="244"/>
      <c r="HFT124" s="244"/>
      <c r="HFU124" s="244"/>
      <c r="HFV124" s="244"/>
      <c r="HFW124" s="244"/>
      <c r="HFX124" s="244"/>
      <c r="HFY124" s="244"/>
      <c r="HFZ124" s="244"/>
      <c r="HGA124" s="244"/>
      <c r="HGB124" s="244"/>
      <c r="HGC124" s="244"/>
      <c r="HGD124" s="244"/>
      <c r="HGE124" s="244"/>
      <c r="HGF124" s="244"/>
      <c r="HGG124" s="244"/>
      <c r="HGH124" s="244"/>
      <c r="HGI124" s="244"/>
      <c r="HGJ124" s="244"/>
      <c r="HGK124" s="244"/>
      <c r="HGL124" s="244"/>
      <c r="HGM124" s="244"/>
      <c r="HGN124" s="244"/>
      <c r="HGO124" s="244"/>
      <c r="HGP124" s="244"/>
      <c r="HGQ124" s="244"/>
      <c r="HGR124" s="244"/>
      <c r="HGS124" s="244"/>
      <c r="HGT124" s="244"/>
      <c r="HGU124" s="244"/>
      <c r="HGV124" s="244"/>
      <c r="HGW124" s="244"/>
      <c r="HGX124" s="244"/>
      <c r="HGY124" s="244"/>
      <c r="HGZ124" s="244"/>
      <c r="HHA124" s="244"/>
      <c r="HHB124" s="244"/>
      <c r="HHC124" s="244"/>
      <c r="HHD124" s="244"/>
      <c r="HHE124" s="244"/>
      <c r="HHF124" s="244"/>
      <c r="HHG124" s="244"/>
      <c r="HHH124" s="244"/>
      <c r="HHI124" s="244"/>
      <c r="HHJ124" s="244"/>
      <c r="HHK124" s="244"/>
      <c r="HHL124" s="244"/>
      <c r="HHM124" s="244"/>
      <c r="HHN124" s="244"/>
      <c r="HHO124" s="244"/>
      <c r="HHP124" s="244"/>
      <c r="HHQ124" s="244"/>
      <c r="HHR124" s="244"/>
      <c r="HHS124" s="244"/>
      <c r="HHT124" s="244"/>
      <c r="HHU124" s="244"/>
      <c r="HHV124" s="244"/>
      <c r="HHW124" s="244"/>
      <c r="HHX124" s="244"/>
      <c r="HHY124" s="244"/>
      <c r="HHZ124" s="244"/>
      <c r="HIA124" s="244"/>
      <c r="HIB124" s="244"/>
      <c r="HIC124" s="244"/>
      <c r="HID124" s="244"/>
      <c r="HIE124" s="244"/>
      <c r="HIF124" s="244"/>
      <c r="HIG124" s="244"/>
      <c r="HIH124" s="244"/>
      <c r="HII124" s="244"/>
      <c r="HIJ124" s="244"/>
      <c r="HIK124" s="244"/>
      <c r="HIL124" s="244"/>
      <c r="HIM124" s="244"/>
      <c r="HIN124" s="244"/>
      <c r="HIO124" s="244"/>
      <c r="HIP124" s="244"/>
      <c r="HIQ124" s="244"/>
      <c r="HIR124" s="244"/>
      <c r="HIS124" s="244"/>
      <c r="HIT124" s="244"/>
      <c r="HIU124" s="244"/>
      <c r="HIV124" s="244"/>
      <c r="HIW124" s="244"/>
      <c r="HIX124" s="244"/>
      <c r="HIY124" s="244"/>
      <c r="HIZ124" s="244"/>
      <c r="HJA124" s="244"/>
      <c r="HJB124" s="244"/>
      <c r="HJC124" s="244"/>
      <c r="HJD124" s="244"/>
      <c r="HJE124" s="244"/>
      <c r="HJF124" s="244"/>
      <c r="HJG124" s="244"/>
      <c r="HJH124" s="244"/>
      <c r="HJI124" s="244"/>
      <c r="HJJ124" s="244"/>
      <c r="HJK124" s="244"/>
      <c r="HJL124" s="244"/>
      <c r="HJM124" s="244"/>
      <c r="HJN124" s="244"/>
      <c r="HJO124" s="244"/>
      <c r="HJP124" s="244"/>
      <c r="HJQ124" s="244"/>
      <c r="HJR124" s="244"/>
      <c r="HJS124" s="244"/>
      <c r="HJT124" s="244"/>
      <c r="HJU124" s="244"/>
      <c r="HJV124" s="244"/>
      <c r="HJW124" s="244"/>
      <c r="HJX124" s="244"/>
      <c r="HJY124" s="244"/>
      <c r="HJZ124" s="244"/>
      <c r="HKA124" s="244"/>
      <c r="HKB124" s="244"/>
      <c r="HKC124" s="244"/>
      <c r="HKD124" s="244"/>
      <c r="HKE124" s="244"/>
      <c r="HKF124" s="244"/>
      <c r="HKG124" s="244"/>
      <c r="HKH124" s="244"/>
      <c r="HKI124" s="244"/>
      <c r="HKJ124" s="244"/>
      <c r="HKK124" s="244"/>
      <c r="HKL124" s="244"/>
      <c r="HKM124" s="244"/>
      <c r="HKN124" s="244"/>
      <c r="HKO124" s="244"/>
      <c r="HKP124" s="244"/>
      <c r="HKQ124" s="244"/>
      <c r="HKR124" s="244"/>
      <c r="HKS124" s="244"/>
      <c r="HKT124" s="244"/>
      <c r="HKU124" s="244"/>
      <c r="HKV124" s="244"/>
      <c r="HKW124" s="244"/>
      <c r="HKX124" s="244"/>
      <c r="HKY124" s="244"/>
      <c r="HKZ124" s="244"/>
      <c r="HLA124" s="244"/>
      <c r="HLB124" s="244"/>
      <c r="HLC124" s="244"/>
      <c r="HLD124" s="244"/>
      <c r="HLE124" s="244"/>
      <c r="HLF124" s="244"/>
      <c r="HLG124" s="244"/>
      <c r="HLH124" s="244"/>
      <c r="HLI124" s="244"/>
      <c r="HLJ124" s="244"/>
      <c r="HLK124" s="244"/>
      <c r="HLL124" s="244"/>
      <c r="HLM124" s="244"/>
      <c r="HLN124" s="244"/>
      <c r="HLO124" s="244"/>
      <c r="HLP124" s="244"/>
      <c r="HLQ124" s="244"/>
      <c r="HLR124" s="244"/>
      <c r="HLS124" s="244"/>
      <c r="HLT124" s="244"/>
      <c r="HLU124" s="244"/>
      <c r="HLV124" s="244"/>
      <c r="HLW124" s="244"/>
      <c r="HLX124" s="244"/>
      <c r="HLY124" s="244"/>
      <c r="HLZ124" s="244"/>
      <c r="HMA124" s="244"/>
      <c r="HMB124" s="244"/>
      <c r="HMC124" s="244"/>
      <c r="HMD124" s="244"/>
      <c r="HME124" s="244"/>
      <c r="HMF124" s="244"/>
      <c r="HMG124" s="244"/>
      <c r="HMH124" s="244"/>
      <c r="HMI124" s="244"/>
      <c r="HMJ124" s="244"/>
      <c r="HMK124" s="244"/>
      <c r="HML124" s="244"/>
      <c r="HMM124" s="244"/>
      <c r="HMN124" s="244"/>
      <c r="HMO124" s="244"/>
      <c r="HMP124" s="244"/>
      <c r="HMQ124" s="244"/>
      <c r="HMR124" s="244"/>
      <c r="HMS124" s="244"/>
      <c r="HMT124" s="244"/>
      <c r="HMU124" s="244"/>
      <c r="HMV124" s="244"/>
      <c r="HMW124" s="244"/>
      <c r="HMX124" s="244"/>
      <c r="HMY124" s="244"/>
      <c r="HMZ124" s="244"/>
      <c r="HNA124" s="244"/>
      <c r="HNB124" s="244"/>
      <c r="HNC124" s="244"/>
      <c r="HND124" s="244"/>
      <c r="HNE124" s="244"/>
      <c r="HNF124" s="244"/>
      <c r="HNG124" s="244"/>
      <c r="HNH124" s="244"/>
      <c r="HNI124" s="244"/>
      <c r="HNJ124" s="244"/>
      <c r="HNK124" s="244"/>
      <c r="HNL124" s="244"/>
      <c r="HNM124" s="244"/>
      <c r="HNN124" s="244"/>
      <c r="HNO124" s="244"/>
      <c r="HNP124" s="244"/>
      <c r="HNQ124" s="244"/>
      <c r="HNR124" s="244"/>
      <c r="HNS124" s="244"/>
      <c r="HNT124" s="244"/>
      <c r="HNU124" s="244"/>
      <c r="HNV124" s="244"/>
      <c r="HNW124" s="244"/>
      <c r="HNX124" s="244"/>
      <c r="HNY124" s="244"/>
      <c r="HNZ124" s="244"/>
      <c r="HOA124" s="244"/>
      <c r="HOB124" s="244"/>
      <c r="HOC124" s="244"/>
      <c r="HOD124" s="244"/>
      <c r="HOE124" s="244"/>
      <c r="HOF124" s="244"/>
      <c r="HOG124" s="244"/>
      <c r="HOH124" s="244"/>
      <c r="HOI124" s="244"/>
      <c r="HOJ124" s="244"/>
      <c r="HOK124" s="244"/>
      <c r="HOL124" s="244"/>
      <c r="HOM124" s="244"/>
      <c r="HON124" s="244"/>
      <c r="HOO124" s="244"/>
      <c r="HOP124" s="244"/>
      <c r="HOQ124" s="244"/>
      <c r="HOR124" s="244"/>
      <c r="HOS124" s="244"/>
      <c r="HOT124" s="244"/>
      <c r="HOU124" s="244"/>
      <c r="HOV124" s="244"/>
      <c r="HOW124" s="244"/>
      <c r="HOX124" s="244"/>
      <c r="HOY124" s="244"/>
      <c r="HOZ124" s="244"/>
      <c r="HPA124" s="244"/>
      <c r="HPB124" s="244"/>
      <c r="HPC124" s="244"/>
      <c r="HPD124" s="244"/>
      <c r="HPE124" s="244"/>
      <c r="HPF124" s="244"/>
      <c r="HPG124" s="244"/>
      <c r="HPH124" s="244"/>
      <c r="HPI124" s="244"/>
      <c r="HPJ124" s="244"/>
      <c r="HPK124" s="244"/>
      <c r="HPL124" s="244"/>
      <c r="HPM124" s="244"/>
      <c r="HPN124" s="244"/>
      <c r="HPO124" s="244"/>
      <c r="HPP124" s="244"/>
      <c r="HPQ124" s="244"/>
      <c r="HPR124" s="244"/>
      <c r="HPS124" s="244"/>
      <c r="HPT124" s="244"/>
      <c r="HPU124" s="244"/>
      <c r="HPV124" s="244"/>
      <c r="HPW124" s="244"/>
      <c r="HPX124" s="244"/>
      <c r="HPY124" s="244"/>
      <c r="HPZ124" s="244"/>
      <c r="HQA124" s="244"/>
      <c r="HQB124" s="244"/>
      <c r="HQC124" s="244"/>
      <c r="HQD124" s="244"/>
      <c r="HQE124" s="244"/>
      <c r="HQF124" s="244"/>
      <c r="HQG124" s="244"/>
      <c r="HQH124" s="244"/>
      <c r="HQI124" s="244"/>
      <c r="HQJ124" s="244"/>
      <c r="HQK124" s="244"/>
      <c r="HQL124" s="244"/>
      <c r="HQM124" s="244"/>
      <c r="HQN124" s="244"/>
      <c r="HQO124" s="244"/>
      <c r="HQP124" s="244"/>
      <c r="HQQ124" s="244"/>
      <c r="HQR124" s="244"/>
      <c r="HQS124" s="244"/>
      <c r="HQT124" s="244"/>
      <c r="HQU124" s="244"/>
      <c r="HQV124" s="244"/>
      <c r="HQW124" s="244"/>
      <c r="HQX124" s="244"/>
      <c r="HQY124" s="244"/>
      <c r="HQZ124" s="244"/>
      <c r="HRA124" s="244"/>
      <c r="HRB124" s="244"/>
      <c r="HRC124" s="244"/>
      <c r="HRD124" s="244"/>
      <c r="HRE124" s="244"/>
      <c r="HRF124" s="244"/>
      <c r="HRG124" s="244"/>
      <c r="HRH124" s="244"/>
      <c r="HRI124" s="244"/>
      <c r="HRJ124" s="244"/>
      <c r="HRK124" s="244"/>
      <c r="HRL124" s="244"/>
      <c r="HRM124" s="244"/>
      <c r="HRN124" s="244"/>
      <c r="HRO124" s="244"/>
      <c r="HRP124" s="244"/>
      <c r="HRQ124" s="244"/>
      <c r="HRR124" s="244"/>
      <c r="HRS124" s="244"/>
      <c r="HRT124" s="244"/>
      <c r="HRU124" s="244"/>
      <c r="HRV124" s="244"/>
      <c r="HRW124" s="244"/>
      <c r="HRX124" s="244"/>
      <c r="HRY124" s="244"/>
      <c r="HRZ124" s="244"/>
      <c r="HSA124" s="244"/>
      <c r="HSB124" s="244"/>
      <c r="HSC124" s="244"/>
      <c r="HSD124" s="244"/>
      <c r="HSE124" s="244"/>
      <c r="HSF124" s="244"/>
      <c r="HSG124" s="244"/>
      <c r="HSH124" s="244"/>
      <c r="HSI124" s="244"/>
      <c r="HSJ124" s="244"/>
      <c r="HSK124" s="244"/>
      <c r="HSL124" s="244"/>
      <c r="HSM124" s="244"/>
      <c r="HSN124" s="244"/>
      <c r="HSO124" s="244"/>
      <c r="HSP124" s="244"/>
      <c r="HSQ124" s="244"/>
      <c r="HSR124" s="244"/>
      <c r="HSS124" s="244"/>
      <c r="HST124" s="244"/>
      <c r="HSU124" s="244"/>
      <c r="HSV124" s="244"/>
      <c r="HSW124" s="244"/>
      <c r="HSX124" s="244"/>
      <c r="HSY124" s="244"/>
      <c r="HSZ124" s="244"/>
      <c r="HTA124" s="244"/>
      <c r="HTB124" s="244"/>
      <c r="HTC124" s="244"/>
      <c r="HTD124" s="244"/>
      <c r="HTE124" s="244"/>
      <c r="HTF124" s="244"/>
      <c r="HTG124" s="244"/>
      <c r="HTH124" s="244"/>
      <c r="HTI124" s="244"/>
      <c r="HTJ124" s="244"/>
      <c r="HTK124" s="244"/>
      <c r="HTL124" s="244"/>
      <c r="HTM124" s="244"/>
      <c r="HTN124" s="244"/>
      <c r="HTO124" s="244"/>
      <c r="HTP124" s="244"/>
      <c r="HTQ124" s="244"/>
      <c r="HTR124" s="244"/>
      <c r="HTS124" s="244"/>
      <c r="HTT124" s="244"/>
      <c r="HTU124" s="244"/>
      <c r="HTV124" s="244"/>
      <c r="HTW124" s="244"/>
      <c r="HTX124" s="244"/>
      <c r="HTY124" s="244"/>
      <c r="HTZ124" s="244"/>
      <c r="HUA124" s="244"/>
      <c r="HUB124" s="244"/>
      <c r="HUC124" s="244"/>
      <c r="HUD124" s="244"/>
      <c r="HUE124" s="244"/>
      <c r="HUF124" s="244"/>
      <c r="HUG124" s="244"/>
      <c r="HUH124" s="244"/>
      <c r="HUI124" s="244"/>
      <c r="HUJ124" s="244"/>
      <c r="HUK124" s="244"/>
      <c r="HUL124" s="244"/>
      <c r="HUM124" s="244"/>
      <c r="HUN124" s="244"/>
      <c r="HUO124" s="244"/>
      <c r="HUP124" s="244"/>
      <c r="HUQ124" s="244"/>
      <c r="HUR124" s="244"/>
      <c r="HUS124" s="244"/>
      <c r="HUT124" s="244"/>
      <c r="HUU124" s="244"/>
      <c r="HUV124" s="244"/>
      <c r="HUW124" s="244"/>
      <c r="HUX124" s="244"/>
      <c r="HUY124" s="244"/>
      <c r="HUZ124" s="244"/>
      <c r="HVA124" s="244"/>
      <c r="HVB124" s="244"/>
      <c r="HVC124" s="244"/>
      <c r="HVD124" s="244"/>
      <c r="HVE124" s="244"/>
      <c r="HVF124" s="244"/>
      <c r="HVG124" s="244"/>
      <c r="HVH124" s="244"/>
      <c r="HVI124" s="244"/>
      <c r="HVJ124" s="244"/>
      <c r="HVK124" s="244"/>
      <c r="HVL124" s="244"/>
      <c r="HVM124" s="244"/>
      <c r="HVN124" s="244"/>
      <c r="HVO124" s="244"/>
      <c r="HVP124" s="244"/>
      <c r="HVQ124" s="244"/>
      <c r="HVR124" s="244"/>
      <c r="HVS124" s="244"/>
      <c r="HVT124" s="244"/>
      <c r="HVU124" s="244"/>
      <c r="HVV124" s="244"/>
      <c r="HVW124" s="244"/>
      <c r="HVX124" s="244"/>
      <c r="HVY124" s="244"/>
      <c r="HVZ124" s="244"/>
      <c r="HWA124" s="244"/>
      <c r="HWB124" s="244"/>
      <c r="HWC124" s="244"/>
      <c r="HWD124" s="244"/>
      <c r="HWE124" s="244"/>
      <c r="HWF124" s="244"/>
      <c r="HWG124" s="244"/>
      <c r="HWH124" s="244"/>
      <c r="HWI124" s="244"/>
      <c r="HWJ124" s="244"/>
      <c r="HWK124" s="244"/>
      <c r="HWL124" s="244"/>
      <c r="HWM124" s="244"/>
      <c r="HWN124" s="244"/>
      <c r="HWO124" s="244"/>
      <c r="HWP124" s="244"/>
      <c r="HWQ124" s="244"/>
      <c r="HWR124" s="244"/>
      <c r="HWS124" s="244"/>
      <c r="HWT124" s="244"/>
      <c r="HWU124" s="244"/>
      <c r="HWV124" s="244"/>
      <c r="HWW124" s="244"/>
      <c r="HWX124" s="244"/>
      <c r="HWY124" s="244"/>
      <c r="HWZ124" s="244"/>
      <c r="HXA124" s="244"/>
      <c r="HXB124" s="244"/>
      <c r="HXC124" s="244"/>
      <c r="HXD124" s="244"/>
      <c r="HXE124" s="244"/>
      <c r="HXF124" s="244"/>
      <c r="HXG124" s="244"/>
      <c r="HXH124" s="244"/>
      <c r="HXI124" s="244"/>
      <c r="HXJ124" s="244"/>
      <c r="HXK124" s="244"/>
      <c r="HXL124" s="244"/>
      <c r="HXM124" s="244"/>
      <c r="HXN124" s="244"/>
      <c r="HXO124" s="244"/>
      <c r="HXP124" s="244"/>
      <c r="HXQ124" s="244"/>
      <c r="HXR124" s="244"/>
      <c r="HXS124" s="244"/>
      <c r="HXT124" s="244"/>
      <c r="HXU124" s="244"/>
      <c r="HXV124" s="244"/>
      <c r="HXW124" s="244"/>
      <c r="HXX124" s="244"/>
      <c r="HXY124" s="244"/>
      <c r="HXZ124" s="244"/>
      <c r="HYA124" s="244"/>
      <c r="HYB124" s="244"/>
      <c r="HYC124" s="244"/>
      <c r="HYD124" s="244"/>
      <c r="HYE124" s="244"/>
      <c r="HYF124" s="244"/>
      <c r="HYG124" s="244"/>
      <c r="HYH124" s="244"/>
      <c r="HYI124" s="244"/>
      <c r="HYJ124" s="244"/>
      <c r="HYK124" s="244"/>
      <c r="HYL124" s="244"/>
      <c r="HYM124" s="244"/>
      <c r="HYN124" s="244"/>
      <c r="HYO124" s="244"/>
      <c r="HYP124" s="244"/>
      <c r="HYQ124" s="244"/>
      <c r="HYR124" s="244"/>
      <c r="HYS124" s="244"/>
      <c r="HYT124" s="244"/>
      <c r="HYU124" s="244"/>
      <c r="HYV124" s="244"/>
      <c r="HYW124" s="244"/>
      <c r="HYX124" s="244"/>
      <c r="HYY124" s="244"/>
      <c r="HYZ124" s="244"/>
      <c r="HZA124" s="244"/>
      <c r="HZB124" s="244"/>
      <c r="HZC124" s="244"/>
      <c r="HZD124" s="244"/>
      <c r="HZE124" s="244"/>
      <c r="HZF124" s="244"/>
      <c r="HZG124" s="244"/>
      <c r="HZH124" s="244"/>
      <c r="HZI124" s="244"/>
      <c r="HZJ124" s="244"/>
      <c r="HZK124" s="244"/>
      <c r="HZL124" s="244"/>
      <c r="HZM124" s="244"/>
      <c r="HZN124" s="244"/>
      <c r="HZO124" s="244"/>
      <c r="HZP124" s="244"/>
      <c r="HZQ124" s="244"/>
      <c r="HZR124" s="244"/>
      <c r="HZS124" s="244"/>
      <c r="HZT124" s="244"/>
      <c r="HZU124" s="244"/>
      <c r="HZV124" s="244"/>
      <c r="HZW124" s="244"/>
      <c r="HZX124" s="244"/>
      <c r="HZY124" s="244"/>
      <c r="HZZ124" s="244"/>
      <c r="IAA124" s="244"/>
      <c r="IAB124" s="244"/>
      <c r="IAC124" s="244"/>
      <c r="IAD124" s="244"/>
      <c r="IAE124" s="244"/>
      <c r="IAF124" s="244"/>
      <c r="IAG124" s="244"/>
      <c r="IAH124" s="244"/>
      <c r="IAI124" s="244"/>
      <c r="IAJ124" s="244"/>
      <c r="IAK124" s="244"/>
      <c r="IAL124" s="244"/>
      <c r="IAM124" s="244"/>
      <c r="IAN124" s="244"/>
      <c r="IAO124" s="244"/>
      <c r="IAP124" s="244"/>
      <c r="IAQ124" s="244"/>
      <c r="IAR124" s="244"/>
      <c r="IAS124" s="244"/>
      <c r="IAT124" s="244"/>
      <c r="IAU124" s="244"/>
      <c r="IAV124" s="244"/>
      <c r="IAW124" s="244"/>
      <c r="IAX124" s="244"/>
      <c r="IAY124" s="244"/>
      <c r="IAZ124" s="244"/>
      <c r="IBA124" s="244"/>
      <c r="IBB124" s="244"/>
      <c r="IBC124" s="244"/>
      <c r="IBD124" s="244"/>
      <c r="IBE124" s="244"/>
      <c r="IBF124" s="244"/>
      <c r="IBG124" s="244"/>
      <c r="IBH124" s="244"/>
      <c r="IBI124" s="244"/>
      <c r="IBJ124" s="244"/>
      <c r="IBK124" s="244"/>
      <c r="IBL124" s="244"/>
      <c r="IBM124" s="244"/>
      <c r="IBN124" s="244"/>
      <c r="IBO124" s="244"/>
      <c r="IBP124" s="244"/>
      <c r="IBQ124" s="244"/>
      <c r="IBR124" s="244"/>
      <c r="IBS124" s="244"/>
      <c r="IBT124" s="244"/>
      <c r="IBU124" s="244"/>
      <c r="IBV124" s="244"/>
      <c r="IBW124" s="244"/>
      <c r="IBX124" s="244"/>
      <c r="IBY124" s="244"/>
      <c r="IBZ124" s="244"/>
      <c r="ICA124" s="244"/>
      <c r="ICB124" s="244"/>
      <c r="ICC124" s="244"/>
      <c r="ICD124" s="244"/>
      <c r="ICE124" s="244"/>
      <c r="ICF124" s="244"/>
      <c r="ICG124" s="244"/>
      <c r="ICH124" s="244"/>
      <c r="ICI124" s="244"/>
      <c r="ICJ124" s="244"/>
      <c r="ICK124" s="244"/>
      <c r="ICL124" s="244"/>
      <c r="ICM124" s="244"/>
      <c r="ICN124" s="244"/>
      <c r="ICO124" s="244"/>
      <c r="ICP124" s="244"/>
      <c r="ICQ124" s="244"/>
      <c r="ICR124" s="244"/>
      <c r="ICS124" s="244"/>
      <c r="ICT124" s="244"/>
      <c r="ICU124" s="244"/>
      <c r="ICV124" s="244"/>
      <c r="ICW124" s="244"/>
      <c r="ICX124" s="244"/>
      <c r="ICY124" s="244"/>
      <c r="ICZ124" s="244"/>
      <c r="IDA124" s="244"/>
      <c r="IDB124" s="244"/>
      <c r="IDC124" s="244"/>
      <c r="IDD124" s="244"/>
      <c r="IDE124" s="244"/>
      <c r="IDF124" s="244"/>
      <c r="IDG124" s="244"/>
      <c r="IDH124" s="244"/>
      <c r="IDI124" s="244"/>
      <c r="IDJ124" s="244"/>
      <c r="IDK124" s="244"/>
      <c r="IDL124" s="244"/>
      <c r="IDM124" s="244"/>
      <c r="IDN124" s="244"/>
      <c r="IDO124" s="244"/>
      <c r="IDP124" s="244"/>
      <c r="IDQ124" s="244"/>
      <c r="IDR124" s="244"/>
      <c r="IDS124" s="244"/>
      <c r="IDT124" s="244"/>
      <c r="IDU124" s="244"/>
      <c r="IDV124" s="244"/>
      <c r="IDW124" s="244"/>
      <c r="IDX124" s="244"/>
      <c r="IDY124" s="244"/>
      <c r="IDZ124" s="244"/>
      <c r="IEA124" s="244"/>
      <c r="IEB124" s="244"/>
      <c r="IEC124" s="244"/>
      <c r="IED124" s="244"/>
      <c r="IEE124" s="244"/>
      <c r="IEF124" s="244"/>
      <c r="IEG124" s="244"/>
      <c r="IEH124" s="244"/>
      <c r="IEI124" s="244"/>
      <c r="IEJ124" s="244"/>
      <c r="IEK124" s="244"/>
      <c r="IEL124" s="244"/>
      <c r="IEM124" s="244"/>
      <c r="IEN124" s="244"/>
      <c r="IEO124" s="244"/>
      <c r="IEP124" s="244"/>
      <c r="IEQ124" s="244"/>
      <c r="IER124" s="244"/>
      <c r="IES124" s="244"/>
      <c r="IET124" s="244"/>
      <c r="IEU124" s="244"/>
      <c r="IEV124" s="244"/>
      <c r="IEW124" s="244"/>
      <c r="IEX124" s="244"/>
      <c r="IEY124" s="244"/>
      <c r="IEZ124" s="244"/>
      <c r="IFA124" s="244"/>
      <c r="IFB124" s="244"/>
      <c r="IFC124" s="244"/>
      <c r="IFD124" s="244"/>
      <c r="IFE124" s="244"/>
      <c r="IFF124" s="244"/>
      <c r="IFG124" s="244"/>
      <c r="IFH124" s="244"/>
      <c r="IFI124" s="244"/>
      <c r="IFJ124" s="244"/>
      <c r="IFK124" s="244"/>
      <c r="IFL124" s="244"/>
      <c r="IFM124" s="244"/>
      <c r="IFN124" s="244"/>
      <c r="IFO124" s="244"/>
      <c r="IFP124" s="244"/>
      <c r="IFQ124" s="244"/>
      <c r="IFR124" s="244"/>
      <c r="IFS124" s="244"/>
      <c r="IFT124" s="244"/>
      <c r="IFU124" s="244"/>
      <c r="IFV124" s="244"/>
      <c r="IFW124" s="244"/>
      <c r="IFX124" s="244"/>
      <c r="IFY124" s="244"/>
      <c r="IFZ124" s="244"/>
      <c r="IGA124" s="244"/>
      <c r="IGB124" s="244"/>
      <c r="IGC124" s="244"/>
      <c r="IGD124" s="244"/>
      <c r="IGE124" s="244"/>
      <c r="IGF124" s="244"/>
      <c r="IGG124" s="244"/>
      <c r="IGH124" s="244"/>
      <c r="IGI124" s="244"/>
      <c r="IGJ124" s="244"/>
      <c r="IGK124" s="244"/>
      <c r="IGL124" s="244"/>
      <c r="IGM124" s="244"/>
      <c r="IGN124" s="244"/>
      <c r="IGO124" s="244"/>
      <c r="IGP124" s="244"/>
      <c r="IGQ124" s="244"/>
      <c r="IGR124" s="244"/>
      <c r="IGS124" s="244"/>
      <c r="IGT124" s="244"/>
      <c r="IGU124" s="244"/>
      <c r="IGV124" s="244"/>
      <c r="IGW124" s="244"/>
      <c r="IGX124" s="244"/>
      <c r="IGY124" s="244"/>
      <c r="IGZ124" s="244"/>
      <c r="IHA124" s="244"/>
      <c r="IHB124" s="244"/>
      <c r="IHC124" s="244"/>
      <c r="IHD124" s="244"/>
      <c r="IHE124" s="244"/>
      <c r="IHF124" s="244"/>
      <c r="IHG124" s="244"/>
      <c r="IHH124" s="244"/>
      <c r="IHI124" s="244"/>
      <c r="IHJ124" s="244"/>
      <c r="IHK124" s="244"/>
      <c r="IHL124" s="244"/>
      <c r="IHM124" s="244"/>
      <c r="IHN124" s="244"/>
      <c r="IHO124" s="244"/>
      <c r="IHP124" s="244"/>
      <c r="IHQ124" s="244"/>
      <c r="IHR124" s="244"/>
      <c r="IHS124" s="244"/>
      <c r="IHT124" s="244"/>
      <c r="IHU124" s="244"/>
      <c r="IHV124" s="244"/>
      <c r="IHW124" s="244"/>
      <c r="IHX124" s="244"/>
      <c r="IHY124" s="244"/>
      <c r="IHZ124" s="244"/>
      <c r="IIA124" s="244"/>
      <c r="IIB124" s="244"/>
      <c r="IIC124" s="244"/>
      <c r="IID124" s="244"/>
      <c r="IIE124" s="244"/>
      <c r="IIF124" s="244"/>
      <c r="IIG124" s="244"/>
      <c r="IIH124" s="244"/>
      <c r="III124" s="244"/>
      <c r="IIJ124" s="244"/>
      <c r="IIK124" s="244"/>
      <c r="IIL124" s="244"/>
      <c r="IIM124" s="244"/>
      <c r="IIN124" s="244"/>
      <c r="IIO124" s="244"/>
      <c r="IIP124" s="244"/>
      <c r="IIQ124" s="244"/>
      <c r="IIR124" s="244"/>
      <c r="IIS124" s="244"/>
      <c r="IIT124" s="244"/>
      <c r="IIU124" s="244"/>
      <c r="IIV124" s="244"/>
      <c r="IIW124" s="244"/>
      <c r="IIX124" s="244"/>
      <c r="IIY124" s="244"/>
      <c r="IIZ124" s="244"/>
      <c r="IJA124" s="244"/>
      <c r="IJB124" s="244"/>
      <c r="IJC124" s="244"/>
      <c r="IJD124" s="244"/>
      <c r="IJE124" s="244"/>
      <c r="IJF124" s="244"/>
      <c r="IJG124" s="244"/>
      <c r="IJH124" s="244"/>
      <c r="IJI124" s="244"/>
      <c r="IJJ124" s="244"/>
      <c r="IJK124" s="244"/>
      <c r="IJL124" s="244"/>
      <c r="IJM124" s="244"/>
      <c r="IJN124" s="244"/>
      <c r="IJO124" s="244"/>
      <c r="IJP124" s="244"/>
      <c r="IJQ124" s="244"/>
      <c r="IJR124" s="244"/>
      <c r="IJS124" s="244"/>
      <c r="IJT124" s="244"/>
      <c r="IJU124" s="244"/>
      <c r="IJV124" s="244"/>
      <c r="IJW124" s="244"/>
      <c r="IJX124" s="244"/>
      <c r="IJY124" s="244"/>
      <c r="IJZ124" s="244"/>
      <c r="IKA124" s="244"/>
      <c r="IKB124" s="244"/>
      <c r="IKC124" s="244"/>
      <c r="IKD124" s="244"/>
      <c r="IKE124" s="244"/>
      <c r="IKF124" s="244"/>
      <c r="IKG124" s="244"/>
      <c r="IKH124" s="244"/>
      <c r="IKI124" s="244"/>
      <c r="IKJ124" s="244"/>
      <c r="IKK124" s="244"/>
      <c r="IKL124" s="244"/>
      <c r="IKM124" s="244"/>
      <c r="IKN124" s="244"/>
      <c r="IKO124" s="244"/>
      <c r="IKP124" s="244"/>
      <c r="IKQ124" s="244"/>
      <c r="IKR124" s="244"/>
      <c r="IKS124" s="244"/>
      <c r="IKT124" s="244"/>
      <c r="IKU124" s="244"/>
      <c r="IKV124" s="244"/>
      <c r="IKW124" s="244"/>
      <c r="IKX124" s="244"/>
      <c r="IKY124" s="244"/>
      <c r="IKZ124" s="244"/>
      <c r="ILA124" s="244"/>
      <c r="ILB124" s="244"/>
      <c r="ILC124" s="244"/>
      <c r="ILD124" s="244"/>
      <c r="ILE124" s="244"/>
      <c r="ILF124" s="244"/>
      <c r="ILG124" s="244"/>
      <c r="ILH124" s="244"/>
      <c r="ILI124" s="244"/>
      <c r="ILJ124" s="244"/>
      <c r="ILK124" s="244"/>
      <c r="ILL124" s="244"/>
      <c r="ILM124" s="244"/>
      <c r="ILN124" s="244"/>
      <c r="ILO124" s="244"/>
      <c r="ILP124" s="244"/>
      <c r="ILQ124" s="244"/>
      <c r="ILR124" s="244"/>
      <c r="ILS124" s="244"/>
      <c r="ILT124" s="244"/>
      <c r="ILU124" s="244"/>
      <c r="ILV124" s="244"/>
      <c r="ILW124" s="244"/>
      <c r="ILX124" s="244"/>
      <c r="ILY124" s="244"/>
      <c r="ILZ124" s="244"/>
      <c r="IMA124" s="244"/>
      <c r="IMB124" s="244"/>
      <c r="IMC124" s="244"/>
      <c r="IMD124" s="244"/>
      <c r="IME124" s="244"/>
      <c r="IMF124" s="244"/>
      <c r="IMG124" s="244"/>
      <c r="IMH124" s="244"/>
      <c r="IMI124" s="244"/>
      <c r="IMJ124" s="244"/>
      <c r="IMK124" s="244"/>
      <c r="IML124" s="244"/>
      <c r="IMM124" s="244"/>
      <c r="IMN124" s="244"/>
      <c r="IMO124" s="244"/>
      <c r="IMP124" s="244"/>
      <c r="IMQ124" s="244"/>
      <c r="IMR124" s="244"/>
      <c r="IMS124" s="244"/>
      <c r="IMT124" s="244"/>
      <c r="IMU124" s="244"/>
      <c r="IMV124" s="244"/>
      <c r="IMW124" s="244"/>
      <c r="IMX124" s="244"/>
      <c r="IMY124" s="244"/>
      <c r="IMZ124" s="244"/>
      <c r="INA124" s="244"/>
      <c r="INB124" s="244"/>
      <c r="INC124" s="244"/>
      <c r="IND124" s="244"/>
      <c r="INE124" s="244"/>
      <c r="INF124" s="244"/>
      <c r="ING124" s="244"/>
      <c r="INH124" s="244"/>
      <c r="INI124" s="244"/>
      <c r="INJ124" s="244"/>
      <c r="INK124" s="244"/>
      <c r="INL124" s="244"/>
      <c r="INM124" s="244"/>
      <c r="INN124" s="244"/>
      <c r="INO124" s="244"/>
      <c r="INP124" s="244"/>
      <c r="INQ124" s="244"/>
      <c r="INR124" s="244"/>
      <c r="INS124" s="244"/>
      <c r="INT124" s="244"/>
      <c r="INU124" s="244"/>
      <c r="INV124" s="244"/>
      <c r="INW124" s="244"/>
      <c r="INX124" s="244"/>
      <c r="INY124" s="244"/>
      <c r="INZ124" s="244"/>
      <c r="IOA124" s="244"/>
      <c r="IOB124" s="244"/>
      <c r="IOC124" s="244"/>
      <c r="IOD124" s="244"/>
      <c r="IOE124" s="244"/>
      <c r="IOF124" s="244"/>
      <c r="IOG124" s="244"/>
      <c r="IOH124" s="244"/>
      <c r="IOI124" s="244"/>
      <c r="IOJ124" s="244"/>
      <c r="IOK124" s="244"/>
      <c r="IOL124" s="244"/>
      <c r="IOM124" s="244"/>
      <c r="ION124" s="244"/>
      <c r="IOO124" s="244"/>
      <c r="IOP124" s="244"/>
      <c r="IOQ124" s="244"/>
      <c r="IOR124" s="244"/>
      <c r="IOS124" s="244"/>
      <c r="IOT124" s="244"/>
      <c r="IOU124" s="244"/>
      <c r="IOV124" s="244"/>
      <c r="IOW124" s="244"/>
      <c r="IOX124" s="244"/>
      <c r="IOY124" s="244"/>
      <c r="IOZ124" s="244"/>
      <c r="IPA124" s="244"/>
      <c r="IPB124" s="244"/>
      <c r="IPC124" s="244"/>
      <c r="IPD124" s="244"/>
      <c r="IPE124" s="244"/>
      <c r="IPF124" s="244"/>
      <c r="IPG124" s="244"/>
      <c r="IPH124" s="244"/>
      <c r="IPI124" s="244"/>
      <c r="IPJ124" s="244"/>
      <c r="IPK124" s="244"/>
      <c r="IPL124" s="244"/>
      <c r="IPM124" s="244"/>
      <c r="IPN124" s="244"/>
      <c r="IPO124" s="244"/>
      <c r="IPP124" s="244"/>
      <c r="IPQ124" s="244"/>
      <c r="IPR124" s="244"/>
      <c r="IPS124" s="244"/>
      <c r="IPT124" s="244"/>
      <c r="IPU124" s="244"/>
      <c r="IPV124" s="244"/>
      <c r="IPW124" s="244"/>
      <c r="IPX124" s="244"/>
      <c r="IPY124" s="244"/>
      <c r="IPZ124" s="244"/>
      <c r="IQA124" s="244"/>
      <c r="IQB124" s="244"/>
      <c r="IQC124" s="244"/>
      <c r="IQD124" s="244"/>
      <c r="IQE124" s="244"/>
      <c r="IQF124" s="244"/>
      <c r="IQG124" s="244"/>
      <c r="IQH124" s="244"/>
      <c r="IQI124" s="244"/>
      <c r="IQJ124" s="244"/>
      <c r="IQK124" s="244"/>
      <c r="IQL124" s="244"/>
      <c r="IQM124" s="244"/>
      <c r="IQN124" s="244"/>
      <c r="IQO124" s="244"/>
      <c r="IQP124" s="244"/>
      <c r="IQQ124" s="244"/>
      <c r="IQR124" s="244"/>
      <c r="IQS124" s="244"/>
      <c r="IQT124" s="244"/>
      <c r="IQU124" s="244"/>
      <c r="IQV124" s="244"/>
      <c r="IQW124" s="244"/>
      <c r="IQX124" s="244"/>
      <c r="IQY124" s="244"/>
      <c r="IQZ124" s="244"/>
      <c r="IRA124" s="244"/>
      <c r="IRB124" s="244"/>
      <c r="IRC124" s="244"/>
      <c r="IRD124" s="244"/>
      <c r="IRE124" s="244"/>
      <c r="IRF124" s="244"/>
      <c r="IRG124" s="244"/>
      <c r="IRH124" s="244"/>
      <c r="IRI124" s="244"/>
      <c r="IRJ124" s="244"/>
      <c r="IRK124" s="244"/>
      <c r="IRL124" s="244"/>
      <c r="IRM124" s="244"/>
      <c r="IRN124" s="244"/>
      <c r="IRO124" s="244"/>
      <c r="IRP124" s="244"/>
      <c r="IRQ124" s="244"/>
      <c r="IRR124" s="244"/>
      <c r="IRS124" s="244"/>
      <c r="IRT124" s="244"/>
      <c r="IRU124" s="244"/>
      <c r="IRV124" s="244"/>
      <c r="IRW124" s="244"/>
      <c r="IRX124" s="244"/>
      <c r="IRY124" s="244"/>
      <c r="IRZ124" s="244"/>
      <c r="ISA124" s="244"/>
      <c r="ISB124" s="244"/>
      <c r="ISC124" s="244"/>
      <c r="ISD124" s="244"/>
      <c r="ISE124" s="244"/>
      <c r="ISF124" s="244"/>
      <c r="ISG124" s="244"/>
      <c r="ISH124" s="244"/>
      <c r="ISI124" s="244"/>
      <c r="ISJ124" s="244"/>
      <c r="ISK124" s="244"/>
      <c r="ISL124" s="244"/>
      <c r="ISM124" s="244"/>
      <c r="ISN124" s="244"/>
      <c r="ISO124" s="244"/>
      <c r="ISP124" s="244"/>
      <c r="ISQ124" s="244"/>
      <c r="ISR124" s="244"/>
      <c r="ISS124" s="244"/>
      <c r="IST124" s="244"/>
      <c r="ISU124" s="244"/>
      <c r="ISV124" s="244"/>
      <c r="ISW124" s="244"/>
      <c r="ISX124" s="244"/>
      <c r="ISY124" s="244"/>
      <c r="ISZ124" s="244"/>
      <c r="ITA124" s="244"/>
      <c r="ITB124" s="244"/>
      <c r="ITC124" s="244"/>
      <c r="ITD124" s="244"/>
      <c r="ITE124" s="244"/>
      <c r="ITF124" s="244"/>
      <c r="ITG124" s="244"/>
      <c r="ITH124" s="244"/>
      <c r="ITI124" s="244"/>
      <c r="ITJ124" s="244"/>
      <c r="ITK124" s="244"/>
      <c r="ITL124" s="244"/>
      <c r="ITM124" s="244"/>
      <c r="ITN124" s="244"/>
      <c r="ITO124" s="244"/>
      <c r="ITP124" s="244"/>
      <c r="ITQ124" s="244"/>
      <c r="ITR124" s="244"/>
      <c r="ITS124" s="244"/>
      <c r="ITT124" s="244"/>
      <c r="ITU124" s="244"/>
      <c r="ITV124" s="244"/>
      <c r="ITW124" s="244"/>
      <c r="ITX124" s="244"/>
      <c r="ITY124" s="244"/>
      <c r="ITZ124" s="244"/>
      <c r="IUA124" s="244"/>
      <c r="IUB124" s="244"/>
      <c r="IUC124" s="244"/>
      <c r="IUD124" s="244"/>
      <c r="IUE124" s="244"/>
      <c r="IUF124" s="244"/>
      <c r="IUG124" s="244"/>
      <c r="IUH124" s="244"/>
      <c r="IUI124" s="244"/>
      <c r="IUJ124" s="244"/>
      <c r="IUK124" s="244"/>
      <c r="IUL124" s="244"/>
      <c r="IUM124" s="244"/>
      <c r="IUN124" s="244"/>
      <c r="IUO124" s="244"/>
      <c r="IUP124" s="244"/>
      <c r="IUQ124" s="244"/>
      <c r="IUR124" s="244"/>
      <c r="IUS124" s="244"/>
      <c r="IUT124" s="244"/>
      <c r="IUU124" s="244"/>
      <c r="IUV124" s="244"/>
      <c r="IUW124" s="244"/>
      <c r="IUX124" s="244"/>
      <c r="IUY124" s="244"/>
      <c r="IUZ124" s="244"/>
      <c r="IVA124" s="244"/>
      <c r="IVB124" s="244"/>
      <c r="IVC124" s="244"/>
      <c r="IVD124" s="244"/>
      <c r="IVE124" s="244"/>
      <c r="IVF124" s="244"/>
      <c r="IVG124" s="244"/>
      <c r="IVH124" s="244"/>
      <c r="IVI124" s="244"/>
      <c r="IVJ124" s="244"/>
      <c r="IVK124" s="244"/>
      <c r="IVL124" s="244"/>
      <c r="IVM124" s="244"/>
      <c r="IVN124" s="244"/>
      <c r="IVO124" s="244"/>
      <c r="IVP124" s="244"/>
      <c r="IVQ124" s="244"/>
      <c r="IVR124" s="244"/>
      <c r="IVS124" s="244"/>
      <c r="IVT124" s="244"/>
      <c r="IVU124" s="244"/>
      <c r="IVV124" s="244"/>
      <c r="IVW124" s="244"/>
      <c r="IVX124" s="244"/>
      <c r="IVY124" s="244"/>
      <c r="IVZ124" s="244"/>
      <c r="IWA124" s="244"/>
      <c r="IWB124" s="244"/>
      <c r="IWC124" s="244"/>
      <c r="IWD124" s="244"/>
      <c r="IWE124" s="244"/>
      <c r="IWF124" s="244"/>
      <c r="IWG124" s="244"/>
      <c r="IWH124" s="244"/>
      <c r="IWI124" s="244"/>
      <c r="IWJ124" s="244"/>
      <c r="IWK124" s="244"/>
      <c r="IWL124" s="244"/>
      <c r="IWM124" s="244"/>
      <c r="IWN124" s="244"/>
      <c r="IWO124" s="244"/>
      <c r="IWP124" s="244"/>
      <c r="IWQ124" s="244"/>
      <c r="IWR124" s="244"/>
      <c r="IWS124" s="244"/>
      <c r="IWT124" s="244"/>
      <c r="IWU124" s="244"/>
      <c r="IWV124" s="244"/>
      <c r="IWW124" s="244"/>
      <c r="IWX124" s="244"/>
      <c r="IWY124" s="244"/>
      <c r="IWZ124" s="244"/>
      <c r="IXA124" s="244"/>
      <c r="IXB124" s="244"/>
      <c r="IXC124" s="244"/>
      <c r="IXD124" s="244"/>
      <c r="IXE124" s="244"/>
      <c r="IXF124" s="244"/>
      <c r="IXG124" s="244"/>
      <c r="IXH124" s="244"/>
      <c r="IXI124" s="244"/>
      <c r="IXJ124" s="244"/>
      <c r="IXK124" s="244"/>
      <c r="IXL124" s="244"/>
      <c r="IXM124" s="244"/>
      <c r="IXN124" s="244"/>
      <c r="IXO124" s="244"/>
      <c r="IXP124" s="244"/>
      <c r="IXQ124" s="244"/>
      <c r="IXR124" s="244"/>
      <c r="IXS124" s="244"/>
      <c r="IXT124" s="244"/>
      <c r="IXU124" s="244"/>
      <c r="IXV124" s="244"/>
      <c r="IXW124" s="244"/>
      <c r="IXX124" s="244"/>
      <c r="IXY124" s="244"/>
      <c r="IXZ124" s="244"/>
      <c r="IYA124" s="244"/>
      <c r="IYB124" s="244"/>
      <c r="IYC124" s="244"/>
      <c r="IYD124" s="244"/>
      <c r="IYE124" s="244"/>
      <c r="IYF124" s="244"/>
      <c r="IYG124" s="244"/>
      <c r="IYH124" s="244"/>
      <c r="IYI124" s="244"/>
      <c r="IYJ124" s="244"/>
      <c r="IYK124" s="244"/>
      <c r="IYL124" s="244"/>
      <c r="IYM124" s="244"/>
      <c r="IYN124" s="244"/>
      <c r="IYO124" s="244"/>
      <c r="IYP124" s="244"/>
      <c r="IYQ124" s="244"/>
      <c r="IYR124" s="244"/>
      <c r="IYS124" s="244"/>
      <c r="IYT124" s="244"/>
      <c r="IYU124" s="244"/>
      <c r="IYV124" s="244"/>
      <c r="IYW124" s="244"/>
      <c r="IYX124" s="244"/>
      <c r="IYY124" s="244"/>
      <c r="IYZ124" s="244"/>
      <c r="IZA124" s="244"/>
      <c r="IZB124" s="244"/>
      <c r="IZC124" s="244"/>
      <c r="IZD124" s="244"/>
      <c r="IZE124" s="244"/>
      <c r="IZF124" s="244"/>
      <c r="IZG124" s="244"/>
      <c r="IZH124" s="244"/>
      <c r="IZI124" s="244"/>
      <c r="IZJ124" s="244"/>
      <c r="IZK124" s="244"/>
      <c r="IZL124" s="244"/>
      <c r="IZM124" s="244"/>
      <c r="IZN124" s="244"/>
      <c r="IZO124" s="244"/>
      <c r="IZP124" s="244"/>
      <c r="IZQ124" s="244"/>
      <c r="IZR124" s="244"/>
      <c r="IZS124" s="244"/>
      <c r="IZT124" s="244"/>
      <c r="IZU124" s="244"/>
      <c r="IZV124" s="244"/>
      <c r="IZW124" s="244"/>
      <c r="IZX124" s="244"/>
      <c r="IZY124" s="244"/>
      <c r="IZZ124" s="244"/>
      <c r="JAA124" s="244"/>
      <c r="JAB124" s="244"/>
      <c r="JAC124" s="244"/>
      <c r="JAD124" s="244"/>
      <c r="JAE124" s="244"/>
      <c r="JAF124" s="244"/>
      <c r="JAG124" s="244"/>
      <c r="JAH124" s="244"/>
      <c r="JAI124" s="244"/>
      <c r="JAJ124" s="244"/>
      <c r="JAK124" s="244"/>
      <c r="JAL124" s="244"/>
      <c r="JAM124" s="244"/>
      <c r="JAN124" s="244"/>
      <c r="JAO124" s="244"/>
      <c r="JAP124" s="244"/>
      <c r="JAQ124" s="244"/>
      <c r="JAR124" s="244"/>
      <c r="JAS124" s="244"/>
      <c r="JAT124" s="244"/>
      <c r="JAU124" s="244"/>
      <c r="JAV124" s="244"/>
      <c r="JAW124" s="244"/>
      <c r="JAX124" s="244"/>
      <c r="JAY124" s="244"/>
      <c r="JAZ124" s="244"/>
      <c r="JBA124" s="244"/>
      <c r="JBB124" s="244"/>
      <c r="JBC124" s="244"/>
      <c r="JBD124" s="244"/>
      <c r="JBE124" s="244"/>
      <c r="JBF124" s="244"/>
      <c r="JBG124" s="244"/>
      <c r="JBH124" s="244"/>
      <c r="JBI124" s="244"/>
      <c r="JBJ124" s="244"/>
      <c r="JBK124" s="244"/>
      <c r="JBL124" s="244"/>
      <c r="JBM124" s="244"/>
      <c r="JBN124" s="244"/>
      <c r="JBO124" s="244"/>
      <c r="JBP124" s="244"/>
      <c r="JBQ124" s="244"/>
      <c r="JBR124" s="244"/>
      <c r="JBS124" s="244"/>
      <c r="JBT124" s="244"/>
      <c r="JBU124" s="244"/>
      <c r="JBV124" s="244"/>
      <c r="JBW124" s="244"/>
      <c r="JBX124" s="244"/>
      <c r="JBY124" s="244"/>
      <c r="JBZ124" s="244"/>
      <c r="JCA124" s="244"/>
      <c r="JCB124" s="244"/>
      <c r="JCC124" s="244"/>
      <c r="JCD124" s="244"/>
      <c r="JCE124" s="244"/>
      <c r="JCF124" s="244"/>
      <c r="JCG124" s="244"/>
      <c r="JCH124" s="244"/>
      <c r="JCI124" s="244"/>
      <c r="JCJ124" s="244"/>
      <c r="JCK124" s="244"/>
      <c r="JCL124" s="244"/>
      <c r="JCM124" s="244"/>
      <c r="JCN124" s="244"/>
      <c r="JCO124" s="244"/>
      <c r="JCP124" s="244"/>
      <c r="JCQ124" s="244"/>
      <c r="JCR124" s="244"/>
      <c r="JCS124" s="244"/>
      <c r="JCT124" s="244"/>
      <c r="JCU124" s="244"/>
      <c r="JCV124" s="244"/>
      <c r="JCW124" s="244"/>
      <c r="JCX124" s="244"/>
      <c r="JCY124" s="244"/>
      <c r="JCZ124" s="244"/>
      <c r="JDA124" s="244"/>
      <c r="JDB124" s="244"/>
      <c r="JDC124" s="244"/>
      <c r="JDD124" s="244"/>
      <c r="JDE124" s="244"/>
      <c r="JDF124" s="244"/>
      <c r="JDG124" s="244"/>
      <c r="JDH124" s="244"/>
      <c r="JDI124" s="244"/>
      <c r="JDJ124" s="244"/>
      <c r="JDK124" s="244"/>
      <c r="JDL124" s="244"/>
      <c r="JDM124" s="244"/>
      <c r="JDN124" s="244"/>
      <c r="JDO124" s="244"/>
      <c r="JDP124" s="244"/>
      <c r="JDQ124" s="244"/>
      <c r="JDR124" s="244"/>
      <c r="JDS124" s="244"/>
      <c r="JDT124" s="244"/>
      <c r="JDU124" s="244"/>
      <c r="JDV124" s="244"/>
      <c r="JDW124" s="244"/>
      <c r="JDX124" s="244"/>
      <c r="JDY124" s="244"/>
      <c r="JDZ124" s="244"/>
      <c r="JEA124" s="244"/>
      <c r="JEB124" s="244"/>
      <c r="JEC124" s="244"/>
      <c r="JED124" s="244"/>
      <c r="JEE124" s="244"/>
      <c r="JEF124" s="244"/>
      <c r="JEG124" s="244"/>
      <c r="JEH124" s="244"/>
      <c r="JEI124" s="244"/>
      <c r="JEJ124" s="244"/>
      <c r="JEK124" s="244"/>
      <c r="JEL124" s="244"/>
      <c r="JEM124" s="244"/>
      <c r="JEN124" s="244"/>
      <c r="JEO124" s="244"/>
      <c r="JEP124" s="244"/>
      <c r="JEQ124" s="244"/>
      <c r="JER124" s="244"/>
      <c r="JES124" s="244"/>
      <c r="JET124" s="244"/>
      <c r="JEU124" s="244"/>
      <c r="JEV124" s="244"/>
      <c r="JEW124" s="244"/>
      <c r="JEX124" s="244"/>
      <c r="JEY124" s="244"/>
      <c r="JEZ124" s="244"/>
      <c r="JFA124" s="244"/>
      <c r="JFB124" s="244"/>
      <c r="JFC124" s="244"/>
      <c r="JFD124" s="244"/>
      <c r="JFE124" s="244"/>
      <c r="JFF124" s="244"/>
      <c r="JFG124" s="244"/>
      <c r="JFH124" s="244"/>
      <c r="JFI124" s="244"/>
      <c r="JFJ124" s="244"/>
      <c r="JFK124" s="244"/>
      <c r="JFL124" s="244"/>
      <c r="JFM124" s="244"/>
      <c r="JFN124" s="244"/>
      <c r="JFO124" s="244"/>
      <c r="JFP124" s="244"/>
      <c r="JFQ124" s="244"/>
      <c r="JFR124" s="244"/>
      <c r="JFS124" s="244"/>
      <c r="JFT124" s="244"/>
      <c r="JFU124" s="244"/>
      <c r="JFV124" s="244"/>
      <c r="JFW124" s="244"/>
      <c r="JFX124" s="244"/>
      <c r="JFY124" s="244"/>
      <c r="JFZ124" s="244"/>
      <c r="JGA124" s="244"/>
      <c r="JGB124" s="244"/>
      <c r="JGC124" s="244"/>
      <c r="JGD124" s="244"/>
      <c r="JGE124" s="244"/>
      <c r="JGF124" s="244"/>
      <c r="JGG124" s="244"/>
      <c r="JGH124" s="244"/>
      <c r="JGI124" s="244"/>
      <c r="JGJ124" s="244"/>
      <c r="JGK124" s="244"/>
      <c r="JGL124" s="244"/>
      <c r="JGM124" s="244"/>
      <c r="JGN124" s="244"/>
      <c r="JGO124" s="244"/>
      <c r="JGP124" s="244"/>
      <c r="JGQ124" s="244"/>
      <c r="JGR124" s="244"/>
      <c r="JGS124" s="244"/>
      <c r="JGT124" s="244"/>
      <c r="JGU124" s="244"/>
      <c r="JGV124" s="244"/>
      <c r="JGW124" s="244"/>
      <c r="JGX124" s="244"/>
      <c r="JGY124" s="244"/>
      <c r="JGZ124" s="244"/>
      <c r="JHA124" s="244"/>
      <c r="JHB124" s="244"/>
      <c r="JHC124" s="244"/>
      <c r="JHD124" s="244"/>
      <c r="JHE124" s="244"/>
      <c r="JHF124" s="244"/>
      <c r="JHG124" s="244"/>
      <c r="JHH124" s="244"/>
      <c r="JHI124" s="244"/>
      <c r="JHJ124" s="244"/>
      <c r="JHK124" s="244"/>
      <c r="JHL124" s="244"/>
      <c r="JHM124" s="244"/>
      <c r="JHN124" s="244"/>
      <c r="JHO124" s="244"/>
      <c r="JHP124" s="244"/>
      <c r="JHQ124" s="244"/>
      <c r="JHR124" s="244"/>
      <c r="JHS124" s="244"/>
      <c r="JHT124" s="244"/>
      <c r="JHU124" s="244"/>
      <c r="JHV124" s="244"/>
      <c r="JHW124" s="244"/>
      <c r="JHX124" s="244"/>
      <c r="JHY124" s="244"/>
      <c r="JHZ124" s="244"/>
      <c r="JIA124" s="244"/>
      <c r="JIB124" s="244"/>
      <c r="JIC124" s="244"/>
      <c r="JID124" s="244"/>
      <c r="JIE124" s="244"/>
      <c r="JIF124" s="244"/>
      <c r="JIG124" s="244"/>
      <c r="JIH124" s="244"/>
      <c r="JII124" s="244"/>
      <c r="JIJ124" s="244"/>
      <c r="JIK124" s="244"/>
      <c r="JIL124" s="244"/>
      <c r="JIM124" s="244"/>
      <c r="JIN124" s="244"/>
      <c r="JIO124" s="244"/>
      <c r="JIP124" s="244"/>
      <c r="JIQ124" s="244"/>
      <c r="JIR124" s="244"/>
      <c r="JIS124" s="244"/>
      <c r="JIT124" s="244"/>
      <c r="JIU124" s="244"/>
      <c r="JIV124" s="244"/>
      <c r="JIW124" s="244"/>
      <c r="JIX124" s="244"/>
      <c r="JIY124" s="244"/>
      <c r="JIZ124" s="244"/>
      <c r="JJA124" s="244"/>
      <c r="JJB124" s="244"/>
      <c r="JJC124" s="244"/>
      <c r="JJD124" s="244"/>
      <c r="JJE124" s="244"/>
      <c r="JJF124" s="244"/>
      <c r="JJG124" s="244"/>
      <c r="JJH124" s="244"/>
      <c r="JJI124" s="244"/>
      <c r="JJJ124" s="244"/>
      <c r="JJK124" s="244"/>
      <c r="JJL124" s="244"/>
      <c r="JJM124" s="244"/>
      <c r="JJN124" s="244"/>
      <c r="JJO124" s="244"/>
      <c r="JJP124" s="244"/>
      <c r="JJQ124" s="244"/>
      <c r="JJR124" s="244"/>
      <c r="JJS124" s="244"/>
      <c r="JJT124" s="244"/>
      <c r="JJU124" s="244"/>
      <c r="JJV124" s="244"/>
      <c r="JJW124" s="244"/>
      <c r="JJX124" s="244"/>
      <c r="JJY124" s="244"/>
      <c r="JJZ124" s="244"/>
      <c r="JKA124" s="244"/>
      <c r="JKB124" s="244"/>
      <c r="JKC124" s="244"/>
      <c r="JKD124" s="244"/>
      <c r="JKE124" s="244"/>
      <c r="JKF124" s="244"/>
      <c r="JKG124" s="244"/>
      <c r="JKH124" s="244"/>
      <c r="JKI124" s="244"/>
      <c r="JKJ124" s="244"/>
      <c r="JKK124" s="244"/>
      <c r="JKL124" s="244"/>
      <c r="JKM124" s="244"/>
      <c r="JKN124" s="244"/>
      <c r="JKO124" s="244"/>
      <c r="JKP124" s="244"/>
      <c r="JKQ124" s="244"/>
      <c r="JKR124" s="244"/>
      <c r="JKS124" s="244"/>
      <c r="JKT124" s="244"/>
      <c r="JKU124" s="244"/>
      <c r="JKV124" s="244"/>
      <c r="JKW124" s="244"/>
      <c r="JKX124" s="244"/>
      <c r="JKY124" s="244"/>
      <c r="JKZ124" s="244"/>
      <c r="JLA124" s="244"/>
      <c r="JLB124" s="244"/>
      <c r="JLC124" s="244"/>
      <c r="JLD124" s="244"/>
      <c r="JLE124" s="244"/>
      <c r="JLF124" s="244"/>
      <c r="JLG124" s="244"/>
      <c r="JLH124" s="244"/>
      <c r="JLI124" s="244"/>
      <c r="JLJ124" s="244"/>
      <c r="JLK124" s="244"/>
      <c r="JLL124" s="244"/>
      <c r="JLM124" s="244"/>
      <c r="JLN124" s="244"/>
      <c r="JLO124" s="244"/>
      <c r="JLP124" s="244"/>
      <c r="JLQ124" s="244"/>
      <c r="JLR124" s="244"/>
      <c r="JLS124" s="244"/>
      <c r="JLT124" s="244"/>
      <c r="JLU124" s="244"/>
      <c r="JLV124" s="244"/>
      <c r="JLW124" s="244"/>
      <c r="JLX124" s="244"/>
      <c r="JLY124" s="244"/>
      <c r="JLZ124" s="244"/>
      <c r="JMA124" s="244"/>
      <c r="JMB124" s="244"/>
      <c r="JMC124" s="244"/>
      <c r="JMD124" s="244"/>
      <c r="JME124" s="244"/>
      <c r="JMF124" s="244"/>
      <c r="JMG124" s="244"/>
      <c r="JMH124" s="244"/>
      <c r="JMI124" s="244"/>
      <c r="JMJ124" s="244"/>
      <c r="JMK124" s="244"/>
      <c r="JML124" s="244"/>
      <c r="JMM124" s="244"/>
      <c r="JMN124" s="244"/>
      <c r="JMO124" s="244"/>
      <c r="JMP124" s="244"/>
      <c r="JMQ124" s="244"/>
      <c r="JMR124" s="244"/>
      <c r="JMS124" s="244"/>
      <c r="JMT124" s="244"/>
      <c r="JMU124" s="244"/>
      <c r="JMV124" s="244"/>
      <c r="JMW124" s="244"/>
      <c r="JMX124" s="244"/>
      <c r="JMY124" s="244"/>
      <c r="JMZ124" s="244"/>
      <c r="JNA124" s="244"/>
      <c r="JNB124" s="244"/>
      <c r="JNC124" s="244"/>
      <c r="JND124" s="244"/>
      <c r="JNE124" s="244"/>
      <c r="JNF124" s="244"/>
      <c r="JNG124" s="244"/>
      <c r="JNH124" s="244"/>
      <c r="JNI124" s="244"/>
      <c r="JNJ124" s="244"/>
      <c r="JNK124" s="244"/>
      <c r="JNL124" s="244"/>
      <c r="JNM124" s="244"/>
      <c r="JNN124" s="244"/>
      <c r="JNO124" s="244"/>
      <c r="JNP124" s="244"/>
      <c r="JNQ124" s="244"/>
      <c r="JNR124" s="244"/>
      <c r="JNS124" s="244"/>
      <c r="JNT124" s="244"/>
      <c r="JNU124" s="244"/>
      <c r="JNV124" s="244"/>
      <c r="JNW124" s="244"/>
      <c r="JNX124" s="244"/>
      <c r="JNY124" s="244"/>
      <c r="JNZ124" s="244"/>
      <c r="JOA124" s="244"/>
      <c r="JOB124" s="244"/>
      <c r="JOC124" s="244"/>
      <c r="JOD124" s="244"/>
      <c r="JOE124" s="244"/>
      <c r="JOF124" s="244"/>
      <c r="JOG124" s="244"/>
      <c r="JOH124" s="244"/>
      <c r="JOI124" s="244"/>
      <c r="JOJ124" s="244"/>
      <c r="JOK124" s="244"/>
      <c r="JOL124" s="244"/>
      <c r="JOM124" s="244"/>
      <c r="JON124" s="244"/>
      <c r="JOO124" s="244"/>
      <c r="JOP124" s="244"/>
      <c r="JOQ124" s="244"/>
      <c r="JOR124" s="244"/>
      <c r="JOS124" s="244"/>
      <c r="JOT124" s="244"/>
      <c r="JOU124" s="244"/>
      <c r="JOV124" s="244"/>
      <c r="JOW124" s="244"/>
      <c r="JOX124" s="244"/>
      <c r="JOY124" s="244"/>
      <c r="JOZ124" s="244"/>
      <c r="JPA124" s="244"/>
      <c r="JPB124" s="244"/>
      <c r="JPC124" s="244"/>
      <c r="JPD124" s="244"/>
      <c r="JPE124" s="244"/>
      <c r="JPF124" s="244"/>
      <c r="JPG124" s="244"/>
      <c r="JPH124" s="244"/>
      <c r="JPI124" s="244"/>
      <c r="JPJ124" s="244"/>
      <c r="JPK124" s="244"/>
      <c r="JPL124" s="244"/>
      <c r="JPM124" s="244"/>
      <c r="JPN124" s="244"/>
      <c r="JPO124" s="244"/>
      <c r="JPP124" s="244"/>
      <c r="JPQ124" s="244"/>
      <c r="JPR124" s="244"/>
      <c r="JPS124" s="244"/>
      <c r="JPT124" s="244"/>
      <c r="JPU124" s="244"/>
      <c r="JPV124" s="244"/>
      <c r="JPW124" s="244"/>
      <c r="JPX124" s="244"/>
      <c r="JPY124" s="244"/>
      <c r="JPZ124" s="244"/>
      <c r="JQA124" s="244"/>
      <c r="JQB124" s="244"/>
      <c r="JQC124" s="244"/>
      <c r="JQD124" s="244"/>
      <c r="JQE124" s="244"/>
      <c r="JQF124" s="244"/>
      <c r="JQG124" s="244"/>
      <c r="JQH124" s="244"/>
      <c r="JQI124" s="244"/>
      <c r="JQJ124" s="244"/>
      <c r="JQK124" s="244"/>
      <c r="JQL124" s="244"/>
      <c r="JQM124" s="244"/>
      <c r="JQN124" s="244"/>
      <c r="JQO124" s="244"/>
      <c r="JQP124" s="244"/>
      <c r="JQQ124" s="244"/>
      <c r="JQR124" s="244"/>
      <c r="JQS124" s="244"/>
      <c r="JQT124" s="244"/>
      <c r="JQU124" s="244"/>
      <c r="JQV124" s="244"/>
      <c r="JQW124" s="244"/>
      <c r="JQX124" s="244"/>
      <c r="JQY124" s="244"/>
      <c r="JQZ124" s="244"/>
      <c r="JRA124" s="244"/>
      <c r="JRB124" s="244"/>
      <c r="JRC124" s="244"/>
      <c r="JRD124" s="244"/>
      <c r="JRE124" s="244"/>
      <c r="JRF124" s="244"/>
      <c r="JRG124" s="244"/>
      <c r="JRH124" s="244"/>
      <c r="JRI124" s="244"/>
      <c r="JRJ124" s="244"/>
      <c r="JRK124" s="244"/>
      <c r="JRL124" s="244"/>
      <c r="JRM124" s="244"/>
      <c r="JRN124" s="244"/>
      <c r="JRO124" s="244"/>
      <c r="JRP124" s="244"/>
      <c r="JRQ124" s="244"/>
      <c r="JRR124" s="244"/>
      <c r="JRS124" s="244"/>
      <c r="JRT124" s="244"/>
      <c r="JRU124" s="244"/>
      <c r="JRV124" s="244"/>
      <c r="JRW124" s="244"/>
      <c r="JRX124" s="244"/>
      <c r="JRY124" s="244"/>
      <c r="JRZ124" s="244"/>
      <c r="JSA124" s="244"/>
      <c r="JSB124" s="244"/>
      <c r="JSC124" s="244"/>
      <c r="JSD124" s="244"/>
      <c r="JSE124" s="244"/>
      <c r="JSF124" s="244"/>
      <c r="JSG124" s="244"/>
      <c r="JSH124" s="244"/>
      <c r="JSI124" s="244"/>
      <c r="JSJ124" s="244"/>
      <c r="JSK124" s="244"/>
      <c r="JSL124" s="244"/>
      <c r="JSM124" s="244"/>
      <c r="JSN124" s="244"/>
      <c r="JSO124" s="244"/>
      <c r="JSP124" s="244"/>
      <c r="JSQ124" s="244"/>
      <c r="JSR124" s="244"/>
      <c r="JSS124" s="244"/>
      <c r="JST124" s="244"/>
      <c r="JSU124" s="244"/>
      <c r="JSV124" s="244"/>
      <c r="JSW124" s="244"/>
      <c r="JSX124" s="244"/>
      <c r="JSY124" s="244"/>
      <c r="JSZ124" s="244"/>
      <c r="JTA124" s="244"/>
      <c r="JTB124" s="244"/>
      <c r="JTC124" s="244"/>
      <c r="JTD124" s="244"/>
      <c r="JTE124" s="244"/>
      <c r="JTF124" s="244"/>
      <c r="JTG124" s="244"/>
      <c r="JTH124" s="244"/>
      <c r="JTI124" s="244"/>
      <c r="JTJ124" s="244"/>
      <c r="JTK124" s="244"/>
      <c r="JTL124" s="244"/>
      <c r="JTM124" s="244"/>
      <c r="JTN124" s="244"/>
      <c r="JTO124" s="244"/>
      <c r="JTP124" s="244"/>
      <c r="JTQ124" s="244"/>
      <c r="JTR124" s="244"/>
      <c r="JTS124" s="244"/>
      <c r="JTT124" s="244"/>
      <c r="JTU124" s="244"/>
      <c r="JTV124" s="244"/>
      <c r="JTW124" s="244"/>
      <c r="JTX124" s="244"/>
      <c r="JTY124" s="244"/>
      <c r="JTZ124" s="244"/>
      <c r="JUA124" s="244"/>
      <c r="JUB124" s="244"/>
      <c r="JUC124" s="244"/>
      <c r="JUD124" s="244"/>
      <c r="JUE124" s="244"/>
      <c r="JUF124" s="244"/>
      <c r="JUG124" s="244"/>
      <c r="JUH124" s="244"/>
      <c r="JUI124" s="244"/>
      <c r="JUJ124" s="244"/>
      <c r="JUK124" s="244"/>
      <c r="JUL124" s="244"/>
      <c r="JUM124" s="244"/>
      <c r="JUN124" s="244"/>
      <c r="JUO124" s="244"/>
      <c r="JUP124" s="244"/>
      <c r="JUQ124" s="244"/>
      <c r="JUR124" s="244"/>
      <c r="JUS124" s="244"/>
      <c r="JUT124" s="244"/>
      <c r="JUU124" s="244"/>
      <c r="JUV124" s="244"/>
      <c r="JUW124" s="244"/>
      <c r="JUX124" s="244"/>
      <c r="JUY124" s="244"/>
      <c r="JUZ124" s="244"/>
      <c r="JVA124" s="244"/>
      <c r="JVB124" s="244"/>
      <c r="JVC124" s="244"/>
      <c r="JVD124" s="244"/>
      <c r="JVE124" s="244"/>
      <c r="JVF124" s="244"/>
      <c r="JVG124" s="244"/>
      <c r="JVH124" s="244"/>
      <c r="JVI124" s="244"/>
      <c r="JVJ124" s="244"/>
      <c r="JVK124" s="244"/>
      <c r="JVL124" s="244"/>
      <c r="JVM124" s="244"/>
      <c r="JVN124" s="244"/>
      <c r="JVO124" s="244"/>
      <c r="JVP124" s="244"/>
      <c r="JVQ124" s="244"/>
      <c r="JVR124" s="244"/>
      <c r="JVS124" s="244"/>
      <c r="JVT124" s="244"/>
      <c r="JVU124" s="244"/>
      <c r="JVV124" s="244"/>
      <c r="JVW124" s="244"/>
      <c r="JVX124" s="244"/>
      <c r="JVY124" s="244"/>
      <c r="JVZ124" s="244"/>
      <c r="JWA124" s="244"/>
      <c r="JWB124" s="244"/>
      <c r="JWC124" s="244"/>
      <c r="JWD124" s="244"/>
      <c r="JWE124" s="244"/>
      <c r="JWF124" s="244"/>
      <c r="JWG124" s="244"/>
      <c r="JWH124" s="244"/>
      <c r="JWI124" s="244"/>
      <c r="JWJ124" s="244"/>
      <c r="JWK124" s="244"/>
      <c r="JWL124" s="244"/>
      <c r="JWM124" s="244"/>
      <c r="JWN124" s="244"/>
      <c r="JWO124" s="244"/>
      <c r="JWP124" s="244"/>
      <c r="JWQ124" s="244"/>
      <c r="JWR124" s="244"/>
      <c r="JWS124" s="244"/>
      <c r="JWT124" s="244"/>
      <c r="JWU124" s="244"/>
      <c r="JWV124" s="244"/>
      <c r="JWW124" s="244"/>
      <c r="JWX124" s="244"/>
      <c r="JWY124" s="244"/>
      <c r="JWZ124" s="244"/>
      <c r="JXA124" s="244"/>
      <c r="JXB124" s="244"/>
      <c r="JXC124" s="244"/>
      <c r="JXD124" s="244"/>
      <c r="JXE124" s="244"/>
      <c r="JXF124" s="244"/>
      <c r="JXG124" s="244"/>
      <c r="JXH124" s="244"/>
      <c r="JXI124" s="244"/>
      <c r="JXJ124" s="244"/>
      <c r="JXK124" s="244"/>
      <c r="JXL124" s="244"/>
      <c r="JXM124" s="244"/>
      <c r="JXN124" s="244"/>
      <c r="JXO124" s="244"/>
      <c r="JXP124" s="244"/>
      <c r="JXQ124" s="244"/>
      <c r="JXR124" s="244"/>
      <c r="JXS124" s="244"/>
      <c r="JXT124" s="244"/>
      <c r="JXU124" s="244"/>
      <c r="JXV124" s="244"/>
      <c r="JXW124" s="244"/>
      <c r="JXX124" s="244"/>
      <c r="JXY124" s="244"/>
      <c r="JXZ124" s="244"/>
      <c r="JYA124" s="244"/>
      <c r="JYB124" s="244"/>
      <c r="JYC124" s="244"/>
      <c r="JYD124" s="244"/>
      <c r="JYE124" s="244"/>
      <c r="JYF124" s="244"/>
      <c r="JYG124" s="244"/>
      <c r="JYH124" s="244"/>
      <c r="JYI124" s="244"/>
      <c r="JYJ124" s="244"/>
      <c r="JYK124" s="244"/>
      <c r="JYL124" s="244"/>
      <c r="JYM124" s="244"/>
      <c r="JYN124" s="244"/>
      <c r="JYO124" s="244"/>
      <c r="JYP124" s="244"/>
      <c r="JYQ124" s="244"/>
      <c r="JYR124" s="244"/>
      <c r="JYS124" s="244"/>
      <c r="JYT124" s="244"/>
      <c r="JYU124" s="244"/>
      <c r="JYV124" s="244"/>
      <c r="JYW124" s="244"/>
      <c r="JYX124" s="244"/>
      <c r="JYY124" s="244"/>
      <c r="JYZ124" s="244"/>
      <c r="JZA124" s="244"/>
      <c r="JZB124" s="244"/>
      <c r="JZC124" s="244"/>
      <c r="JZD124" s="244"/>
      <c r="JZE124" s="244"/>
      <c r="JZF124" s="244"/>
      <c r="JZG124" s="244"/>
      <c r="JZH124" s="244"/>
      <c r="JZI124" s="244"/>
      <c r="JZJ124" s="244"/>
      <c r="JZK124" s="244"/>
      <c r="JZL124" s="244"/>
      <c r="JZM124" s="244"/>
      <c r="JZN124" s="244"/>
      <c r="JZO124" s="244"/>
      <c r="JZP124" s="244"/>
      <c r="JZQ124" s="244"/>
      <c r="JZR124" s="244"/>
      <c r="JZS124" s="244"/>
      <c r="JZT124" s="244"/>
      <c r="JZU124" s="244"/>
      <c r="JZV124" s="244"/>
      <c r="JZW124" s="244"/>
      <c r="JZX124" s="244"/>
      <c r="JZY124" s="244"/>
      <c r="JZZ124" s="244"/>
      <c r="KAA124" s="244"/>
      <c r="KAB124" s="244"/>
      <c r="KAC124" s="244"/>
      <c r="KAD124" s="244"/>
      <c r="KAE124" s="244"/>
      <c r="KAF124" s="244"/>
      <c r="KAG124" s="244"/>
      <c r="KAH124" s="244"/>
      <c r="KAI124" s="244"/>
      <c r="KAJ124" s="244"/>
      <c r="KAK124" s="244"/>
      <c r="KAL124" s="244"/>
      <c r="KAM124" s="244"/>
      <c r="KAN124" s="244"/>
      <c r="KAO124" s="244"/>
      <c r="KAP124" s="244"/>
      <c r="KAQ124" s="244"/>
      <c r="KAR124" s="244"/>
      <c r="KAS124" s="244"/>
      <c r="KAT124" s="244"/>
      <c r="KAU124" s="244"/>
      <c r="KAV124" s="244"/>
      <c r="KAW124" s="244"/>
      <c r="KAX124" s="244"/>
      <c r="KAY124" s="244"/>
      <c r="KAZ124" s="244"/>
      <c r="KBA124" s="244"/>
      <c r="KBB124" s="244"/>
      <c r="KBC124" s="244"/>
      <c r="KBD124" s="244"/>
      <c r="KBE124" s="244"/>
      <c r="KBF124" s="244"/>
      <c r="KBG124" s="244"/>
      <c r="KBH124" s="244"/>
      <c r="KBI124" s="244"/>
      <c r="KBJ124" s="244"/>
      <c r="KBK124" s="244"/>
      <c r="KBL124" s="244"/>
      <c r="KBM124" s="244"/>
      <c r="KBN124" s="244"/>
      <c r="KBO124" s="244"/>
      <c r="KBP124" s="244"/>
      <c r="KBQ124" s="244"/>
      <c r="KBR124" s="244"/>
      <c r="KBS124" s="244"/>
      <c r="KBT124" s="244"/>
      <c r="KBU124" s="244"/>
      <c r="KBV124" s="244"/>
      <c r="KBW124" s="244"/>
      <c r="KBX124" s="244"/>
      <c r="KBY124" s="244"/>
      <c r="KBZ124" s="244"/>
      <c r="KCA124" s="244"/>
      <c r="KCB124" s="244"/>
      <c r="KCC124" s="244"/>
      <c r="KCD124" s="244"/>
      <c r="KCE124" s="244"/>
      <c r="KCF124" s="244"/>
      <c r="KCG124" s="244"/>
      <c r="KCH124" s="244"/>
      <c r="KCI124" s="244"/>
      <c r="KCJ124" s="244"/>
      <c r="KCK124" s="244"/>
      <c r="KCL124" s="244"/>
      <c r="KCM124" s="244"/>
      <c r="KCN124" s="244"/>
      <c r="KCO124" s="244"/>
      <c r="KCP124" s="244"/>
      <c r="KCQ124" s="244"/>
      <c r="KCR124" s="244"/>
      <c r="KCS124" s="244"/>
      <c r="KCT124" s="244"/>
      <c r="KCU124" s="244"/>
      <c r="KCV124" s="244"/>
      <c r="KCW124" s="244"/>
      <c r="KCX124" s="244"/>
      <c r="KCY124" s="244"/>
      <c r="KCZ124" s="244"/>
      <c r="KDA124" s="244"/>
      <c r="KDB124" s="244"/>
      <c r="KDC124" s="244"/>
      <c r="KDD124" s="244"/>
      <c r="KDE124" s="244"/>
      <c r="KDF124" s="244"/>
      <c r="KDG124" s="244"/>
      <c r="KDH124" s="244"/>
      <c r="KDI124" s="244"/>
      <c r="KDJ124" s="244"/>
      <c r="KDK124" s="244"/>
      <c r="KDL124" s="244"/>
      <c r="KDM124" s="244"/>
      <c r="KDN124" s="244"/>
      <c r="KDO124" s="244"/>
      <c r="KDP124" s="244"/>
      <c r="KDQ124" s="244"/>
      <c r="KDR124" s="244"/>
      <c r="KDS124" s="244"/>
      <c r="KDT124" s="244"/>
      <c r="KDU124" s="244"/>
      <c r="KDV124" s="244"/>
      <c r="KDW124" s="244"/>
      <c r="KDX124" s="244"/>
      <c r="KDY124" s="244"/>
      <c r="KDZ124" s="244"/>
      <c r="KEA124" s="244"/>
      <c r="KEB124" s="244"/>
      <c r="KEC124" s="244"/>
      <c r="KED124" s="244"/>
      <c r="KEE124" s="244"/>
      <c r="KEF124" s="244"/>
      <c r="KEG124" s="244"/>
      <c r="KEH124" s="244"/>
      <c r="KEI124" s="244"/>
      <c r="KEJ124" s="244"/>
      <c r="KEK124" s="244"/>
      <c r="KEL124" s="244"/>
      <c r="KEM124" s="244"/>
      <c r="KEN124" s="244"/>
      <c r="KEO124" s="244"/>
      <c r="KEP124" s="244"/>
      <c r="KEQ124" s="244"/>
      <c r="KER124" s="244"/>
      <c r="KES124" s="244"/>
      <c r="KET124" s="244"/>
      <c r="KEU124" s="244"/>
      <c r="KEV124" s="244"/>
      <c r="KEW124" s="244"/>
      <c r="KEX124" s="244"/>
      <c r="KEY124" s="244"/>
      <c r="KEZ124" s="244"/>
      <c r="KFA124" s="244"/>
      <c r="KFB124" s="244"/>
      <c r="KFC124" s="244"/>
      <c r="KFD124" s="244"/>
      <c r="KFE124" s="244"/>
      <c r="KFF124" s="244"/>
      <c r="KFG124" s="244"/>
      <c r="KFH124" s="244"/>
      <c r="KFI124" s="244"/>
      <c r="KFJ124" s="244"/>
      <c r="KFK124" s="244"/>
      <c r="KFL124" s="244"/>
      <c r="KFM124" s="244"/>
      <c r="KFN124" s="244"/>
      <c r="KFO124" s="244"/>
      <c r="KFP124" s="244"/>
      <c r="KFQ124" s="244"/>
      <c r="KFR124" s="244"/>
      <c r="KFS124" s="244"/>
      <c r="KFT124" s="244"/>
      <c r="KFU124" s="244"/>
      <c r="KFV124" s="244"/>
      <c r="KFW124" s="244"/>
      <c r="KFX124" s="244"/>
      <c r="KFY124" s="244"/>
      <c r="KFZ124" s="244"/>
      <c r="KGA124" s="244"/>
      <c r="KGB124" s="244"/>
      <c r="KGC124" s="244"/>
      <c r="KGD124" s="244"/>
      <c r="KGE124" s="244"/>
      <c r="KGF124" s="244"/>
      <c r="KGG124" s="244"/>
      <c r="KGH124" s="244"/>
      <c r="KGI124" s="244"/>
      <c r="KGJ124" s="244"/>
      <c r="KGK124" s="244"/>
      <c r="KGL124" s="244"/>
      <c r="KGM124" s="244"/>
      <c r="KGN124" s="244"/>
      <c r="KGO124" s="244"/>
      <c r="KGP124" s="244"/>
      <c r="KGQ124" s="244"/>
      <c r="KGR124" s="244"/>
      <c r="KGS124" s="244"/>
      <c r="KGT124" s="244"/>
      <c r="KGU124" s="244"/>
      <c r="KGV124" s="244"/>
      <c r="KGW124" s="244"/>
      <c r="KGX124" s="244"/>
      <c r="KGY124" s="244"/>
      <c r="KGZ124" s="244"/>
      <c r="KHA124" s="244"/>
      <c r="KHB124" s="244"/>
      <c r="KHC124" s="244"/>
      <c r="KHD124" s="244"/>
      <c r="KHE124" s="244"/>
      <c r="KHF124" s="244"/>
      <c r="KHG124" s="244"/>
      <c r="KHH124" s="244"/>
      <c r="KHI124" s="244"/>
      <c r="KHJ124" s="244"/>
      <c r="KHK124" s="244"/>
      <c r="KHL124" s="244"/>
      <c r="KHM124" s="244"/>
      <c r="KHN124" s="244"/>
      <c r="KHO124" s="244"/>
      <c r="KHP124" s="244"/>
      <c r="KHQ124" s="244"/>
      <c r="KHR124" s="244"/>
      <c r="KHS124" s="244"/>
      <c r="KHT124" s="244"/>
      <c r="KHU124" s="244"/>
      <c r="KHV124" s="244"/>
      <c r="KHW124" s="244"/>
      <c r="KHX124" s="244"/>
      <c r="KHY124" s="244"/>
      <c r="KHZ124" s="244"/>
      <c r="KIA124" s="244"/>
      <c r="KIB124" s="244"/>
      <c r="KIC124" s="244"/>
      <c r="KID124" s="244"/>
      <c r="KIE124" s="244"/>
      <c r="KIF124" s="244"/>
      <c r="KIG124" s="244"/>
      <c r="KIH124" s="244"/>
      <c r="KII124" s="244"/>
      <c r="KIJ124" s="244"/>
      <c r="KIK124" s="244"/>
      <c r="KIL124" s="244"/>
      <c r="KIM124" s="244"/>
      <c r="KIN124" s="244"/>
      <c r="KIO124" s="244"/>
      <c r="KIP124" s="244"/>
      <c r="KIQ124" s="244"/>
      <c r="KIR124" s="244"/>
      <c r="KIS124" s="244"/>
      <c r="KIT124" s="244"/>
      <c r="KIU124" s="244"/>
      <c r="KIV124" s="244"/>
      <c r="KIW124" s="244"/>
      <c r="KIX124" s="244"/>
      <c r="KIY124" s="244"/>
      <c r="KIZ124" s="244"/>
      <c r="KJA124" s="244"/>
      <c r="KJB124" s="244"/>
      <c r="KJC124" s="244"/>
      <c r="KJD124" s="244"/>
      <c r="KJE124" s="244"/>
      <c r="KJF124" s="244"/>
      <c r="KJG124" s="244"/>
      <c r="KJH124" s="244"/>
      <c r="KJI124" s="244"/>
      <c r="KJJ124" s="244"/>
      <c r="KJK124" s="244"/>
      <c r="KJL124" s="244"/>
      <c r="KJM124" s="244"/>
      <c r="KJN124" s="244"/>
      <c r="KJO124" s="244"/>
      <c r="KJP124" s="244"/>
      <c r="KJQ124" s="244"/>
      <c r="KJR124" s="244"/>
      <c r="KJS124" s="244"/>
      <c r="KJT124" s="244"/>
      <c r="KJU124" s="244"/>
      <c r="KJV124" s="244"/>
      <c r="KJW124" s="244"/>
      <c r="KJX124" s="244"/>
      <c r="KJY124" s="244"/>
      <c r="KJZ124" s="244"/>
      <c r="KKA124" s="244"/>
      <c r="KKB124" s="244"/>
      <c r="KKC124" s="244"/>
      <c r="KKD124" s="244"/>
      <c r="KKE124" s="244"/>
      <c r="KKF124" s="244"/>
      <c r="KKG124" s="244"/>
      <c r="KKH124" s="244"/>
      <c r="KKI124" s="244"/>
      <c r="KKJ124" s="244"/>
      <c r="KKK124" s="244"/>
      <c r="KKL124" s="244"/>
      <c r="KKM124" s="244"/>
      <c r="KKN124" s="244"/>
      <c r="KKO124" s="244"/>
      <c r="KKP124" s="244"/>
      <c r="KKQ124" s="244"/>
      <c r="KKR124" s="244"/>
      <c r="KKS124" s="244"/>
      <c r="KKT124" s="244"/>
      <c r="KKU124" s="244"/>
      <c r="KKV124" s="244"/>
      <c r="KKW124" s="244"/>
      <c r="KKX124" s="244"/>
      <c r="KKY124" s="244"/>
      <c r="KKZ124" s="244"/>
      <c r="KLA124" s="244"/>
      <c r="KLB124" s="244"/>
      <c r="KLC124" s="244"/>
      <c r="KLD124" s="244"/>
      <c r="KLE124" s="244"/>
      <c r="KLF124" s="244"/>
      <c r="KLG124" s="244"/>
      <c r="KLH124" s="244"/>
      <c r="KLI124" s="244"/>
      <c r="KLJ124" s="244"/>
      <c r="KLK124" s="244"/>
      <c r="KLL124" s="244"/>
      <c r="KLM124" s="244"/>
      <c r="KLN124" s="244"/>
      <c r="KLO124" s="244"/>
      <c r="KLP124" s="244"/>
      <c r="KLQ124" s="244"/>
      <c r="KLR124" s="244"/>
      <c r="KLS124" s="244"/>
      <c r="KLT124" s="244"/>
      <c r="KLU124" s="244"/>
      <c r="KLV124" s="244"/>
      <c r="KLW124" s="244"/>
      <c r="KLX124" s="244"/>
      <c r="KLY124" s="244"/>
      <c r="KLZ124" s="244"/>
      <c r="KMA124" s="244"/>
      <c r="KMB124" s="244"/>
      <c r="KMC124" s="244"/>
      <c r="KMD124" s="244"/>
      <c r="KME124" s="244"/>
      <c r="KMF124" s="244"/>
      <c r="KMG124" s="244"/>
      <c r="KMH124" s="244"/>
      <c r="KMI124" s="244"/>
      <c r="KMJ124" s="244"/>
      <c r="KMK124" s="244"/>
      <c r="KML124" s="244"/>
      <c r="KMM124" s="244"/>
      <c r="KMN124" s="244"/>
      <c r="KMO124" s="244"/>
      <c r="KMP124" s="244"/>
      <c r="KMQ124" s="244"/>
      <c r="KMR124" s="244"/>
      <c r="KMS124" s="244"/>
      <c r="KMT124" s="244"/>
      <c r="KMU124" s="244"/>
      <c r="KMV124" s="244"/>
      <c r="KMW124" s="244"/>
      <c r="KMX124" s="244"/>
      <c r="KMY124" s="244"/>
      <c r="KMZ124" s="244"/>
      <c r="KNA124" s="244"/>
      <c r="KNB124" s="244"/>
      <c r="KNC124" s="244"/>
      <c r="KND124" s="244"/>
      <c r="KNE124" s="244"/>
      <c r="KNF124" s="244"/>
      <c r="KNG124" s="244"/>
      <c r="KNH124" s="244"/>
      <c r="KNI124" s="244"/>
      <c r="KNJ124" s="244"/>
      <c r="KNK124" s="244"/>
      <c r="KNL124" s="244"/>
      <c r="KNM124" s="244"/>
      <c r="KNN124" s="244"/>
      <c r="KNO124" s="244"/>
      <c r="KNP124" s="244"/>
      <c r="KNQ124" s="244"/>
      <c r="KNR124" s="244"/>
      <c r="KNS124" s="244"/>
      <c r="KNT124" s="244"/>
      <c r="KNU124" s="244"/>
      <c r="KNV124" s="244"/>
      <c r="KNW124" s="244"/>
      <c r="KNX124" s="244"/>
      <c r="KNY124" s="244"/>
      <c r="KNZ124" s="244"/>
      <c r="KOA124" s="244"/>
      <c r="KOB124" s="244"/>
      <c r="KOC124" s="244"/>
      <c r="KOD124" s="244"/>
      <c r="KOE124" s="244"/>
      <c r="KOF124" s="244"/>
      <c r="KOG124" s="244"/>
      <c r="KOH124" s="244"/>
      <c r="KOI124" s="244"/>
      <c r="KOJ124" s="244"/>
      <c r="KOK124" s="244"/>
      <c r="KOL124" s="244"/>
      <c r="KOM124" s="244"/>
      <c r="KON124" s="244"/>
      <c r="KOO124" s="244"/>
      <c r="KOP124" s="244"/>
      <c r="KOQ124" s="244"/>
      <c r="KOR124" s="244"/>
      <c r="KOS124" s="244"/>
      <c r="KOT124" s="244"/>
      <c r="KOU124" s="244"/>
      <c r="KOV124" s="244"/>
      <c r="KOW124" s="244"/>
      <c r="KOX124" s="244"/>
      <c r="KOY124" s="244"/>
      <c r="KOZ124" s="244"/>
      <c r="KPA124" s="244"/>
      <c r="KPB124" s="244"/>
      <c r="KPC124" s="244"/>
      <c r="KPD124" s="244"/>
      <c r="KPE124" s="244"/>
      <c r="KPF124" s="244"/>
      <c r="KPG124" s="244"/>
      <c r="KPH124" s="244"/>
      <c r="KPI124" s="244"/>
      <c r="KPJ124" s="244"/>
      <c r="KPK124" s="244"/>
      <c r="KPL124" s="244"/>
      <c r="KPM124" s="244"/>
      <c r="KPN124" s="244"/>
      <c r="KPO124" s="244"/>
      <c r="KPP124" s="244"/>
      <c r="KPQ124" s="244"/>
      <c r="KPR124" s="244"/>
      <c r="KPS124" s="244"/>
      <c r="KPT124" s="244"/>
      <c r="KPU124" s="244"/>
      <c r="KPV124" s="244"/>
      <c r="KPW124" s="244"/>
      <c r="KPX124" s="244"/>
      <c r="KPY124" s="244"/>
      <c r="KPZ124" s="244"/>
      <c r="KQA124" s="244"/>
      <c r="KQB124" s="244"/>
      <c r="KQC124" s="244"/>
      <c r="KQD124" s="244"/>
      <c r="KQE124" s="244"/>
      <c r="KQF124" s="244"/>
      <c r="KQG124" s="244"/>
      <c r="KQH124" s="244"/>
      <c r="KQI124" s="244"/>
      <c r="KQJ124" s="244"/>
      <c r="KQK124" s="244"/>
      <c r="KQL124" s="244"/>
      <c r="KQM124" s="244"/>
      <c r="KQN124" s="244"/>
      <c r="KQO124" s="244"/>
      <c r="KQP124" s="244"/>
      <c r="KQQ124" s="244"/>
      <c r="KQR124" s="244"/>
      <c r="KQS124" s="244"/>
      <c r="KQT124" s="244"/>
      <c r="KQU124" s="244"/>
      <c r="KQV124" s="244"/>
      <c r="KQW124" s="244"/>
      <c r="KQX124" s="244"/>
      <c r="KQY124" s="244"/>
      <c r="KQZ124" s="244"/>
      <c r="KRA124" s="244"/>
      <c r="KRB124" s="244"/>
      <c r="KRC124" s="244"/>
      <c r="KRD124" s="244"/>
      <c r="KRE124" s="244"/>
      <c r="KRF124" s="244"/>
      <c r="KRG124" s="244"/>
      <c r="KRH124" s="244"/>
      <c r="KRI124" s="244"/>
      <c r="KRJ124" s="244"/>
      <c r="KRK124" s="244"/>
      <c r="KRL124" s="244"/>
      <c r="KRM124" s="244"/>
      <c r="KRN124" s="244"/>
      <c r="KRO124" s="244"/>
      <c r="KRP124" s="244"/>
      <c r="KRQ124" s="244"/>
      <c r="KRR124" s="244"/>
      <c r="KRS124" s="244"/>
      <c r="KRT124" s="244"/>
      <c r="KRU124" s="244"/>
      <c r="KRV124" s="244"/>
      <c r="KRW124" s="244"/>
      <c r="KRX124" s="244"/>
      <c r="KRY124" s="244"/>
      <c r="KRZ124" s="244"/>
      <c r="KSA124" s="244"/>
      <c r="KSB124" s="244"/>
      <c r="KSC124" s="244"/>
      <c r="KSD124" s="244"/>
      <c r="KSE124" s="244"/>
      <c r="KSF124" s="244"/>
      <c r="KSG124" s="244"/>
      <c r="KSH124" s="244"/>
      <c r="KSI124" s="244"/>
      <c r="KSJ124" s="244"/>
      <c r="KSK124" s="244"/>
      <c r="KSL124" s="244"/>
      <c r="KSM124" s="244"/>
      <c r="KSN124" s="244"/>
      <c r="KSO124" s="244"/>
      <c r="KSP124" s="244"/>
      <c r="KSQ124" s="244"/>
      <c r="KSR124" s="244"/>
      <c r="KSS124" s="244"/>
      <c r="KST124" s="244"/>
      <c r="KSU124" s="244"/>
      <c r="KSV124" s="244"/>
      <c r="KSW124" s="244"/>
      <c r="KSX124" s="244"/>
      <c r="KSY124" s="244"/>
      <c r="KSZ124" s="244"/>
      <c r="KTA124" s="244"/>
      <c r="KTB124" s="244"/>
      <c r="KTC124" s="244"/>
      <c r="KTD124" s="244"/>
      <c r="KTE124" s="244"/>
      <c r="KTF124" s="244"/>
      <c r="KTG124" s="244"/>
      <c r="KTH124" s="244"/>
      <c r="KTI124" s="244"/>
      <c r="KTJ124" s="244"/>
      <c r="KTK124" s="244"/>
      <c r="KTL124" s="244"/>
      <c r="KTM124" s="244"/>
      <c r="KTN124" s="244"/>
      <c r="KTO124" s="244"/>
      <c r="KTP124" s="244"/>
      <c r="KTQ124" s="244"/>
      <c r="KTR124" s="244"/>
      <c r="KTS124" s="244"/>
      <c r="KTT124" s="244"/>
      <c r="KTU124" s="244"/>
      <c r="KTV124" s="244"/>
      <c r="KTW124" s="244"/>
      <c r="KTX124" s="244"/>
      <c r="KTY124" s="244"/>
      <c r="KTZ124" s="244"/>
      <c r="KUA124" s="244"/>
      <c r="KUB124" s="244"/>
      <c r="KUC124" s="244"/>
      <c r="KUD124" s="244"/>
      <c r="KUE124" s="244"/>
      <c r="KUF124" s="244"/>
      <c r="KUG124" s="244"/>
      <c r="KUH124" s="244"/>
      <c r="KUI124" s="244"/>
      <c r="KUJ124" s="244"/>
      <c r="KUK124" s="244"/>
      <c r="KUL124" s="244"/>
      <c r="KUM124" s="244"/>
      <c r="KUN124" s="244"/>
      <c r="KUO124" s="244"/>
      <c r="KUP124" s="244"/>
      <c r="KUQ124" s="244"/>
      <c r="KUR124" s="244"/>
      <c r="KUS124" s="244"/>
      <c r="KUT124" s="244"/>
      <c r="KUU124" s="244"/>
      <c r="KUV124" s="244"/>
      <c r="KUW124" s="244"/>
      <c r="KUX124" s="244"/>
      <c r="KUY124" s="244"/>
      <c r="KUZ124" s="244"/>
      <c r="KVA124" s="244"/>
      <c r="KVB124" s="244"/>
      <c r="KVC124" s="244"/>
      <c r="KVD124" s="244"/>
      <c r="KVE124" s="244"/>
      <c r="KVF124" s="244"/>
      <c r="KVG124" s="244"/>
      <c r="KVH124" s="244"/>
      <c r="KVI124" s="244"/>
      <c r="KVJ124" s="244"/>
      <c r="KVK124" s="244"/>
      <c r="KVL124" s="244"/>
      <c r="KVM124" s="244"/>
      <c r="KVN124" s="244"/>
      <c r="KVO124" s="244"/>
      <c r="KVP124" s="244"/>
      <c r="KVQ124" s="244"/>
      <c r="KVR124" s="244"/>
      <c r="KVS124" s="244"/>
      <c r="KVT124" s="244"/>
      <c r="KVU124" s="244"/>
      <c r="KVV124" s="244"/>
      <c r="KVW124" s="244"/>
      <c r="KVX124" s="244"/>
      <c r="KVY124" s="244"/>
      <c r="KVZ124" s="244"/>
      <c r="KWA124" s="244"/>
      <c r="KWB124" s="244"/>
      <c r="KWC124" s="244"/>
      <c r="KWD124" s="244"/>
      <c r="KWE124" s="244"/>
      <c r="KWF124" s="244"/>
      <c r="KWG124" s="244"/>
      <c r="KWH124" s="244"/>
      <c r="KWI124" s="244"/>
      <c r="KWJ124" s="244"/>
      <c r="KWK124" s="244"/>
      <c r="KWL124" s="244"/>
      <c r="KWM124" s="244"/>
      <c r="KWN124" s="244"/>
      <c r="KWO124" s="244"/>
      <c r="KWP124" s="244"/>
      <c r="KWQ124" s="244"/>
      <c r="KWR124" s="244"/>
      <c r="KWS124" s="244"/>
      <c r="KWT124" s="244"/>
      <c r="KWU124" s="244"/>
      <c r="KWV124" s="244"/>
      <c r="KWW124" s="244"/>
      <c r="KWX124" s="244"/>
      <c r="KWY124" s="244"/>
      <c r="KWZ124" s="244"/>
      <c r="KXA124" s="244"/>
      <c r="KXB124" s="244"/>
      <c r="KXC124" s="244"/>
      <c r="KXD124" s="244"/>
      <c r="KXE124" s="244"/>
      <c r="KXF124" s="244"/>
      <c r="KXG124" s="244"/>
      <c r="KXH124" s="244"/>
      <c r="KXI124" s="244"/>
      <c r="KXJ124" s="244"/>
      <c r="KXK124" s="244"/>
      <c r="KXL124" s="244"/>
      <c r="KXM124" s="244"/>
      <c r="KXN124" s="244"/>
      <c r="KXO124" s="244"/>
      <c r="KXP124" s="244"/>
      <c r="KXQ124" s="244"/>
      <c r="KXR124" s="244"/>
      <c r="KXS124" s="244"/>
      <c r="KXT124" s="244"/>
      <c r="KXU124" s="244"/>
      <c r="KXV124" s="244"/>
      <c r="KXW124" s="244"/>
      <c r="KXX124" s="244"/>
      <c r="KXY124" s="244"/>
      <c r="KXZ124" s="244"/>
      <c r="KYA124" s="244"/>
      <c r="KYB124" s="244"/>
      <c r="KYC124" s="244"/>
      <c r="KYD124" s="244"/>
      <c r="KYE124" s="244"/>
      <c r="KYF124" s="244"/>
      <c r="KYG124" s="244"/>
      <c r="KYH124" s="244"/>
      <c r="KYI124" s="244"/>
      <c r="KYJ124" s="244"/>
      <c r="KYK124" s="244"/>
      <c r="KYL124" s="244"/>
      <c r="KYM124" s="244"/>
      <c r="KYN124" s="244"/>
      <c r="KYO124" s="244"/>
      <c r="KYP124" s="244"/>
      <c r="KYQ124" s="244"/>
      <c r="KYR124" s="244"/>
      <c r="KYS124" s="244"/>
      <c r="KYT124" s="244"/>
      <c r="KYU124" s="244"/>
      <c r="KYV124" s="244"/>
      <c r="KYW124" s="244"/>
      <c r="KYX124" s="244"/>
      <c r="KYY124" s="244"/>
      <c r="KYZ124" s="244"/>
      <c r="KZA124" s="244"/>
      <c r="KZB124" s="244"/>
      <c r="KZC124" s="244"/>
      <c r="KZD124" s="244"/>
      <c r="KZE124" s="244"/>
      <c r="KZF124" s="244"/>
      <c r="KZG124" s="244"/>
      <c r="KZH124" s="244"/>
      <c r="KZI124" s="244"/>
      <c r="KZJ124" s="244"/>
      <c r="KZK124" s="244"/>
      <c r="KZL124" s="244"/>
      <c r="KZM124" s="244"/>
      <c r="KZN124" s="244"/>
      <c r="KZO124" s="244"/>
      <c r="KZP124" s="244"/>
      <c r="KZQ124" s="244"/>
      <c r="KZR124" s="244"/>
      <c r="KZS124" s="244"/>
      <c r="KZT124" s="244"/>
      <c r="KZU124" s="244"/>
      <c r="KZV124" s="244"/>
      <c r="KZW124" s="244"/>
      <c r="KZX124" s="244"/>
      <c r="KZY124" s="244"/>
      <c r="KZZ124" s="244"/>
      <c r="LAA124" s="244"/>
      <c r="LAB124" s="244"/>
      <c r="LAC124" s="244"/>
      <c r="LAD124" s="244"/>
      <c r="LAE124" s="244"/>
      <c r="LAF124" s="244"/>
      <c r="LAG124" s="244"/>
      <c r="LAH124" s="244"/>
      <c r="LAI124" s="244"/>
      <c r="LAJ124" s="244"/>
      <c r="LAK124" s="244"/>
      <c r="LAL124" s="244"/>
      <c r="LAM124" s="244"/>
      <c r="LAN124" s="244"/>
      <c r="LAO124" s="244"/>
      <c r="LAP124" s="244"/>
      <c r="LAQ124" s="244"/>
      <c r="LAR124" s="244"/>
      <c r="LAS124" s="244"/>
      <c r="LAT124" s="244"/>
      <c r="LAU124" s="244"/>
      <c r="LAV124" s="244"/>
      <c r="LAW124" s="244"/>
      <c r="LAX124" s="244"/>
      <c r="LAY124" s="244"/>
      <c r="LAZ124" s="244"/>
      <c r="LBA124" s="244"/>
      <c r="LBB124" s="244"/>
      <c r="LBC124" s="244"/>
      <c r="LBD124" s="244"/>
      <c r="LBE124" s="244"/>
      <c r="LBF124" s="244"/>
      <c r="LBG124" s="244"/>
      <c r="LBH124" s="244"/>
      <c r="LBI124" s="244"/>
      <c r="LBJ124" s="244"/>
      <c r="LBK124" s="244"/>
      <c r="LBL124" s="244"/>
      <c r="LBM124" s="244"/>
      <c r="LBN124" s="244"/>
      <c r="LBO124" s="244"/>
      <c r="LBP124" s="244"/>
      <c r="LBQ124" s="244"/>
      <c r="LBR124" s="244"/>
      <c r="LBS124" s="244"/>
      <c r="LBT124" s="244"/>
      <c r="LBU124" s="244"/>
      <c r="LBV124" s="244"/>
      <c r="LBW124" s="244"/>
      <c r="LBX124" s="244"/>
      <c r="LBY124" s="244"/>
      <c r="LBZ124" s="244"/>
      <c r="LCA124" s="244"/>
      <c r="LCB124" s="244"/>
      <c r="LCC124" s="244"/>
      <c r="LCD124" s="244"/>
      <c r="LCE124" s="244"/>
      <c r="LCF124" s="244"/>
      <c r="LCG124" s="244"/>
      <c r="LCH124" s="244"/>
      <c r="LCI124" s="244"/>
      <c r="LCJ124" s="244"/>
      <c r="LCK124" s="244"/>
      <c r="LCL124" s="244"/>
      <c r="LCM124" s="244"/>
      <c r="LCN124" s="244"/>
      <c r="LCO124" s="244"/>
      <c r="LCP124" s="244"/>
      <c r="LCQ124" s="244"/>
      <c r="LCR124" s="244"/>
      <c r="LCS124" s="244"/>
      <c r="LCT124" s="244"/>
      <c r="LCU124" s="244"/>
      <c r="LCV124" s="244"/>
      <c r="LCW124" s="244"/>
      <c r="LCX124" s="244"/>
      <c r="LCY124" s="244"/>
      <c r="LCZ124" s="244"/>
      <c r="LDA124" s="244"/>
      <c r="LDB124" s="244"/>
      <c r="LDC124" s="244"/>
      <c r="LDD124" s="244"/>
      <c r="LDE124" s="244"/>
      <c r="LDF124" s="244"/>
      <c r="LDG124" s="244"/>
      <c r="LDH124" s="244"/>
      <c r="LDI124" s="244"/>
      <c r="LDJ124" s="244"/>
      <c r="LDK124" s="244"/>
      <c r="LDL124" s="244"/>
      <c r="LDM124" s="244"/>
      <c r="LDN124" s="244"/>
      <c r="LDO124" s="244"/>
      <c r="LDP124" s="244"/>
      <c r="LDQ124" s="244"/>
      <c r="LDR124" s="244"/>
      <c r="LDS124" s="244"/>
      <c r="LDT124" s="244"/>
      <c r="LDU124" s="244"/>
      <c r="LDV124" s="244"/>
      <c r="LDW124" s="244"/>
      <c r="LDX124" s="244"/>
      <c r="LDY124" s="244"/>
      <c r="LDZ124" s="244"/>
      <c r="LEA124" s="244"/>
      <c r="LEB124" s="244"/>
      <c r="LEC124" s="244"/>
      <c r="LED124" s="244"/>
      <c r="LEE124" s="244"/>
      <c r="LEF124" s="244"/>
      <c r="LEG124" s="244"/>
      <c r="LEH124" s="244"/>
      <c r="LEI124" s="244"/>
      <c r="LEJ124" s="244"/>
      <c r="LEK124" s="244"/>
      <c r="LEL124" s="244"/>
      <c r="LEM124" s="244"/>
      <c r="LEN124" s="244"/>
      <c r="LEO124" s="244"/>
      <c r="LEP124" s="244"/>
      <c r="LEQ124" s="244"/>
      <c r="LER124" s="244"/>
      <c r="LES124" s="244"/>
      <c r="LET124" s="244"/>
      <c r="LEU124" s="244"/>
      <c r="LEV124" s="244"/>
      <c r="LEW124" s="244"/>
      <c r="LEX124" s="244"/>
      <c r="LEY124" s="244"/>
      <c r="LEZ124" s="244"/>
      <c r="LFA124" s="244"/>
      <c r="LFB124" s="244"/>
      <c r="LFC124" s="244"/>
      <c r="LFD124" s="244"/>
      <c r="LFE124" s="244"/>
      <c r="LFF124" s="244"/>
      <c r="LFG124" s="244"/>
      <c r="LFH124" s="244"/>
      <c r="LFI124" s="244"/>
      <c r="LFJ124" s="244"/>
      <c r="LFK124" s="244"/>
      <c r="LFL124" s="244"/>
      <c r="LFM124" s="244"/>
      <c r="LFN124" s="244"/>
      <c r="LFO124" s="244"/>
      <c r="LFP124" s="244"/>
      <c r="LFQ124" s="244"/>
      <c r="LFR124" s="244"/>
      <c r="LFS124" s="244"/>
      <c r="LFT124" s="244"/>
      <c r="LFU124" s="244"/>
      <c r="LFV124" s="244"/>
      <c r="LFW124" s="244"/>
      <c r="LFX124" s="244"/>
      <c r="LFY124" s="244"/>
      <c r="LFZ124" s="244"/>
      <c r="LGA124" s="244"/>
      <c r="LGB124" s="244"/>
      <c r="LGC124" s="244"/>
      <c r="LGD124" s="244"/>
      <c r="LGE124" s="244"/>
      <c r="LGF124" s="244"/>
      <c r="LGG124" s="244"/>
      <c r="LGH124" s="244"/>
      <c r="LGI124" s="244"/>
      <c r="LGJ124" s="244"/>
      <c r="LGK124" s="244"/>
      <c r="LGL124" s="244"/>
      <c r="LGM124" s="244"/>
      <c r="LGN124" s="244"/>
      <c r="LGO124" s="244"/>
      <c r="LGP124" s="244"/>
      <c r="LGQ124" s="244"/>
      <c r="LGR124" s="244"/>
      <c r="LGS124" s="244"/>
      <c r="LGT124" s="244"/>
      <c r="LGU124" s="244"/>
      <c r="LGV124" s="244"/>
      <c r="LGW124" s="244"/>
      <c r="LGX124" s="244"/>
      <c r="LGY124" s="244"/>
      <c r="LGZ124" s="244"/>
      <c r="LHA124" s="244"/>
      <c r="LHB124" s="244"/>
      <c r="LHC124" s="244"/>
      <c r="LHD124" s="244"/>
      <c r="LHE124" s="244"/>
      <c r="LHF124" s="244"/>
      <c r="LHG124" s="244"/>
      <c r="LHH124" s="244"/>
      <c r="LHI124" s="244"/>
      <c r="LHJ124" s="244"/>
      <c r="LHK124" s="244"/>
      <c r="LHL124" s="244"/>
      <c r="LHM124" s="244"/>
      <c r="LHN124" s="244"/>
      <c r="LHO124" s="244"/>
      <c r="LHP124" s="244"/>
      <c r="LHQ124" s="244"/>
      <c r="LHR124" s="244"/>
      <c r="LHS124" s="244"/>
      <c r="LHT124" s="244"/>
      <c r="LHU124" s="244"/>
      <c r="LHV124" s="244"/>
      <c r="LHW124" s="244"/>
      <c r="LHX124" s="244"/>
      <c r="LHY124" s="244"/>
      <c r="LHZ124" s="244"/>
      <c r="LIA124" s="244"/>
      <c r="LIB124" s="244"/>
      <c r="LIC124" s="244"/>
      <c r="LID124" s="244"/>
      <c r="LIE124" s="244"/>
      <c r="LIF124" s="244"/>
      <c r="LIG124" s="244"/>
      <c r="LIH124" s="244"/>
      <c r="LII124" s="244"/>
      <c r="LIJ124" s="244"/>
      <c r="LIK124" s="244"/>
      <c r="LIL124" s="244"/>
      <c r="LIM124" s="244"/>
      <c r="LIN124" s="244"/>
      <c r="LIO124" s="244"/>
      <c r="LIP124" s="244"/>
      <c r="LIQ124" s="244"/>
      <c r="LIR124" s="244"/>
      <c r="LIS124" s="244"/>
      <c r="LIT124" s="244"/>
      <c r="LIU124" s="244"/>
      <c r="LIV124" s="244"/>
      <c r="LIW124" s="244"/>
      <c r="LIX124" s="244"/>
      <c r="LIY124" s="244"/>
      <c r="LIZ124" s="244"/>
      <c r="LJA124" s="244"/>
      <c r="LJB124" s="244"/>
      <c r="LJC124" s="244"/>
      <c r="LJD124" s="244"/>
      <c r="LJE124" s="244"/>
      <c r="LJF124" s="244"/>
      <c r="LJG124" s="244"/>
      <c r="LJH124" s="244"/>
      <c r="LJI124" s="244"/>
      <c r="LJJ124" s="244"/>
      <c r="LJK124" s="244"/>
      <c r="LJL124" s="244"/>
      <c r="LJM124" s="244"/>
      <c r="LJN124" s="244"/>
      <c r="LJO124" s="244"/>
      <c r="LJP124" s="244"/>
      <c r="LJQ124" s="244"/>
      <c r="LJR124" s="244"/>
      <c r="LJS124" s="244"/>
      <c r="LJT124" s="244"/>
      <c r="LJU124" s="244"/>
      <c r="LJV124" s="244"/>
      <c r="LJW124" s="244"/>
      <c r="LJX124" s="244"/>
      <c r="LJY124" s="244"/>
      <c r="LJZ124" s="244"/>
      <c r="LKA124" s="244"/>
      <c r="LKB124" s="244"/>
      <c r="LKC124" s="244"/>
      <c r="LKD124" s="244"/>
      <c r="LKE124" s="244"/>
      <c r="LKF124" s="244"/>
      <c r="LKG124" s="244"/>
      <c r="LKH124" s="244"/>
      <c r="LKI124" s="244"/>
      <c r="LKJ124" s="244"/>
      <c r="LKK124" s="244"/>
      <c r="LKL124" s="244"/>
      <c r="LKM124" s="244"/>
      <c r="LKN124" s="244"/>
      <c r="LKO124" s="244"/>
      <c r="LKP124" s="244"/>
      <c r="LKQ124" s="244"/>
      <c r="LKR124" s="244"/>
      <c r="LKS124" s="244"/>
      <c r="LKT124" s="244"/>
      <c r="LKU124" s="244"/>
      <c r="LKV124" s="244"/>
      <c r="LKW124" s="244"/>
      <c r="LKX124" s="244"/>
      <c r="LKY124" s="244"/>
      <c r="LKZ124" s="244"/>
      <c r="LLA124" s="244"/>
      <c r="LLB124" s="244"/>
      <c r="LLC124" s="244"/>
      <c r="LLD124" s="244"/>
      <c r="LLE124" s="244"/>
      <c r="LLF124" s="244"/>
      <c r="LLG124" s="244"/>
      <c r="LLH124" s="244"/>
      <c r="LLI124" s="244"/>
      <c r="LLJ124" s="244"/>
      <c r="LLK124" s="244"/>
      <c r="LLL124" s="244"/>
      <c r="LLM124" s="244"/>
      <c r="LLN124" s="244"/>
      <c r="LLO124" s="244"/>
      <c r="LLP124" s="244"/>
      <c r="LLQ124" s="244"/>
      <c r="LLR124" s="244"/>
      <c r="LLS124" s="244"/>
      <c r="LLT124" s="244"/>
      <c r="LLU124" s="244"/>
      <c r="LLV124" s="244"/>
      <c r="LLW124" s="244"/>
      <c r="LLX124" s="244"/>
      <c r="LLY124" s="244"/>
      <c r="LLZ124" s="244"/>
      <c r="LMA124" s="244"/>
      <c r="LMB124" s="244"/>
      <c r="LMC124" s="244"/>
      <c r="LMD124" s="244"/>
      <c r="LME124" s="244"/>
      <c r="LMF124" s="244"/>
      <c r="LMG124" s="244"/>
      <c r="LMH124" s="244"/>
      <c r="LMI124" s="244"/>
      <c r="LMJ124" s="244"/>
      <c r="LMK124" s="244"/>
      <c r="LML124" s="244"/>
      <c r="LMM124" s="244"/>
      <c r="LMN124" s="244"/>
      <c r="LMO124" s="244"/>
      <c r="LMP124" s="244"/>
      <c r="LMQ124" s="244"/>
      <c r="LMR124" s="244"/>
      <c r="LMS124" s="244"/>
      <c r="LMT124" s="244"/>
      <c r="LMU124" s="244"/>
      <c r="LMV124" s="244"/>
      <c r="LMW124" s="244"/>
      <c r="LMX124" s="244"/>
      <c r="LMY124" s="244"/>
      <c r="LMZ124" s="244"/>
      <c r="LNA124" s="244"/>
      <c r="LNB124" s="244"/>
      <c r="LNC124" s="244"/>
      <c r="LND124" s="244"/>
      <c r="LNE124" s="244"/>
      <c r="LNF124" s="244"/>
      <c r="LNG124" s="244"/>
      <c r="LNH124" s="244"/>
      <c r="LNI124" s="244"/>
      <c r="LNJ124" s="244"/>
      <c r="LNK124" s="244"/>
      <c r="LNL124" s="244"/>
      <c r="LNM124" s="244"/>
      <c r="LNN124" s="244"/>
      <c r="LNO124" s="244"/>
      <c r="LNP124" s="244"/>
      <c r="LNQ124" s="244"/>
      <c r="LNR124" s="244"/>
      <c r="LNS124" s="244"/>
      <c r="LNT124" s="244"/>
      <c r="LNU124" s="244"/>
      <c r="LNV124" s="244"/>
      <c r="LNW124" s="244"/>
      <c r="LNX124" s="244"/>
      <c r="LNY124" s="244"/>
      <c r="LNZ124" s="244"/>
      <c r="LOA124" s="244"/>
      <c r="LOB124" s="244"/>
      <c r="LOC124" s="244"/>
      <c r="LOD124" s="244"/>
      <c r="LOE124" s="244"/>
      <c r="LOF124" s="244"/>
      <c r="LOG124" s="244"/>
      <c r="LOH124" s="244"/>
      <c r="LOI124" s="244"/>
      <c r="LOJ124" s="244"/>
      <c r="LOK124" s="244"/>
      <c r="LOL124" s="244"/>
      <c r="LOM124" s="244"/>
      <c r="LON124" s="244"/>
      <c r="LOO124" s="244"/>
      <c r="LOP124" s="244"/>
      <c r="LOQ124" s="244"/>
      <c r="LOR124" s="244"/>
      <c r="LOS124" s="244"/>
      <c r="LOT124" s="244"/>
      <c r="LOU124" s="244"/>
      <c r="LOV124" s="244"/>
      <c r="LOW124" s="244"/>
      <c r="LOX124" s="244"/>
      <c r="LOY124" s="244"/>
      <c r="LOZ124" s="244"/>
      <c r="LPA124" s="244"/>
      <c r="LPB124" s="244"/>
      <c r="LPC124" s="244"/>
      <c r="LPD124" s="244"/>
      <c r="LPE124" s="244"/>
      <c r="LPF124" s="244"/>
      <c r="LPG124" s="244"/>
      <c r="LPH124" s="244"/>
      <c r="LPI124" s="244"/>
      <c r="LPJ124" s="244"/>
      <c r="LPK124" s="244"/>
      <c r="LPL124" s="244"/>
      <c r="LPM124" s="244"/>
      <c r="LPN124" s="244"/>
      <c r="LPO124" s="244"/>
      <c r="LPP124" s="244"/>
      <c r="LPQ124" s="244"/>
      <c r="LPR124" s="244"/>
      <c r="LPS124" s="244"/>
      <c r="LPT124" s="244"/>
      <c r="LPU124" s="244"/>
      <c r="LPV124" s="244"/>
      <c r="LPW124" s="244"/>
      <c r="LPX124" s="244"/>
      <c r="LPY124" s="244"/>
      <c r="LPZ124" s="244"/>
      <c r="LQA124" s="244"/>
      <c r="LQB124" s="244"/>
      <c r="LQC124" s="244"/>
      <c r="LQD124" s="244"/>
      <c r="LQE124" s="244"/>
      <c r="LQF124" s="244"/>
      <c r="LQG124" s="244"/>
      <c r="LQH124" s="244"/>
      <c r="LQI124" s="244"/>
      <c r="LQJ124" s="244"/>
      <c r="LQK124" s="244"/>
      <c r="LQL124" s="244"/>
      <c r="LQM124" s="244"/>
      <c r="LQN124" s="244"/>
      <c r="LQO124" s="244"/>
      <c r="LQP124" s="244"/>
      <c r="LQQ124" s="244"/>
      <c r="LQR124" s="244"/>
      <c r="LQS124" s="244"/>
      <c r="LQT124" s="244"/>
      <c r="LQU124" s="244"/>
      <c r="LQV124" s="244"/>
      <c r="LQW124" s="244"/>
      <c r="LQX124" s="244"/>
      <c r="LQY124" s="244"/>
      <c r="LQZ124" s="244"/>
      <c r="LRA124" s="244"/>
      <c r="LRB124" s="244"/>
      <c r="LRC124" s="244"/>
      <c r="LRD124" s="244"/>
      <c r="LRE124" s="244"/>
      <c r="LRF124" s="244"/>
      <c r="LRG124" s="244"/>
      <c r="LRH124" s="244"/>
      <c r="LRI124" s="244"/>
      <c r="LRJ124" s="244"/>
      <c r="LRK124" s="244"/>
      <c r="LRL124" s="244"/>
      <c r="LRM124" s="244"/>
      <c r="LRN124" s="244"/>
      <c r="LRO124" s="244"/>
      <c r="LRP124" s="244"/>
      <c r="LRQ124" s="244"/>
      <c r="LRR124" s="244"/>
      <c r="LRS124" s="244"/>
      <c r="LRT124" s="244"/>
      <c r="LRU124" s="244"/>
      <c r="LRV124" s="244"/>
      <c r="LRW124" s="244"/>
      <c r="LRX124" s="244"/>
      <c r="LRY124" s="244"/>
      <c r="LRZ124" s="244"/>
      <c r="LSA124" s="244"/>
      <c r="LSB124" s="244"/>
      <c r="LSC124" s="244"/>
      <c r="LSD124" s="244"/>
      <c r="LSE124" s="244"/>
      <c r="LSF124" s="244"/>
      <c r="LSG124" s="244"/>
      <c r="LSH124" s="244"/>
      <c r="LSI124" s="244"/>
      <c r="LSJ124" s="244"/>
      <c r="LSK124" s="244"/>
      <c r="LSL124" s="244"/>
      <c r="LSM124" s="244"/>
      <c r="LSN124" s="244"/>
      <c r="LSO124" s="244"/>
      <c r="LSP124" s="244"/>
      <c r="LSQ124" s="244"/>
      <c r="LSR124" s="244"/>
      <c r="LSS124" s="244"/>
      <c r="LST124" s="244"/>
      <c r="LSU124" s="244"/>
      <c r="LSV124" s="244"/>
      <c r="LSW124" s="244"/>
      <c r="LSX124" s="244"/>
      <c r="LSY124" s="244"/>
      <c r="LSZ124" s="244"/>
      <c r="LTA124" s="244"/>
      <c r="LTB124" s="244"/>
      <c r="LTC124" s="244"/>
      <c r="LTD124" s="244"/>
      <c r="LTE124" s="244"/>
      <c r="LTF124" s="244"/>
      <c r="LTG124" s="244"/>
      <c r="LTH124" s="244"/>
      <c r="LTI124" s="244"/>
      <c r="LTJ124" s="244"/>
      <c r="LTK124" s="244"/>
      <c r="LTL124" s="244"/>
      <c r="LTM124" s="244"/>
      <c r="LTN124" s="244"/>
      <c r="LTO124" s="244"/>
      <c r="LTP124" s="244"/>
      <c r="LTQ124" s="244"/>
      <c r="LTR124" s="244"/>
      <c r="LTS124" s="244"/>
      <c r="LTT124" s="244"/>
      <c r="LTU124" s="244"/>
      <c r="LTV124" s="244"/>
      <c r="LTW124" s="244"/>
      <c r="LTX124" s="244"/>
      <c r="LTY124" s="244"/>
      <c r="LTZ124" s="244"/>
      <c r="LUA124" s="244"/>
      <c r="LUB124" s="244"/>
      <c r="LUC124" s="244"/>
      <c r="LUD124" s="244"/>
      <c r="LUE124" s="244"/>
      <c r="LUF124" s="244"/>
      <c r="LUG124" s="244"/>
      <c r="LUH124" s="244"/>
      <c r="LUI124" s="244"/>
      <c r="LUJ124" s="244"/>
      <c r="LUK124" s="244"/>
      <c r="LUL124" s="244"/>
      <c r="LUM124" s="244"/>
      <c r="LUN124" s="244"/>
      <c r="LUO124" s="244"/>
      <c r="LUP124" s="244"/>
      <c r="LUQ124" s="244"/>
      <c r="LUR124" s="244"/>
      <c r="LUS124" s="244"/>
      <c r="LUT124" s="244"/>
      <c r="LUU124" s="244"/>
      <c r="LUV124" s="244"/>
      <c r="LUW124" s="244"/>
      <c r="LUX124" s="244"/>
      <c r="LUY124" s="244"/>
      <c r="LUZ124" s="244"/>
      <c r="LVA124" s="244"/>
      <c r="LVB124" s="244"/>
      <c r="LVC124" s="244"/>
      <c r="LVD124" s="244"/>
      <c r="LVE124" s="244"/>
      <c r="LVF124" s="244"/>
      <c r="LVG124" s="244"/>
      <c r="LVH124" s="244"/>
      <c r="LVI124" s="244"/>
      <c r="LVJ124" s="244"/>
      <c r="LVK124" s="244"/>
      <c r="LVL124" s="244"/>
      <c r="LVM124" s="244"/>
      <c r="LVN124" s="244"/>
      <c r="LVO124" s="244"/>
      <c r="LVP124" s="244"/>
      <c r="LVQ124" s="244"/>
      <c r="LVR124" s="244"/>
      <c r="LVS124" s="244"/>
      <c r="LVT124" s="244"/>
      <c r="LVU124" s="244"/>
      <c r="LVV124" s="244"/>
      <c r="LVW124" s="244"/>
      <c r="LVX124" s="244"/>
      <c r="LVY124" s="244"/>
      <c r="LVZ124" s="244"/>
      <c r="LWA124" s="244"/>
      <c r="LWB124" s="244"/>
      <c r="LWC124" s="244"/>
      <c r="LWD124" s="244"/>
      <c r="LWE124" s="244"/>
      <c r="LWF124" s="244"/>
      <c r="LWG124" s="244"/>
      <c r="LWH124" s="244"/>
      <c r="LWI124" s="244"/>
      <c r="LWJ124" s="244"/>
      <c r="LWK124" s="244"/>
      <c r="LWL124" s="244"/>
      <c r="LWM124" s="244"/>
      <c r="LWN124" s="244"/>
      <c r="LWO124" s="244"/>
      <c r="LWP124" s="244"/>
      <c r="LWQ124" s="244"/>
      <c r="LWR124" s="244"/>
      <c r="LWS124" s="244"/>
      <c r="LWT124" s="244"/>
      <c r="LWU124" s="244"/>
      <c r="LWV124" s="244"/>
      <c r="LWW124" s="244"/>
      <c r="LWX124" s="244"/>
      <c r="LWY124" s="244"/>
      <c r="LWZ124" s="244"/>
      <c r="LXA124" s="244"/>
      <c r="LXB124" s="244"/>
      <c r="LXC124" s="244"/>
      <c r="LXD124" s="244"/>
      <c r="LXE124" s="244"/>
      <c r="LXF124" s="244"/>
      <c r="LXG124" s="244"/>
      <c r="LXH124" s="244"/>
      <c r="LXI124" s="244"/>
      <c r="LXJ124" s="244"/>
      <c r="LXK124" s="244"/>
      <c r="LXL124" s="244"/>
      <c r="LXM124" s="244"/>
      <c r="LXN124" s="244"/>
      <c r="LXO124" s="244"/>
      <c r="LXP124" s="244"/>
      <c r="LXQ124" s="244"/>
      <c r="LXR124" s="244"/>
      <c r="LXS124" s="244"/>
      <c r="LXT124" s="244"/>
      <c r="LXU124" s="244"/>
      <c r="LXV124" s="244"/>
      <c r="LXW124" s="244"/>
      <c r="LXX124" s="244"/>
      <c r="LXY124" s="244"/>
      <c r="LXZ124" s="244"/>
      <c r="LYA124" s="244"/>
      <c r="LYB124" s="244"/>
      <c r="LYC124" s="244"/>
      <c r="LYD124" s="244"/>
      <c r="LYE124" s="244"/>
      <c r="LYF124" s="244"/>
      <c r="LYG124" s="244"/>
      <c r="LYH124" s="244"/>
      <c r="LYI124" s="244"/>
      <c r="LYJ124" s="244"/>
      <c r="LYK124" s="244"/>
      <c r="LYL124" s="244"/>
      <c r="LYM124" s="244"/>
      <c r="LYN124" s="244"/>
      <c r="LYO124" s="244"/>
      <c r="LYP124" s="244"/>
      <c r="LYQ124" s="244"/>
      <c r="LYR124" s="244"/>
      <c r="LYS124" s="244"/>
      <c r="LYT124" s="244"/>
      <c r="LYU124" s="244"/>
      <c r="LYV124" s="244"/>
      <c r="LYW124" s="244"/>
      <c r="LYX124" s="244"/>
      <c r="LYY124" s="244"/>
      <c r="LYZ124" s="244"/>
      <c r="LZA124" s="244"/>
      <c r="LZB124" s="244"/>
      <c r="LZC124" s="244"/>
      <c r="LZD124" s="244"/>
      <c r="LZE124" s="244"/>
      <c r="LZF124" s="244"/>
      <c r="LZG124" s="244"/>
      <c r="LZH124" s="244"/>
      <c r="LZI124" s="244"/>
      <c r="LZJ124" s="244"/>
      <c r="LZK124" s="244"/>
      <c r="LZL124" s="244"/>
      <c r="LZM124" s="244"/>
      <c r="LZN124" s="244"/>
      <c r="LZO124" s="244"/>
      <c r="LZP124" s="244"/>
      <c r="LZQ124" s="244"/>
      <c r="LZR124" s="244"/>
      <c r="LZS124" s="244"/>
      <c r="LZT124" s="244"/>
      <c r="LZU124" s="244"/>
      <c r="LZV124" s="244"/>
      <c r="LZW124" s="244"/>
      <c r="LZX124" s="244"/>
      <c r="LZY124" s="244"/>
      <c r="LZZ124" s="244"/>
      <c r="MAA124" s="244"/>
      <c r="MAB124" s="244"/>
      <c r="MAC124" s="244"/>
      <c r="MAD124" s="244"/>
      <c r="MAE124" s="244"/>
      <c r="MAF124" s="244"/>
      <c r="MAG124" s="244"/>
      <c r="MAH124" s="244"/>
      <c r="MAI124" s="244"/>
      <c r="MAJ124" s="244"/>
      <c r="MAK124" s="244"/>
      <c r="MAL124" s="244"/>
      <c r="MAM124" s="244"/>
      <c r="MAN124" s="244"/>
      <c r="MAO124" s="244"/>
      <c r="MAP124" s="244"/>
      <c r="MAQ124" s="244"/>
      <c r="MAR124" s="244"/>
      <c r="MAS124" s="244"/>
      <c r="MAT124" s="244"/>
      <c r="MAU124" s="244"/>
      <c r="MAV124" s="244"/>
      <c r="MAW124" s="244"/>
      <c r="MAX124" s="244"/>
      <c r="MAY124" s="244"/>
      <c r="MAZ124" s="244"/>
      <c r="MBA124" s="244"/>
      <c r="MBB124" s="244"/>
      <c r="MBC124" s="244"/>
      <c r="MBD124" s="244"/>
      <c r="MBE124" s="244"/>
      <c r="MBF124" s="244"/>
      <c r="MBG124" s="244"/>
      <c r="MBH124" s="244"/>
      <c r="MBI124" s="244"/>
      <c r="MBJ124" s="244"/>
      <c r="MBK124" s="244"/>
      <c r="MBL124" s="244"/>
      <c r="MBM124" s="244"/>
      <c r="MBN124" s="244"/>
      <c r="MBO124" s="244"/>
      <c r="MBP124" s="244"/>
      <c r="MBQ124" s="244"/>
      <c r="MBR124" s="244"/>
      <c r="MBS124" s="244"/>
      <c r="MBT124" s="244"/>
      <c r="MBU124" s="244"/>
      <c r="MBV124" s="244"/>
      <c r="MBW124" s="244"/>
      <c r="MBX124" s="244"/>
      <c r="MBY124" s="244"/>
      <c r="MBZ124" s="244"/>
      <c r="MCA124" s="244"/>
      <c r="MCB124" s="244"/>
      <c r="MCC124" s="244"/>
      <c r="MCD124" s="244"/>
      <c r="MCE124" s="244"/>
      <c r="MCF124" s="244"/>
      <c r="MCG124" s="244"/>
      <c r="MCH124" s="244"/>
      <c r="MCI124" s="244"/>
      <c r="MCJ124" s="244"/>
      <c r="MCK124" s="244"/>
      <c r="MCL124" s="244"/>
      <c r="MCM124" s="244"/>
      <c r="MCN124" s="244"/>
      <c r="MCO124" s="244"/>
      <c r="MCP124" s="244"/>
      <c r="MCQ124" s="244"/>
      <c r="MCR124" s="244"/>
      <c r="MCS124" s="244"/>
      <c r="MCT124" s="244"/>
      <c r="MCU124" s="244"/>
      <c r="MCV124" s="244"/>
      <c r="MCW124" s="244"/>
      <c r="MCX124" s="244"/>
      <c r="MCY124" s="244"/>
      <c r="MCZ124" s="244"/>
      <c r="MDA124" s="244"/>
      <c r="MDB124" s="244"/>
      <c r="MDC124" s="244"/>
      <c r="MDD124" s="244"/>
      <c r="MDE124" s="244"/>
      <c r="MDF124" s="244"/>
      <c r="MDG124" s="244"/>
      <c r="MDH124" s="244"/>
      <c r="MDI124" s="244"/>
      <c r="MDJ124" s="244"/>
      <c r="MDK124" s="244"/>
      <c r="MDL124" s="244"/>
      <c r="MDM124" s="244"/>
      <c r="MDN124" s="244"/>
      <c r="MDO124" s="244"/>
      <c r="MDP124" s="244"/>
      <c r="MDQ124" s="244"/>
      <c r="MDR124" s="244"/>
      <c r="MDS124" s="244"/>
      <c r="MDT124" s="244"/>
      <c r="MDU124" s="244"/>
      <c r="MDV124" s="244"/>
      <c r="MDW124" s="244"/>
      <c r="MDX124" s="244"/>
      <c r="MDY124" s="244"/>
      <c r="MDZ124" s="244"/>
      <c r="MEA124" s="244"/>
      <c r="MEB124" s="244"/>
      <c r="MEC124" s="244"/>
      <c r="MED124" s="244"/>
      <c r="MEE124" s="244"/>
      <c r="MEF124" s="244"/>
      <c r="MEG124" s="244"/>
      <c r="MEH124" s="244"/>
      <c r="MEI124" s="244"/>
      <c r="MEJ124" s="244"/>
      <c r="MEK124" s="244"/>
      <c r="MEL124" s="244"/>
      <c r="MEM124" s="244"/>
      <c r="MEN124" s="244"/>
      <c r="MEO124" s="244"/>
      <c r="MEP124" s="244"/>
      <c r="MEQ124" s="244"/>
      <c r="MER124" s="244"/>
      <c r="MES124" s="244"/>
      <c r="MET124" s="244"/>
      <c r="MEU124" s="244"/>
      <c r="MEV124" s="244"/>
      <c r="MEW124" s="244"/>
      <c r="MEX124" s="244"/>
      <c r="MEY124" s="244"/>
      <c r="MEZ124" s="244"/>
      <c r="MFA124" s="244"/>
      <c r="MFB124" s="244"/>
      <c r="MFC124" s="244"/>
      <c r="MFD124" s="244"/>
      <c r="MFE124" s="244"/>
      <c r="MFF124" s="244"/>
      <c r="MFG124" s="244"/>
      <c r="MFH124" s="244"/>
      <c r="MFI124" s="244"/>
      <c r="MFJ124" s="244"/>
      <c r="MFK124" s="244"/>
      <c r="MFL124" s="244"/>
      <c r="MFM124" s="244"/>
      <c r="MFN124" s="244"/>
      <c r="MFO124" s="244"/>
      <c r="MFP124" s="244"/>
      <c r="MFQ124" s="244"/>
      <c r="MFR124" s="244"/>
      <c r="MFS124" s="244"/>
      <c r="MFT124" s="244"/>
      <c r="MFU124" s="244"/>
      <c r="MFV124" s="244"/>
      <c r="MFW124" s="244"/>
      <c r="MFX124" s="244"/>
      <c r="MFY124" s="244"/>
      <c r="MFZ124" s="244"/>
      <c r="MGA124" s="244"/>
      <c r="MGB124" s="244"/>
      <c r="MGC124" s="244"/>
      <c r="MGD124" s="244"/>
      <c r="MGE124" s="244"/>
      <c r="MGF124" s="244"/>
      <c r="MGG124" s="244"/>
      <c r="MGH124" s="244"/>
      <c r="MGI124" s="244"/>
      <c r="MGJ124" s="244"/>
      <c r="MGK124" s="244"/>
      <c r="MGL124" s="244"/>
      <c r="MGM124" s="244"/>
      <c r="MGN124" s="244"/>
      <c r="MGO124" s="244"/>
      <c r="MGP124" s="244"/>
      <c r="MGQ124" s="244"/>
      <c r="MGR124" s="244"/>
      <c r="MGS124" s="244"/>
      <c r="MGT124" s="244"/>
      <c r="MGU124" s="244"/>
      <c r="MGV124" s="244"/>
      <c r="MGW124" s="244"/>
      <c r="MGX124" s="244"/>
      <c r="MGY124" s="244"/>
      <c r="MGZ124" s="244"/>
      <c r="MHA124" s="244"/>
      <c r="MHB124" s="244"/>
      <c r="MHC124" s="244"/>
      <c r="MHD124" s="244"/>
      <c r="MHE124" s="244"/>
      <c r="MHF124" s="244"/>
      <c r="MHG124" s="244"/>
      <c r="MHH124" s="244"/>
      <c r="MHI124" s="244"/>
      <c r="MHJ124" s="244"/>
      <c r="MHK124" s="244"/>
      <c r="MHL124" s="244"/>
      <c r="MHM124" s="244"/>
      <c r="MHN124" s="244"/>
      <c r="MHO124" s="244"/>
      <c r="MHP124" s="244"/>
      <c r="MHQ124" s="244"/>
      <c r="MHR124" s="244"/>
      <c r="MHS124" s="244"/>
      <c r="MHT124" s="244"/>
      <c r="MHU124" s="244"/>
      <c r="MHV124" s="244"/>
      <c r="MHW124" s="244"/>
      <c r="MHX124" s="244"/>
      <c r="MHY124" s="244"/>
      <c r="MHZ124" s="244"/>
      <c r="MIA124" s="244"/>
      <c r="MIB124" s="244"/>
      <c r="MIC124" s="244"/>
      <c r="MID124" s="244"/>
      <c r="MIE124" s="244"/>
      <c r="MIF124" s="244"/>
      <c r="MIG124" s="244"/>
      <c r="MIH124" s="244"/>
      <c r="MII124" s="244"/>
      <c r="MIJ124" s="244"/>
      <c r="MIK124" s="244"/>
      <c r="MIL124" s="244"/>
      <c r="MIM124" s="244"/>
      <c r="MIN124" s="244"/>
      <c r="MIO124" s="244"/>
      <c r="MIP124" s="244"/>
      <c r="MIQ124" s="244"/>
      <c r="MIR124" s="244"/>
      <c r="MIS124" s="244"/>
      <c r="MIT124" s="244"/>
      <c r="MIU124" s="244"/>
      <c r="MIV124" s="244"/>
      <c r="MIW124" s="244"/>
      <c r="MIX124" s="244"/>
      <c r="MIY124" s="244"/>
      <c r="MIZ124" s="244"/>
      <c r="MJA124" s="244"/>
      <c r="MJB124" s="244"/>
      <c r="MJC124" s="244"/>
      <c r="MJD124" s="244"/>
      <c r="MJE124" s="244"/>
      <c r="MJF124" s="244"/>
      <c r="MJG124" s="244"/>
      <c r="MJH124" s="244"/>
      <c r="MJI124" s="244"/>
      <c r="MJJ124" s="244"/>
      <c r="MJK124" s="244"/>
      <c r="MJL124" s="244"/>
      <c r="MJM124" s="244"/>
      <c r="MJN124" s="244"/>
      <c r="MJO124" s="244"/>
      <c r="MJP124" s="244"/>
      <c r="MJQ124" s="244"/>
      <c r="MJR124" s="244"/>
      <c r="MJS124" s="244"/>
      <c r="MJT124" s="244"/>
      <c r="MJU124" s="244"/>
      <c r="MJV124" s="244"/>
      <c r="MJW124" s="244"/>
      <c r="MJX124" s="244"/>
      <c r="MJY124" s="244"/>
      <c r="MJZ124" s="244"/>
      <c r="MKA124" s="244"/>
      <c r="MKB124" s="244"/>
      <c r="MKC124" s="244"/>
      <c r="MKD124" s="244"/>
      <c r="MKE124" s="244"/>
      <c r="MKF124" s="244"/>
      <c r="MKG124" s="244"/>
      <c r="MKH124" s="244"/>
      <c r="MKI124" s="244"/>
      <c r="MKJ124" s="244"/>
      <c r="MKK124" s="244"/>
      <c r="MKL124" s="244"/>
      <c r="MKM124" s="244"/>
      <c r="MKN124" s="244"/>
      <c r="MKO124" s="244"/>
      <c r="MKP124" s="244"/>
      <c r="MKQ124" s="244"/>
      <c r="MKR124" s="244"/>
      <c r="MKS124" s="244"/>
      <c r="MKT124" s="244"/>
      <c r="MKU124" s="244"/>
      <c r="MKV124" s="244"/>
      <c r="MKW124" s="244"/>
      <c r="MKX124" s="244"/>
      <c r="MKY124" s="244"/>
      <c r="MKZ124" s="244"/>
      <c r="MLA124" s="244"/>
      <c r="MLB124" s="244"/>
      <c r="MLC124" s="244"/>
      <c r="MLD124" s="244"/>
      <c r="MLE124" s="244"/>
      <c r="MLF124" s="244"/>
      <c r="MLG124" s="244"/>
      <c r="MLH124" s="244"/>
      <c r="MLI124" s="244"/>
      <c r="MLJ124" s="244"/>
      <c r="MLK124" s="244"/>
      <c r="MLL124" s="244"/>
      <c r="MLM124" s="244"/>
      <c r="MLN124" s="244"/>
      <c r="MLO124" s="244"/>
      <c r="MLP124" s="244"/>
      <c r="MLQ124" s="244"/>
      <c r="MLR124" s="244"/>
      <c r="MLS124" s="244"/>
      <c r="MLT124" s="244"/>
      <c r="MLU124" s="244"/>
      <c r="MLV124" s="244"/>
      <c r="MLW124" s="244"/>
      <c r="MLX124" s="244"/>
      <c r="MLY124" s="244"/>
      <c r="MLZ124" s="244"/>
      <c r="MMA124" s="244"/>
      <c r="MMB124" s="244"/>
      <c r="MMC124" s="244"/>
      <c r="MMD124" s="244"/>
      <c r="MME124" s="244"/>
      <c r="MMF124" s="244"/>
      <c r="MMG124" s="244"/>
      <c r="MMH124" s="244"/>
      <c r="MMI124" s="244"/>
      <c r="MMJ124" s="244"/>
      <c r="MMK124" s="244"/>
      <c r="MML124" s="244"/>
      <c r="MMM124" s="244"/>
      <c r="MMN124" s="244"/>
      <c r="MMO124" s="244"/>
      <c r="MMP124" s="244"/>
      <c r="MMQ124" s="244"/>
      <c r="MMR124" s="244"/>
      <c r="MMS124" s="244"/>
      <c r="MMT124" s="244"/>
      <c r="MMU124" s="244"/>
      <c r="MMV124" s="244"/>
      <c r="MMW124" s="244"/>
      <c r="MMX124" s="244"/>
      <c r="MMY124" s="244"/>
      <c r="MMZ124" s="244"/>
      <c r="MNA124" s="244"/>
      <c r="MNB124" s="244"/>
      <c r="MNC124" s="244"/>
      <c r="MND124" s="244"/>
      <c r="MNE124" s="244"/>
      <c r="MNF124" s="244"/>
      <c r="MNG124" s="244"/>
      <c r="MNH124" s="244"/>
      <c r="MNI124" s="244"/>
      <c r="MNJ124" s="244"/>
      <c r="MNK124" s="244"/>
      <c r="MNL124" s="244"/>
      <c r="MNM124" s="244"/>
      <c r="MNN124" s="244"/>
      <c r="MNO124" s="244"/>
      <c r="MNP124" s="244"/>
      <c r="MNQ124" s="244"/>
      <c r="MNR124" s="244"/>
      <c r="MNS124" s="244"/>
      <c r="MNT124" s="244"/>
      <c r="MNU124" s="244"/>
      <c r="MNV124" s="244"/>
      <c r="MNW124" s="244"/>
      <c r="MNX124" s="244"/>
      <c r="MNY124" s="244"/>
      <c r="MNZ124" s="244"/>
      <c r="MOA124" s="244"/>
      <c r="MOB124" s="244"/>
      <c r="MOC124" s="244"/>
      <c r="MOD124" s="244"/>
      <c r="MOE124" s="244"/>
      <c r="MOF124" s="244"/>
      <c r="MOG124" s="244"/>
      <c r="MOH124" s="244"/>
      <c r="MOI124" s="244"/>
      <c r="MOJ124" s="244"/>
      <c r="MOK124" s="244"/>
      <c r="MOL124" s="244"/>
      <c r="MOM124" s="244"/>
      <c r="MON124" s="244"/>
      <c r="MOO124" s="244"/>
      <c r="MOP124" s="244"/>
      <c r="MOQ124" s="244"/>
      <c r="MOR124" s="244"/>
      <c r="MOS124" s="244"/>
      <c r="MOT124" s="244"/>
      <c r="MOU124" s="244"/>
      <c r="MOV124" s="244"/>
      <c r="MOW124" s="244"/>
      <c r="MOX124" s="244"/>
      <c r="MOY124" s="244"/>
      <c r="MOZ124" s="244"/>
      <c r="MPA124" s="244"/>
      <c r="MPB124" s="244"/>
      <c r="MPC124" s="244"/>
      <c r="MPD124" s="244"/>
      <c r="MPE124" s="244"/>
      <c r="MPF124" s="244"/>
      <c r="MPG124" s="244"/>
      <c r="MPH124" s="244"/>
      <c r="MPI124" s="244"/>
      <c r="MPJ124" s="244"/>
      <c r="MPK124" s="244"/>
      <c r="MPL124" s="244"/>
      <c r="MPM124" s="244"/>
      <c r="MPN124" s="244"/>
      <c r="MPO124" s="244"/>
      <c r="MPP124" s="244"/>
      <c r="MPQ124" s="244"/>
      <c r="MPR124" s="244"/>
      <c r="MPS124" s="244"/>
      <c r="MPT124" s="244"/>
      <c r="MPU124" s="244"/>
      <c r="MPV124" s="244"/>
      <c r="MPW124" s="244"/>
      <c r="MPX124" s="244"/>
      <c r="MPY124" s="244"/>
      <c r="MPZ124" s="244"/>
      <c r="MQA124" s="244"/>
      <c r="MQB124" s="244"/>
      <c r="MQC124" s="244"/>
      <c r="MQD124" s="244"/>
      <c r="MQE124" s="244"/>
      <c r="MQF124" s="244"/>
      <c r="MQG124" s="244"/>
      <c r="MQH124" s="244"/>
      <c r="MQI124" s="244"/>
      <c r="MQJ124" s="244"/>
      <c r="MQK124" s="244"/>
      <c r="MQL124" s="244"/>
      <c r="MQM124" s="244"/>
      <c r="MQN124" s="244"/>
      <c r="MQO124" s="244"/>
      <c r="MQP124" s="244"/>
      <c r="MQQ124" s="244"/>
      <c r="MQR124" s="244"/>
      <c r="MQS124" s="244"/>
      <c r="MQT124" s="244"/>
      <c r="MQU124" s="244"/>
      <c r="MQV124" s="244"/>
      <c r="MQW124" s="244"/>
      <c r="MQX124" s="244"/>
      <c r="MQY124" s="244"/>
      <c r="MQZ124" s="244"/>
      <c r="MRA124" s="244"/>
      <c r="MRB124" s="244"/>
      <c r="MRC124" s="244"/>
      <c r="MRD124" s="244"/>
      <c r="MRE124" s="244"/>
      <c r="MRF124" s="244"/>
      <c r="MRG124" s="244"/>
      <c r="MRH124" s="244"/>
      <c r="MRI124" s="244"/>
      <c r="MRJ124" s="244"/>
      <c r="MRK124" s="244"/>
      <c r="MRL124" s="244"/>
      <c r="MRM124" s="244"/>
      <c r="MRN124" s="244"/>
      <c r="MRO124" s="244"/>
      <c r="MRP124" s="244"/>
      <c r="MRQ124" s="244"/>
      <c r="MRR124" s="244"/>
      <c r="MRS124" s="244"/>
      <c r="MRT124" s="244"/>
      <c r="MRU124" s="244"/>
      <c r="MRV124" s="244"/>
      <c r="MRW124" s="244"/>
      <c r="MRX124" s="244"/>
      <c r="MRY124" s="244"/>
      <c r="MRZ124" s="244"/>
      <c r="MSA124" s="244"/>
      <c r="MSB124" s="244"/>
      <c r="MSC124" s="244"/>
      <c r="MSD124" s="244"/>
      <c r="MSE124" s="244"/>
      <c r="MSF124" s="244"/>
      <c r="MSG124" s="244"/>
      <c r="MSH124" s="244"/>
      <c r="MSI124" s="244"/>
      <c r="MSJ124" s="244"/>
      <c r="MSK124" s="244"/>
      <c r="MSL124" s="244"/>
      <c r="MSM124" s="244"/>
      <c r="MSN124" s="244"/>
      <c r="MSO124" s="244"/>
      <c r="MSP124" s="244"/>
      <c r="MSQ124" s="244"/>
      <c r="MSR124" s="244"/>
      <c r="MSS124" s="244"/>
      <c r="MST124" s="244"/>
      <c r="MSU124" s="244"/>
      <c r="MSV124" s="244"/>
      <c r="MSW124" s="244"/>
      <c r="MSX124" s="244"/>
      <c r="MSY124" s="244"/>
      <c r="MSZ124" s="244"/>
      <c r="MTA124" s="244"/>
      <c r="MTB124" s="244"/>
      <c r="MTC124" s="244"/>
      <c r="MTD124" s="244"/>
      <c r="MTE124" s="244"/>
      <c r="MTF124" s="244"/>
      <c r="MTG124" s="244"/>
      <c r="MTH124" s="244"/>
      <c r="MTI124" s="244"/>
      <c r="MTJ124" s="244"/>
      <c r="MTK124" s="244"/>
      <c r="MTL124" s="244"/>
      <c r="MTM124" s="244"/>
      <c r="MTN124" s="244"/>
      <c r="MTO124" s="244"/>
      <c r="MTP124" s="244"/>
      <c r="MTQ124" s="244"/>
      <c r="MTR124" s="244"/>
      <c r="MTS124" s="244"/>
      <c r="MTT124" s="244"/>
      <c r="MTU124" s="244"/>
      <c r="MTV124" s="244"/>
      <c r="MTW124" s="244"/>
      <c r="MTX124" s="244"/>
      <c r="MTY124" s="244"/>
      <c r="MTZ124" s="244"/>
      <c r="MUA124" s="244"/>
      <c r="MUB124" s="244"/>
      <c r="MUC124" s="244"/>
      <c r="MUD124" s="244"/>
      <c r="MUE124" s="244"/>
      <c r="MUF124" s="244"/>
      <c r="MUG124" s="244"/>
      <c r="MUH124" s="244"/>
      <c r="MUI124" s="244"/>
      <c r="MUJ124" s="244"/>
      <c r="MUK124" s="244"/>
      <c r="MUL124" s="244"/>
      <c r="MUM124" s="244"/>
      <c r="MUN124" s="244"/>
      <c r="MUO124" s="244"/>
      <c r="MUP124" s="244"/>
      <c r="MUQ124" s="244"/>
      <c r="MUR124" s="244"/>
      <c r="MUS124" s="244"/>
      <c r="MUT124" s="244"/>
      <c r="MUU124" s="244"/>
      <c r="MUV124" s="244"/>
      <c r="MUW124" s="244"/>
      <c r="MUX124" s="244"/>
      <c r="MUY124" s="244"/>
      <c r="MUZ124" s="244"/>
      <c r="MVA124" s="244"/>
      <c r="MVB124" s="244"/>
      <c r="MVC124" s="244"/>
      <c r="MVD124" s="244"/>
      <c r="MVE124" s="244"/>
      <c r="MVF124" s="244"/>
      <c r="MVG124" s="244"/>
      <c r="MVH124" s="244"/>
      <c r="MVI124" s="244"/>
      <c r="MVJ124" s="244"/>
      <c r="MVK124" s="244"/>
      <c r="MVL124" s="244"/>
      <c r="MVM124" s="244"/>
      <c r="MVN124" s="244"/>
      <c r="MVO124" s="244"/>
      <c r="MVP124" s="244"/>
      <c r="MVQ124" s="244"/>
      <c r="MVR124" s="244"/>
      <c r="MVS124" s="244"/>
      <c r="MVT124" s="244"/>
      <c r="MVU124" s="244"/>
      <c r="MVV124" s="244"/>
      <c r="MVW124" s="244"/>
      <c r="MVX124" s="244"/>
      <c r="MVY124" s="244"/>
      <c r="MVZ124" s="244"/>
      <c r="MWA124" s="244"/>
      <c r="MWB124" s="244"/>
      <c r="MWC124" s="244"/>
      <c r="MWD124" s="244"/>
      <c r="MWE124" s="244"/>
      <c r="MWF124" s="244"/>
      <c r="MWG124" s="244"/>
      <c r="MWH124" s="244"/>
      <c r="MWI124" s="244"/>
      <c r="MWJ124" s="244"/>
      <c r="MWK124" s="244"/>
      <c r="MWL124" s="244"/>
      <c r="MWM124" s="244"/>
      <c r="MWN124" s="244"/>
      <c r="MWO124" s="244"/>
      <c r="MWP124" s="244"/>
      <c r="MWQ124" s="244"/>
      <c r="MWR124" s="244"/>
      <c r="MWS124" s="244"/>
      <c r="MWT124" s="244"/>
      <c r="MWU124" s="244"/>
      <c r="MWV124" s="244"/>
      <c r="MWW124" s="244"/>
      <c r="MWX124" s="244"/>
      <c r="MWY124" s="244"/>
      <c r="MWZ124" s="244"/>
      <c r="MXA124" s="244"/>
      <c r="MXB124" s="244"/>
      <c r="MXC124" s="244"/>
      <c r="MXD124" s="244"/>
      <c r="MXE124" s="244"/>
      <c r="MXF124" s="244"/>
      <c r="MXG124" s="244"/>
      <c r="MXH124" s="244"/>
      <c r="MXI124" s="244"/>
      <c r="MXJ124" s="244"/>
      <c r="MXK124" s="244"/>
      <c r="MXL124" s="244"/>
      <c r="MXM124" s="244"/>
      <c r="MXN124" s="244"/>
      <c r="MXO124" s="244"/>
      <c r="MXP124" s="244"/>
      <c r="MXQ124" s="244"/>
      <c r="MXR124" s="244"/>
      <c r="MXS124" s="244"/>
      <c r="MXT124" s="244"/>
      <c r="MXU124" s="244"/>
      <c r="MXV124" s="244"/>
      <c r="MXW124" s="244"/>
      <c r="MXX124" s="244"/>
      <c r="MXY124" s="244"/>
      <c r="MXZ124" s="244"/>
      <c r="MYA124" s="244"/>
      <c r="MYB124" s="244"/>
      <c r="MYC124" s="244"/>
      <c r="MYD124" s="244"/>
      <c r="MYE124" s="244"/>
      <c r="MYF124" s="244"/>
      <c r="MYG124" s="244"/>
      <c r="MYH124" s="244"/>
      <c r="MYI124" s="244"/>
      <c r="MYJ124" s="244"/>
      <c r="MYK124" s="244"/>
      <c r="MYL124" s="244"/>
      <c r="MYM124" s="244"/>
      <c r="MYN124" s="244"/>
      <c r="MYO124" s="244"/>
      <c r="MYP124" s="244"/>
      <c r="MYQ124" s="244"/>
      <c r="MYR124" s="244"/>
      <c r="MYS124" s="244"/>
      <c r="MYT124" s="244"/>
      <c r="MYU124" s="244"/>
      <c r="MYV124" s="244"/>
      <c r="MYW124" s="244"/>
      <c r="MYX124" s="244"/>
      <c r="MYY124" s="244"/>
      <c r="MYZ124" s="244"/>
      <c r="MZA124" s="244"/>
      <c r="MZB124" s="244"/>
      <c r="MZC124" s="244"/>
      <c r="MZD124" s="244"/>
      <c r="MZE124" s="244"/>
      <c r="MZF124" s="244"/>
      <c r="MZG124" s="244"/>
      <c r="MZH124" s="244"/>
      <c r="MZI124" s="244"/>
      <c r="MZJ124" s="244"/>
      <c r="MZK124" s="244"/>
      <c r="MZL124" s="244"/>
      <c r="MZM124" s="244"/>
      <c r="MZN124" s="244"/>
      <c r="MZO124" s="244"/>
      <c r="MZP124" s="244"/>
      <c r="MZQ124" s="244"/>
      <c r="MZR124" s="244"/>
      <c r="MZS124" s="244"/>
      <c r="MZT124" s="244"/>
      <c r="MZU124" s="244"/>
      <c r="MZV124" s="244"/>
      <c r="MZW124" s="244"/>
      <c r="MZX124" s="244"/>
      <c r="MZY124" s="244"/>
      <c r="MZZ124" s="244"/>
      <c r="NAA124" s="244"/>
      <c r="NAB124" s="244"/>
      <c r="NAC124" s="244"/>
      <c r="NAD124" s="244"/>
      <c r="NAE124" s="244"/>
      <c r="NAF124" s="244"/>
      <c r="NAG124" s="244"/>
      <c r="NAH124" s="244"/>
      <c r="NAI124" s="244"/>
      <c r="NAJ124" s="244"/>
      <c r="NAK124" s="244"/>
      <c r="NAL124" s="244"/>
      <c r="NAM124" s="244"/>
      <c r="NAN124" s="244"/>
      <c r="NAO124" s="244"/>
      <c r="NAP124" s="244"/>
      <c r="NAQ124" s="244"/>
      <c r="NAR124" s="244"/>
      <c r="NAS124" s="244"/>
      <c r="NAT124" s="244"/>
      <c r="NAU124" s="244"/>
      <c r="NAV124" s="244"/>
      <c r="NAW124" s="244"/>
      <c r="NAX124" s="244"/>
      <c r="NAY124" s="244"/>
      <c r="NAZ124" s="244"/>
      <c r="NBA124" s="244"/>
      <c r="NBB124" s="244"/>
      <c r="NBC124" s="244"/>
      <c r="NBD124" s="244"/>
      <c r="NBE124" s="244"/>
      <c r="NBF124" s="244"/>
      <c r="NBG124" s="244"/>
      <c r="NBH124" s="244"/>
      <c r="NBI124" s="244"/>
      <c r="NBJ124" s="244"/>
      <c r="NBK124" s="244"/>
      <c r="NBL124" s="244"/>
      <c r="NBM124" s="244"/>
      <c r="NBN124" s="244"/>
      <c r="NBO124" s="244"/>
      <c r="NBP124" s="244"/>
      <c r="NBQ124" s="244"/>
      <c r="NBR124" s="244"/>
      <c r="NBS124" s="244"/>
      <c r="NBT124" s="244"/>
      <c r="NBU124" s="244"/>
      <c r="NBV124" s="244"/>
      <c r="NBW124" s="244"/>
      <c r="NBX124" s="244"/>
      <c r="NBY124" s="244"/>
      <c r="NBZ124" s="244"/>
      <c r="NCA124" s="244"/>
      <c r="NCB124" s="244"/>
      <c r="NCC124" s="244"/>
      <c r="NCD124" s="244"/>
      <c r="NCE124" s="244"/>
      <c r="NCF124" s="244"/>
      <c r="NCG124" s="244"/>
      <c r="NCH124" s="244"/>
      <c r="NCI124" s="244"/>
      <c r="NCJ124" s="244"/>
      <c r="NCK124" s="244"/>
      <c r="NCL124" s="244"/>
      <c r="NCM124" s="244"/>
      <c r="NCN124" s="244"/>
      <c r="NCO124" s="244"/>
      <c r="NCP124" s="244"/>
      <c r="NCQ124" s="244"/>
      <c r="NCR124" s="244"/>
      <c r="NCS124" s="244"/>
      <c r="NCT124" s="244"/>
      <c r="NCU124" s="244"/>
      <c r="NCV124" s="244"/>
      <c r="NCW124" s="244"/>
      <c r="NCX124" s="244"/>
      <c r="NCY124" s="244"/>
      <c r="NCZ124" s="244"/>
      <c r="NDA124" s="244"/>
      <c r="NDB124" s="244"/>
      <c r="NDC124" s="244"/>
      <c r="NDD124" s="244"/>
      <c r="NDE124" s="244"/>
      <c r="NDF124" s="244"/>
      <c r="NDG124" s="244"/>
      <c r="NDH124" s="244"/>
      <c r="NDI124" s="244"/>
      <c r="NDJ124" s="244"/>
      <c r="NDK124" s="244"/>
      <c r="NDL124" s="244"/>
      <c r="NDM124" s="244"/>
      <c r="NDN124" s="244"/>
      <c r="NDO124" s="244"/>
      <c r="NDP124" s="244"/>
      <c r="NDQ124" s="244"/>
      <c r="NDR124" s="244"/>
      <c r="NDS124" s="244"/>
      <c r="NDT124" s="244"/>
      <c r="NDU124" s="244"/>
      <c r="NDV124" s="244"/>
      <c r="NDW124" s="244"/>
      <c r="NDX124" s="244"/>
      <c r="NDY124" s="244"/>
      <c r="NDZ124" s="244"/>
      <c r="NEA124" s="244"/>
      <c r="NEB124" s="244"/>
      <c r="NEC124" s="244"/>
      <c r="NED124" s="244"/>
      <c r="NEE124" s="244"/>
      <c r="NEF124" s="244"/>
      <c r="NEG124" s="244"/>
      <c r="NEH124" s="244"/>
      <c r="NEI124" s="244"/>
      <c r="NEJ124" s="244"/>
      <c r="NEK124" s="244"/>
      <c r="NEL124" s="244"/>
      <c r="NEM124" s="244"/>
      <c r="NEN124" s="244"/>
      <c r="NEO124" s="244"/>
      <c r="NEP124" s="244"/>
      <c r="NEQ124" s="244"/>
      <c r="NER124" s="244"/>
      <c r="NES124" s="244"/>
      <c r="NET124" s="244"/>
      <c r="NEU124" s="244"/>
      <c r="NEV124" s="244"/>
      <c r="NEW124" s="244"/>
      <c r="NEX124" s="244"/>
      <c r="NEY124" s="244"/>
      <c r="NEZ124" s="244"/>
      <c r="NFA124" s="244"/>
      <c r="NFB124" s="244"/>
      <c r="NFC124" s="244"/>
      <c r="NFD124" s="244"/>
      <c r="NFE124" s="244"/>
      <c r="NFF124" s="244"/>
      <c r="NFG124" s="244"/>
      <c r="NFH124" s="244"/>
      <c r="NFI124" s="244"/>
      <c r="NFJ124" s="244"/>
      <c r="NFK124" s="244"/>
      <c r="NFL124" s="244"/>
      <c r="NFM124" s="244"/>
      <c r="NFN124" s="244"/>
      <c r="NFO124" s="244"/>
      <c r="NFP124" s="244"/>
      <c r="NFQ124" s="244"/>
      <c r="NFR124" s="244"/>
      <c r="NFS124" s="244"/>
      <c r="NFT124" s="244"/>
      <c r="NFU124" s="244"/>
      <c r="NFV124" s="244"/>
      <c r="NFW124" s="244"/>
      <c r="NFX124" s="244"/>
      <c r="NFY124" s="244"/>
      <c r="NFZ124" s="244"/>
      <c r="NGA124" s="244"/>
      <c r="NGB124" s="244"/>
      <c r="NGC124" s="244"/>
      <c r="NGD124" s="244"/>
      <c r="NGE124" s="244"/>
      <c r="NGF124" s="244"/>
      <c r="NGG124" s="244"/>
      <c r="NGH124" s="244"/>
      <c r="NGI124" s="244"/>
      <c r="NGJ124" s="244"/>
      <c r="NGK124" s="244"/>
      <c r="NGL124" s="244"/>
      <c r="NGM124" s="244"/>
      <c r="NGN124" s="244"/>
      <c r="NGO124" s="244"/>
      <c r="NGP124" s="244"/>
      <c r="NGQ124" s="244"/>
      <c r="NGR124" s="244"/>
      <c r="NGS124" s="244"/>
      <c r="NGT124" s="244"/>
      <c r="NGU124" s="244"/>
      <c r="NGV124" s="244"/>
      <c r="NGW124" s="244"/>
      <c r="NGX124" s="244"/>
      <c r="NGY124" s="244"/>
      <c r="NGZ124" s="244"/>
      <c r="NHA124" s="244"/>
      <c r="NHB124" s="244"/>
      <c r="NHC124" s="244"/>
      <c r="NHD124" s="244"/>
      <c r="NHE124" s="244"/>
      <c r="NHF124" s="244"/>
      <c r="NHG124" s="244"/>
      <c r="NHH124" s="244"/>
      <c r="NHI124" s="244"/>
      <c r="NHJ124" s="244"/>
      <c r="NHK124" s="244"/>
      <c r="NHL124" s="244"/>
      <c r="NHM124" s="244"/>
      <c r="NHN124" s="244"/>
      <c r="NHO124" s="244"/>
      <c r="NHP124" s="244"/>
      <c r="NHQ124" s="244"/>
      <c r="NHR124" s="244"/>
      <c r="NHS124" s="244"/>
      <c r="NHT124" s="244"/>
      <c r="NHU124" s="244"/>
      <c r="NHV124" s="244"/>
      <c r="NHW124" s="244"/>
      <c r="NHX124" s="244"/>
      <c r="NHY124" s="244"/>
      <c r="NHZ124" s="244"/>
      <c r="NIA124" s="244"/>
      <c r="NIB124" s="244"/>
      <c r="NIC124" s="244"/>
      <c r="NID124" s="244"/>
      <c r="NIE124" s="244"/>
      <c r="NIF124" s="244"/>
      <c r="NIG124" s="244"/>
      <c r="NIH124" s="244"/>
      <c r="NII124" s="244"/>
      <c r="NIJ124" s="244"/>
      <c r="NIK124" s="244"/>
      <c r="NIL124" s="244"/>
      <c r="NIM124" s="244"/>
      <c r="NIN124" s="244"/>
      <c r="NIO124" s="244"/>
      <c r="NIP124" s="244"/>
      <c r="NIQ124" s="244"/>
      <c r="NIR124" s="244"/>
      <c r="NIS124" s="244"/>
      <c r="NIT124" s="244"/>
      <c r="NIU124" s="244"/>
      <c r="NIV124" s="244"/>
      <c r="NIW124" s="244"/>
      <c r="NIX124" s="244"/>
      <c r="NIY124" s="244"/>
      <c r="NIZ124" s="244"/>
      <c r="NJA124" s="244"/>
      <c r="NJB124" s="244"/>
      <c r="NJC124" s="244"/>
      <c r="NJD124" s="244"/>
      <c r="NJE124" s="244"/>
      <c r="NJF124" s="244"/>
      <c r="NJG124" s="244"/>
      <c r="NJH124" s="244"/>
      <c r="NJI124" s="244"/>
      <c r="NJJ124" s="244"/>
      <c r="NJK124" s="244"/>
      <c r="NJL124" s="244"/>
      <c r="NJM124" s="244"/>
      <c r="NJN124" s="244"/>
      <c r="NJO124" s="244"/>
      <c r="NJP124" s="244"/>
      <c r="NJQ124" s="244"/>
      <c r="NJR124" s="244"/>
      <c r="NJS124" s="244"/>
      <c r="NJT124" s="244"/>
      <c r="NJU124" s="244"/>
      <c r="NJV124" s="244"/>
      <c r="NJW124" s="244"/>
      <c r="NJX124" s="244"/>
      <c r="NJY124" s="244"/>
      <c r="NJZ124" s="244"/>
      <c r="NKA124" s="244"/>
      <c r="NKB124" s="244"/>
      <c r="NKC124" s="244"/>
      <c r="NKD124" s="244"/>
      <c r="NKE124" s="244"/>
      <c r="NKF124" s="244"/>
      <c r="NKG124" s="244"/>
      <c r="NKH124" s="244"/>
      <c r="NKI124" s="244"/>
      <c r="NKJ124" s="244"/>
      <c r="NKK124" s="244"/>
      <c r="NKL124" s="244"/>
      <c r="NKM124" s="244"/>
      <c r="NKN124" s="244"/>
      <c r="NKO124" s="244"/>
      <c r="NKP124" s="244"/>
      <c r="NKQ124" s="244"/>
      <c r="NKR124" s="244"/>
      <c r="NKS124" s="244"/>
      <c r="NKT124" s="244"/>
      <c r="NKU124" s="244"/>
      <c r="NKV124" s="244"/>
      <c r="NKW124" s="244"/>
      <c r="NKX124" s="244"/>
      <c r="NKY124" s="244"/>
      <c r="NKZ124" s="244"/>
      <c r="NLA124" s="244"/>
      <c r="NLB124" s="244"/>
      <c r="NLC124" s="244"/>
      <c r="NLD124" s="244"/>
      <c r="NLE124" s="244"/>
      <c r="NLF124" s="244"/>
      <c r="NLG124" s="244"/>
      <c r="NLH124" s="244"/>
      <c r="NLI124" s="244"/>
      <c r="NLJ124" s="244"/>
      <c r="NLK124" s="244"/>
      <c r="NLL124" s="244"/>
      <c r="NLM124" s="244"/>
      <c r="NLN124" s="244"/>
      <c r="NLO124" s="244"/>
      <c r="NLP124" s="244"/>
      <c r="NLQ124" s="244"/>
      <c r="NLR124" s="244"/>
      <c r="NLS124" s="244"/>
      <c r="NLT124" s="244"/>
      <c r="NLU124" s="244"/>
      <c r="NLV124" s="244"/>
      <c r="NLW124" s="244"/>
      <c r="NLX124" s="244"/>
      <c r="NLY124" s="244"/>
      <c r="NLZ124" s="244"/>
      <c r="NMA124" s="244"/>
      <c r="NMB124" s="244"/>
      <c r="NMC124" s="244"/>
      <c r="NMD124" s="244"/>
      <c r="NME124" s="244"/>
      <c r="NMF124" s="244"/>
      <c r="NMG124" s="244"/>
      <c r="NMH124" s="244"/>
      <c r="NMI124" s="244"/>
      <c r="NMJ124" s="244"/>
      <c r="NMK124" s="244"/>
      <c r="NML124" s="244"/>
      <c r="NMM124" s="244"/>
      <c r="NMN124" s="244"/>
      <c r="NMO124" s="244"/>
      <c r="NMP124" s="244"/>
      <c r="NMQ124" s="244"/>
      <c r="NMR124" s="244"/>
      <c r="NMS124" s="244"/>
      <c r="NMT124" s="244"/>
      <c r="NMU124" s="244"/>
      <c r="NMV124" s="244"/>
      <c r="NMW124" s="244"/>
      <c r="NMX124" s="244"/>
      <c r="NMY124" s="244"/>
      <c r="NMZ124" s="244"/>
      <c r="NNA124" s="244"/>
      <c r="NNB124" s="244"/>
      <c r="NNC124" s="244"/>
      <c r="NND124" s="244"/>
      <c r="NNE124" s="244"/>
      <c r="NNF124" s="244"/>
      <c r="NNG124" s="244"/>
      <c r="NNH124" s="244"/>
      <c r="NNI124" s="244"/>
      <c r="NNJ124" s="244"/>
      <c r="NNK124" s="244"/>
      <c r="NNL124" s="244"/>
      <c r="NNM124" s="244"/>
      <c r="NNN124" s="244"/>
      <c r="NNO124" s="244"/>
      <c r="NNP124" s="244"/>
      <c r="NNQ124" s="244"/>
      <c r="NNR124" s="244"/>
      <c r="NNS124" s="244"/>
      <c r="NNT124" s="244"/>
      <c r="NNU124" s="244"/>
      <c r="NNV124" s="244"/>
      <c r="NNW124" s="244"/>
      <c r="NNX124" s="244"/>
      <c r="NNY124" s="244"/>
      <c r="NNZ124" s="244"/>
      <c r="NOA124" s="244"/>
      <c r="NOB124" s="244"/>
      <c r="NOC124" s="244"/>
      <c r="NOD124" s="244"/>
      <c r="NOE124" s="244"/>
      <c r="NOF124" s="244"/>
      <c r="NOG124" s="244"/>
      <c r="NOH124" s="244"/>
      <c r="NOI124" s="244"/>
      <c r="NOJ124" s="244"/>
      <c r="NOK124" s="244"/>
      <c r="NOL124" s="244"/>
      <c r="NOM124" s="244"/>
      <c r="NON124" s="244"/>
      <c r="NOO124" s="244"/>
      <c r="NOP124" s="244"/>
      <c r="NOQ124" s="244"/>
      <c r="NOR124" s="244"/>
      <c r="NOS124" s="244"/>
      <c r="NOT124" s="244"/>
      <c r="NOU124" s="244"/>
      <c r="NOV124" s="244"/>
      <c r="NOW124" s="244"/>
      <c r="NOX124" s="244"/>
      <c r="NOY124" s="244"/>
      <c r="NOZ124" s="244"/>
      <c r="NPA124" s="244"/>
      <c r="NPB124" s="244"/>
      <c r="NPC124" s="244"/>
      <c r="NPD124" s="244"/>
      <c r="NPE124" s="244"/>
      <c r="NPF124" s="244"/>
      <c r="NPG124" s="244"/>
      <c r="NPH124" s="244"/>
      <c r="NPI124" s="244"/>
      <c r="NPJ124" s="244"/>
      <c r="NPK124" s="244"/>
      <c r="NPL124" s="244"/>
      <c r="NPM124" s="244"/>
      <c r="NPN124" s="244"/>
      <c r="NPO124" s="244"/>
      <c r="NPP124" s="244"/>
      <c r="NPQ124" s="244"/>
      <c r="NPR124" s="244"/>
      <c r="NPS124" s="244"/>
      <c r="NPT124" s="244"/>
      <c r="NPU124" s="244"/>
      <c r="NPV124" s="244"/>
      <c r="NPW124" s="244"/>
      <c r="NPX124" s="244"/>
      <c r="NPY124" s="244"/>
      <c r="NPZ124" s="244"/>
      <c r="NQA124" s="244"/>
      <c r="NQB124" s="244"/>
      <c r="NQC124" s="244"/>
      <c r="NQD124" s="244"/>
      <c r="NQE124" s="244"/>
      <c r="NQF124" s="244"/>
      <c r="NQG124" s="244"/>
      <c r="NQH124" s="244"/>
      <c r="NQI124" s="244"/>
      <c r="NQJ124" s="244"/>
      <c r="NQK124" s="244"/>
      <c r="NQL124" s="244"/>
      <c r="NQM124" s="244"/>
      <c r="NQN124" s="244"/>
      <c r="NQO124" s="244"/>
      <c r="NQP124" s="244"/>
      <c r="NQQ124" s="244"/>
      <c r="NQR124" s="244"/>
      <c r="NQS124" s="244"/>
      <c r="NQT124" s="244"/>
      <c r="NQU124" s="244"/>
      <c r="NQV124" s="244"/>
      <c r="NQW124" s="244"/>
      <c r="NQX124" s="244"/>
      <c r="NQY124" s="244"/>
      <c r="NQZ124" s="244"/>
      <c r="NRA124" s="244"/>
      <c r="NRB124" s="244"/>
      <c r="NRC124" s="244"/>
      <c r="NRD124" s="244"/>
      <c r="NRE124" s="244"/>
      <c r="NRF124" s="244"/>
      <c r="NRG124" s="244"/>
      <c r="NRH124" s="244"/>
      <c r="NRI124" s="244"/>
      <c r="NRJ124" s="244"/>
      <c r="NRK124" s="244"/>
      <c r="NRL124" s="244"/>
      <c r="NRM124" s="244"/>
      <c r="NRN124" s="244"/>
      <c r="NRO124" s="244"/>
      <c r="NRP124" s="244"/>
      <c r="NRQ124" s="244"/>
      <c r="NRR124" s="244"/>
      <c r="NRS124" s="244"/>
      <c r="NRT124" s="244"/>
      <c r="NRU124" s="244"/>
      <c r="NRV124" s="244"/>
      <c r="NRW124" s="244"/>
      <c r="NRX124" s="244"/>
      <c r="NRY124" s="244"/>
      <c r="NRZ124" s="244"/>
      <c r="NSA124" s="244"/>
      <c r="NSB124" s="244"/>
      <c r="NSC124" s="244"/>
      <c r="NSD124" s="244"/>
      <c r="NSE124" s="244"/>
      <c r="NSF124" s="244"/>
      <c r="NSG124" s="244"/>
      <c r="NSH124" s="244"/>
      <c r="NSI124" s="244"/>
      <c r="NSJ124" s="244"/>
      <c r="NSK124" s="244"/>
      <c r="NSL124" s="244"/>
      <c r="NSM124" s="244"/>
      <c r="NSN124" s="244"/>
      <c r="NSO124" s="244"/>
      <c r="NSP124" s="244"/>
      <c r="NSQ124" s="244"/>
      <c r="NSR124" s="244"/>
      <c r="NSS124" s="244"/>
      <c r="NST124" s="244"/>
      <c r="NSU124" s="244"/>
      <c r="NSV124" s="244"/>
      <c r="NSW124" s="244"/>
      <c r="NSX124" s="244"/>
      <c r="NSY124" s="244"/>
      <c r="NSZ124" s="244"/>
      <c r="NTA124" s="244"/>
      <c r="NTB124" s="244"/>
      <c r="NTC124" s="244"/>
      <c r="NTD124" s="244"/>
      <c r="NTE124" s="244"/>
      <c r="NTF124" s="244"/>
      <c r="NTG124" s="244"/>
      <c r="NTH124" s="244"/>
      <c r="NTI124" s="244"/>
      <c r="NTJ124" s="244"/>
      <c r="NTK124" s="244"/>
      <c r="NTL124" s="244"/>
      <c r="NTM124" s="244"/>
      <c r="NTN124" s="244"/>
      <c r="NTO124" s="244"/>
      <c r="NTP124" s="244"/>
      <c r="NTQ124" s="244"/>
      <c r="NTR124" s="244"/>
      <c r="NTS124" s="244"/>
      <c r="NTT124" s="244"/>
      <c r="NTU124" s="244"/>
      <c r="NTV124" s="244"/>
      <c r="NTW124" s="244"/>
      <c r="NTX124" s="244"/>
      <c r="NTY124" s="244"/>
      <c r="NTZ124" s="244"/>
      <c r="NUA124" s="244"/>
      <c r="NUB124" s="244"/>
      <c r="NUC124" s="244"/>
      <c r="NUD124" s="244"/>
      <c r="NUE124" s="244"/>
      <c r="NUF124" s="244"/>
      <c r="NUG124" s="244"/>
      <c r="NUH124" s="244"/>
      <c r="NUI124" s="244"/>
      <c r="NUJ124" s="244"/>
      <c r="NUK124" s="244"/>
      <c r="NUL124" s="244"/>
      <c r="NUM124" s="244"/>
      <c r="NUN124" s="244"/>
      <c r="NUO124" s="244"/>
      <c r="NUP124" s="244"/>
      <c r="NUQ124" s="244"/>
      <c r="NUR124" s="244"/>
      <c r="NUS124" s="244"/>
      <c r="NUT124" s="244"/>
      <c r="NUU124" s="244"/>
      <c r="NUV124" s="244"/>
      <c r="NUW124" s="244"/>
      <c r="NUX124" s="244"/>
      <c r="NUY124" s="244"/>
      <c r="NUZ124" s="244"/>
      <c r="NVA124" s="244"/>
      <c r="NVB124" s="244"/>
      <c r="NVC124" s="244"/>
      <c r="NVD124" s="244"/>
      <c r="NVE124" s="244"/>
      <c r="NVF124" s="244"/>
      <c r="NVG124" s="244"/>
      <c r="NVH124" s="244"/>
      <c r="NVI124" s="244"/>
      <c r="NVJ124" s="244"/>
      <c r="NVK124" s="244"/>
      <c r="NVL124" s="244"/>
      <c r="NVM124" s="244"/>
      <c r="NVN124" s="244"/>
      <c r="NVO124" s="244"/>
      <c r="NVP124" s="244"/>
      <c r="NVQ124" s="244"/>
      <c r="NVR124" s="244"/>
      <c r="NVS124" s="244"/>
      <c r="NVT124" s="244"/>
      <c r="NVU124" s="244"/>
      <c r="NVV124" s="244"/>
      <c r="NVW124" s="244"/>
      <c r="NVX124" s="244"/>
      <c r="NVY124" s="244"/>
      <c r="NVZ124" s="244"/>
      <c r="NWA124" s="244"/>
      <c r="NWB124" s="244"/>
      <c r="NWC124" s="244"/>
      <c r="NWD124" s="244"/>
      <c r="NWE124" s="244"/>
      <c r="NWF124" s="244"/>
      <c r="NWG124" s="244"/>
      <c r="NWH124" s="244"/>
      <c r="NWI124" s="244"/>
      <c r="NWJ124" s="244"/>
      <c r="NWK124" s="244"/>
      <c r="NWL124" s="244"/>
      <c r="NWM124" s="244"/>
      <c r="NWN124" s="244"/>
      <c r="NWO124" s="244"/>
      <c r="NWP124" s="244"/>
      <c r="NWQ124" s="244"/>
      <c r="NWR124" s="244"/>
      <c r="NWS124" s="244"/>
      <c r="NWT124" s="244"/>
      <c r="NWU124" s="244"/>
      <c r="NWV124" s="244"/>
      <c r="NWW124" s="244"/>
      <c r="NWX124" s="244"/>
      <c r="NWY124" s="244"/>
      <c r="NWZ124" s="244"/>
      <c r="NXA124" s="244"/>
      <c r="NXB124" s="244"/>
      <c r="NXC124" s="244"/>
      <c r="NXD124" s="244"/>
      <c r="NXE124" s="244"/>
      <c r="NXF124" s="244"/>
      <c r="NXG124" s="244"/>
      <c r="NXH124" s="244"/>
      <c r="NXI124" s="244"/>
      <c r="NXJ124" s="244"/>
      <c r="NXK124" s="244"/>
      <c r="NXL124" s="244"/>
      <c r="NXM124" s="244"/>
      <c r="NXN124" s="244"/>
      <c r="NXO124" s="244"/>
      <c r="NXP124" s="244"/>
      <c r="NXQ124" s="244"/>
      <c r="NXR124" s="244"/>
      <c r="NXS124" s="244"/>
      <c r="NXT124" s="244"/>
      <c r="NXU124" s="244"/>
      <c r="NXV124" s="244"/>
      <c r="NXW124" s="244"/>
      <c r="NXX124" s="244"/>
      <c r="NXY124" s="244"/>
      <c r="NXZ124" s="244"/>
      <c r="NYA124" s="244"/>
      <c r="NYB124" s="244"/>
      <c r="NYC124" s="244"/>
      <c r="NYD124" s="244"/>
      <c r="NYE124" s="244"/>
      <c r="NYF124" s="244"/>
      <c r="NYG124" s="244"/>
      <c r="NYH124" s="244"/>
      <c r="NYI124" s="244"/>
      <c r="NYJ124" s="244"/>
      <c r="NYK124" s="244"/>
      <c r="NYL124" s="244"/>
      <c r="NYM124" s="244"/>
      <c r="NYN124" s="244"/>
      <c r="NYO124" s="244"/>
      <c r="NYP124" s="244"/>
      <c r="NYQ124" s="244"/>
      <c r="NYR124" s="244"/>
      <c r="NYS124" s="244"/>
      <c r="NYT124" s="244"/>
      <c r="NYU124" s="244"/>
      <c r="NYV124" s="244"/>
      <c r="NYW124" s="244"/>
      <c r="NYX124" s="244"/>
      <c r="NYY124" s="244"/>
      <c r="NYZ124" s="244"/>
      <c r="NZA124" s="244"/>
      <c r="NZB124" s="244"/>
      <c r="NZC124" s="244"/>
      <c r="NZD124" s="244"/>
      <c r="NZE124" s="244"/>
      <c r="NZF124" s="244"/>
      <c r="NZG124" s="244"/>
      <c r="NZH124" s="244"/>
      <c r="NZI124" s="244"/>
      <c r="NZJ124" s="244"/>
      <c r="NZK124" s="244"/>
      <c r="NZL124" s="244"/>
      <c r="NZM124" s="244"/>
      <c r="NZN124" s="244"/>
      <c r="NZO124" s="244"/>
      <c r="NZP124" s="244"/>
      <c r="NZQ124" s="244"/>
      <c r="NZR124" s="244"/>
      <c r="NZS124" s="244"/>
      <c r="NZT124" s="244"/>
      <c r="NZU124" s="244"/>
      <c r="NZV124" s="244"/>
      <c r="NZW124" s="244"/>
      <c r="NZX124" s="244"/>
      <c r="NZY124" s="244"/>
      <c r="NZZ124" s="244"/>
      <c r="OAA124" s="244"/>
      <c r="OAB124" s="244"/>
      <c r="OAC124" s="244"/>
      <c r="OAD124" s="244"/>
      <c r="OAE124" s="244"/>
      <c r="OAF124" s="244"/>
      <c r="OAG124" s="244"/>
      <c r="OAH124" s="244"/>
      <c r="OAI124" s="244"/>
      <c r="OAJ124" s="244"/>
      <c r="OAK124" s="244"/>
      <c r="OAL124" s="244"/>
      <c r="OAM124" s="244"/>
      <c r="OAN124" s="244"/>
      <c r="OAO124" s="244"/>
      <c r="OAP124" s="244"/>
      <c r="OAQ124" s="244"/>
      <c r="OAR124" s="244"/>
      <c r="OAS124" s="244"/>
      <c r="OAT124" s="244"/>
      <c r="OAU124" s="244"/>
      <c r="OAV124" s="244"/>
      <c r="OAW124" s="244"/>
      <c r="OAX124" s="244"/>
      <c r="OAY124" s="244"/>
      <c r="OAZ124" s="244"/>
      <c r="OBA124" s="244"/>
      <c r="OBB124" s="244"/>
      <c r="OBC124" s="244"/>
      <c r="OBD124" s="244"/>
      <c r="OBE124" s="244"/>
      <c r="OBF124" s="244"/>
      <c r="OBG124" s="244"/>
      <c r="OBH124" s="244"/>
      <c r="OBI124" s="244"/>
      <c r="OBJ124" s="244"/>
      <c r="OBK124" s="244"/>
      <c r="OBL124" s="244"/>
      <c r="OBM124" s="244"/>
      <c r="OBN124" s="244"/>
      <c r="OBO124" s="244"/>
      <c r="OBP124" s="244"/>
      <c r="OBQ124" s="244"/>
      <c r="OBR124" s="244"/>
      <c r="OBS124" s="244"/>
      <c r="OBT124" s="244"/>
      <c r="OBU124" s="244"/>
      <c r="OBV124" s="244"/>
      <c r="OBW124" s="244"/>
      <c r="OBX124" s="244"/>
      <c r="OBY124" s="244"/>
      <c r="OBZ124" s="244"/>
      <c r="OCA124" s="244"/>
      <c r="OCB124" s="244"/>
      <c r="OCC124" s="244"/>
      <c r="OCD124" s="244"/>
      <c r="OCE124" s="244"/>
      <c r="OCF124" s="244"/>
      <c r="OCG124" s="244"/>
      <c r="OCH124" s="244"/>
      <c r="OCI124" s="244"/>
      <c r="OCJ124" s="244"/>
      <c r="OCK124" s="244"/>
      <c r="OCL124" s="244"/>
      <c r="OCM124" s="244"/>
      <c r="OCN124" s="244"/>
      <c r="OCO124" s="244"/>
      <c r="OCP124" s="244"/>
      <c r="OCQ124" s="244"/>
      <c r="OCR124" s="244"/>
      <c r="OCS124" s="244"/>
      <c r="OCT124" s="244"/>
      <c r="OCU124" s="244"/>
      <c r="OCV124" s="244"/>
      <c r="OCW124" s="244"/>
      <c r="OCX124" s="244"/>
      <c r="OCY124" s="244"/>
      <c r="OCZ124" s="244"/>
      <c r="ODA124" s="244"/>
      <c r="ODB124" s="244"/>
      <c r="ODC124" s="244"/>
      <c r="ODD124" s="244"/>
      <c r="ODE124" s="244"/>
      <c r="ODF124" s="244"/>
      <c r="ODG124" s="244"/>
      <c r="ODH124" s="244"/>
      <c r="ODI124" s="244"/>
      <c r="ODJ124" s="244"/>
      <c r="ODK124" s="244"/>
      <c r="ODL124" s="244"/>
      <c r="ODM124" s="244"/>
      <c r="ODN124" s="244"/>
      <c r="ODO124" s="244"/>
      <c r="ODP124" s="244"/>
      <c r="ODQ124" s="244"/>
      <c r="ODR124" s="244"/>
      <c r="ODS124" s="244"/>
      <c r="ODT124" s="244"/>
      <c r="ODU124" s="244"/>
      <c r="ODV124" s="244"/>
      <c r="ODW124" s="244"/>
      <c r="ODX124" s="244"/>
      <c r="ODY124" s="244"/>
      <c r="ODZ124" s="244"/>
      <c r="OEA124" s="244"/>
      <c r="OEB124" s="244"/>
      <c r="OEC124" s="244"/>
      <c r="OED124" s="244"/>
      <c r="OEE124" s="244"/>
      <c r="OEF124" s="244"/>
      <c r="OEG124" s="244"/>
      <c r="OEH124" s="244"/>
      <c r="OEI124" s="244"/>
      <c r="OEJ124" s="244"/>
      <c r="OEK124" s="244"/>
      <c r="OEL124" s="244"/>
      <c r="OEM124" s="244"/>
      <c r="OEN124" s="244"/>
      <c r="OEO124" s="244"/>
      <c r="OEP124" s="244"/>
      <c r="OEQ124" s="244"/>
      <c r="OER124" s="244"/>
      <c r="OES124" s="244"/>
      <c r="OET124" s="244"/>
      <c r="OEU124" s="244"/>
      <c r="OEV124" s="244"/>
      <c r="OEW124" s="244"/>
      <c r="OEX124" s="244"/>
      <c r="OEY124" s="244"/>
      <c r="OEZ124" s="244"/>
      <c r="OFA124" s="244"/>
      <c r="OFB124" s="244"/>
      <c r="OFC124" s="244"/>
      <c r="OFD124" s="244"/>
      <c r="OFE124" s="244"/>
      <c r="OFF124" s="244"/>
      <c r="OFG124" s="244"/>
      <c r="OFH124" s="244"/>
      <c r="OFI124" s="244"/>
      <c r="OFJ124" s="244"/>
      <c r="OFK124" s="244"/>
      <c r="OFL124" s="244"/>
      <c r="OFM124" s="244"/>
      <c r="OFN124" s="244"/>
      <c r="OFO124" s="244"/>
      <c r="OFP124" s="244"/>
      <c r="OFQ124" s="244"/>
      <c r="OFR124" s="244"/>
      <c r="OFS124" s="244"/>
      <c r="OFT124" s="244"/>
      <c r="OFU124" s="244"/>
      <c r="OFV124" s="244"/>
      <c r="OFW124" s="244"/>
      <c r="OFX124" s="244"/>
      <c r="OFY124" s="244"/>
      <c r="OFZ124" s="244"/>
      <c r="OGA124" s="244"/>
      <c r="OGB124" s="244"/>
      <c r="OGC124" s="244"/>
      <c r="OGD124" s="244"/>
      <c r="OGE124" s="244"/>
      <c r="OGF124" s="244"/>
      <c r="OGG124" s="244"/>
      <c r="OGH124" s="244"/>
      <c r="OGI124" s="244"/>
      <c r="OGJ124" s="244"/>
      <c r="OGK124" s="244"/>
      <c r="OGL124" s="244"/>
      <c r="OGM124" s="244"/>
      <c r="OGN124" s="244"/>
      <c r="OGO124" s="244"/>
      <c r="OGP124" s="244"/>
      <c r="OGQ124" s="244"/>
      <c r="OGR124" s="244"/>
      <c r="OGS124" s="244"/>
      <c r="OGT124" s="244"/>
      <c r="OGU124" s="244"/>
      <c r="OGV124" s="244"/>
      <c r="OGW124" s="244"/>
      <c r="OGX124" s="244"/>
      <c r="OGY124" s="244"/>
      <c r="OGZ124" s="244"/>
      <c r="OHA124" s="244"/>
      <c r="OHB124" s="244"/>
      <c r="OHC124" s="244"/>
      <c r="OHD124" s="244"/>
      <c r="OHE124" s="244"/>
      <c r="OHF124" s="244"/>
      <c r="OHG124" s="244"/>
      <c r="OHH124" s="244"/>
      <c r="OHI124" s="244"/>
      <c r="OHJ124" s="244"/>
      <c r="OHK124" s="244"/>
      <c r="OHL124" s="244"/>
      <c r="OHM124" s="244"/>
      <c r="OHN124" s="244"/>
      <c r="OHO124" s="244"/>
      <c r="OHP124" s="244"/>
      <c r="OHQ124" s="244"/>
      <c r="OHR124" s="244"/>
      <c r="OHS124" s="244"/>
      <c r="OHT124" s="244"/>
      <c r="OHU124" s="244"/>
      <c r="OHV124" s="244"/>
      <c r="OHW124" s="244"/>
      <c r="OHX124" s="244"/>
      <c r="OHY124" s="244"/>
      <c r="OHZ124" s="244"/>
      <c r="OIA124" s="244"/>
      <c r="OIB124" s="244"/>
      <c r="OIC124" s="244"/>
      <c r="OID124" s="244"/>
      <c r="OIE124" s="244"/>
      <c r="OIF124" s="244"/>
      <c r="OIG124" s="244"/>
      <c r="OIH124" s="244"/>
      <c r="OII124" s="244"/>
      <c r="OIJ124" s="244"/>
      <c r="OIK124" s="244"/>
      <c r="OIL124" s="244"/>
      <c r="OIM124" s="244"/>
      <c r="OIN124" s="244"/>
      <c r="OIO124" s="244"/>
      <c r="OIP124" s="244"/>
      <c r="OIQ124" s="244"/>
      <c r="OIR124" s="244"/>
      <c r="OIS124" s="244"/>
      <c r="OIT124" s="244"/>
      <c r="OIU124" s="244"/>
      <c r="OIV124" s="244"/>
      <c r="OIW124" s="244"/>
      <c r="OIX124" s="244"/>
      <c r="OIY124" s="244"/>
      <c r="OIZ124" s="244"/>
      <c r="OJA124" s="244"/>
      <c r="OJB124" s="244"/>
      <c r="OJC124" s="244"/>
      <c r="OJD124" s="244"/>
      <c r="OJE124" s="244"/>
      <c r="OJF124" s="244"/>
      <c r="OJG124" s="244"/>
      <c r="OJH124" s="244"/>
      <c r="OJI124" s="244"/>
      <c r="OJJ124" s="244"/>
      <c r="OJK124" s="244"/>
      <c r="OJL124" s="244"/>
      <c r="OJM124" s="244"/>
      <c r="OJN124" s="244"/>
      <c r="OJO124" s="244"/>
      <c r="OJP124" s="244"/>
      <c r="OJQ124" s="244"/>
      <c r="OJR124" s="244"/>
      <c r="OJS124" s="244"/>
      <c r="OJT124" s="244"/>
      <c r="OJU124" s="244"/>
      <c r="OJV124" s="244"/>
      <c r="OJW124" s="244"/>
      <c r="OJX124" s="244"/>
      <c r="OJY124" s="244"/>
      <c r="OJZ124" s="244"/>
      <c r="OKA124" s="244"/>
      <c r="OKB124" s="244"/>
      <c r="OKC124" s="244"/>
      <c r="OKD124" s="244"/>
      <c r="OKE124" s="244"/>
      <c r="OKF124" s="244"/>
      <c r="OKG124" s="244"/>
      <c r="OKH124" s="244"/>
      <c r="OKI124" s="244"/>
      <c r="OKJ124" s="244"/>
      <c r="OKK124" s="244"/>
      <c r="OKL124" s="244"/>
      <c r="OKM124" s="244"/>
      <c r="OKN124" s="244"/>
      <c r="OKO124" s="244"/>
      <c r="OKP124" s="244"/>
      <c r="OKQ124" s="244"/>
      <c r="OKR124" s="244"/>
      <c r="OKS124" s="244"/>
      <c r="OKT124" s="244"/>
      <c r="OKU124" s="244"/>
      <c r="OKV124" s="244"/>
      <c r="OKW124" s="244"/>
      <c r="OKX124" s="244"/>
      <c r="OKY124" s="244"/>
      <c r="OKZ124" s="244"/>
      <c r="OLA124" s="244"/>
      <c r="OLB124" s="244"/>
      <c r="OLC124" s="244"/>
      <c r="OLD124" s="244"/>
      <c r="OLE124" s="244"/>
      <c r="OLF124" s="244"/>
      <c r="OLG124" s="244"/>
      <c r="OLH124" s="244"/>
      <c r="OLI124" s="244"/>
      <c r="OLJ124" s="244"/>
      <c r="OLK124" s="244"/>
      <c r="OLL124" s="244"/>
      <c r="OLM124" s="244"/>
      <c r="OLN124" s="244"/>
      <c r="OLO124" s="244"/>
      <c r="OLP124" s="244"/>
      <c r="OLQ124" s="244"/>
      <c r="OLR124" s="244"/>
      <c r="OLS124" s="244"/>
      <c r="OLT124" s="244"/>
      <c r="OLU124" s="244"/>
      <c r="OLV124" s="244"/>
      <c r="OLW124" s="244"/>
      <c r="OLX124" s="244"/>
      <c r="OLY124" s="244"/>
      <c r="OLZ124" s="244"/>
      <c r="OMA124" s="244"/>
      <c r="OMB124" s="244"/>
      <c r="OMC124" s="244"/>
      <c r="OMD124" s="244"/>
      <c r="OME124" s="244"/>
      <c r="OMF124" s="244"/>
      <c r="OMG124" s="244"/>
      <c r="OMH124" s="244"/>
      <c r="OMI124" s="244"/>
      <c r="OMJ124" s="244"/>
      <c r="OMK124" s="244"/>
      <c r="OML124" s="244"/>
      <c r="OMM124" s="244"/>
      <c r="OMN124" s="244"/>
      <c r="OMO124" s="244"/>
      <c r="OMP124" s="244"/>
      <c r="OMQ124" s="244"/>
      <c r="OMR124" s="244"/>
      <c r="OMS124" s="244"/>
      <c r="OMT124" s="244"/>
      <c r="OMU124" s="244"/>
      <c r="OMV124" s="244"/>
      <c r="OMW124" s="244"/>
      <c r="OMX124" s="244"/>
      <c r="OMY124" s="244"/>
      <c r="OMZ124" s="244"/>
      <c r="ONA124" s="244"/>
      <c r="ONB124" s="244"/>
      <c r="ONC124" s="244"/>
      <c r="OND124" s="244"/>
      <c r="ONE124" s="244"/>
      <c r="ONF124" s="244"/>
      <c r="ONG124" s="244"/>
      <c r="ONH124" s="244"/>
      <c r="ONI124" s="244"/>
      <c r="ONJ124" s="244"/>
      <c r="ONK124" s="244"/>
      <c r="ONL124" s="244"/>
      <c r="ONM124" s="244"/>
      <c r="ONN124" s="244"/>
      <c r="ONO124" s="244"/>
      <c r="ONP124" s="244"/>
      <c r="ONQ124" s="244"/>
      <c r="ONR124" s="244"/>
      <c r="ONS124" s="244"/>
      <c r="ONT124" s="244"/>
      <c r="ONU124" s="244"/>
      <c r="ONV124" s="244"/>
      <c r="ONW124" s="244"/>
      <c r="ONX124" s="244"/>
      <c r="ONY124" s="244"/>
      <c r="ONZ124" s="244"/>
      <c r="OOA124" s="244"/>
      <c r="OOB124" s="244"/>
      <c r="OOC124" s="244"/>
      <c r="OOD124" s="244"/>
      <c r="OOE124" s="244"/>
      <c r="OOF124" s="244"/>
      <c r="OOG124" s="244"/>
      <c r="OOH124" s="244"/>
      <c r="OOI124" s="244"/>
      <c r="OOJ124" s="244"/>
      <c r="OOK124" s="244"/>
      <c r="OOL124" s="244"/>
      <c r="OOM124" s="244"/>
      <c r="OON124" s="244"/>
      <c r="OOO124" s="244"/>
      <c r="OOP124" s="244"/>
      <c r="OOQ124" s="244"/>
      <c r="OOR124" s="244"/>
      <c r="OOS124" s="244"/>
      <c r="OOT124" s="244"/>
      <c r="OOU124" s="244"/>
      <c r="OOV124" s="244"/>
      <c r="OOW124" s="244"/>
      <c r="OOX124" s="244"/>
      <c r="OOY124" s="244"/>
      <c r="OOZ124" s="244"/>
      <c r="OPA124" s="244"/>
      <c r="OPB124" s="244"/>
      <c r="OPC124" s="244"/>
      <c r="OPD124" s="244"/>
      <c r="OPE124" s="244"/>
      <c r="OPF124" s="244"/>
      <c r="OPG124" s="244"/>
      <c r="OPH124" s="244"/>
      <c r="OPI124" s="244"/>
      <c r="OPJ124" s="244"/>
      <c r="OPK124" s="244"/>
      <c r="OPL124" s="244"/>
      <c r="OPM124" s="244"/>
      <c r="OPN124" s="244"/>
      <c r="OPO124" s="244"/>
      <c r="OPP124" s="244"/>
      <c r="OPQ124" s="244"/>
      <c r="OPR124" s="244"/>
      <c r="OPS124" s="244"/>
      <c r="OPT124" s="244"/>
      <c r="OPU124" s="244"/>
      <c r="OPV124" s="244"/>
      <c r="OPW124" s="244"/>
      <c r="OPX124" s="244"/>
      <c r="OPY124" s="244"/>
      <c r="OPZ124" s="244"/>
      <c r="OQA124" s="244"/>
      <c r="OQB124" s="244"/>
      <c r="OQC124" s="244"/>
      <c r="OQD124" s="244"/>
      <c r="OQE124" s="244"/>
      <c r="OQF124" s="244"/>
      <c r="OQG124" s="244"/>
      <c r="OQH124" s="244"/>
      <c r="OQI124" s="244"/>
      <c r="OQJ124" s="244"/>
      <c r="OQK124" s="244"/>
      <c r="OQL124" s="244"/>
      <c r="OQM124" s="244"/>
      <c r="OQN124" s="244"/>
      <c r="OQO124" s="244"/>
      <c r="OQP124" s="244"/>
      <c r="OQQ124" s="244"/>
      <c r="OQR124" s="244"/>
      <c r="OQS124" s="244"/>
      <c r="OQT124" s="244"/>
      <c r="OQU124" s="244"/>
      <c r="OQV124" s="244"/>
      <c r="OQW124" s="244"/>
      <c r="OQX124" s="244"/>
      <c r="OQY124" s="244"/>
      <c r="OQZ124" s="244"/>
      <c r="ORA124" s="244"/>
      <c r="ORB124" s="244"/>
      <c r="ORC124" s="244"/>
      <c r="ORD124" s="244"/>
      <c r="ORE124" s="244"/>
      <c r="ORF124" s="244"/>
      <c r="ORG124" s="244"/>
      <c r="ORH124" s="244"/>
      <c r="ORI124" s="244"/>
      <c r="ORJ124" s="244"/>
      <c r="ORK124" s="244"/>
      <c r="ORL124" s="244"/>
      <c r="ORM124" s="244"/>
      <c r="ORN124" s="244"/>
      <c r="ORO124" s="244"/>
      <c r="ORP124" s="244"/>
      <c r="ORQ124" s="244"/>
      <c r="ORR124" s="244"/>
      <c r="ORS124" s="244"/>
      <c r="ORT124" s="244"/>
      <c r="ORU124" s="244"/>
      <c r="ORV124" s="244"/>
      <c r="ORW124" s="244"/>
      <c r="ORX124" s="244"/>
      <c r="ORY124" s="244"/>
      <c r="ORZ124" s="244"/>
      <c r="OSA124" s="244"/>
      <c r="OSB124" s="244"/>
      <c r="OSC124" s="244"/>
      <c r="OSD124" s="244"/>
      <c r="OSE124" s="244"/>
      <c r="OSF124" s="244"/>
      <c r="OSG124" s="244"/>
      <c r="OSH124" s="244"/>
      <c r="OSI124" s="244"/>
      <c r="OSJ124" s="244"/>
      <c r="OSK124" s="244"/>
      <c r="OSL124" s="244"/>
      <c r="OSM124" s="244"/>
      <c r="OSN124" s="244"/>
      <c r="OSO124" s="244"/>
      <c r="OSP124" s="244"/>
      <c r="OSQ124" s="244"/>
      <c r="OSR124" s="244"/>
      <c r="OSS124" s="244"/>
      <c r="OST124" s="244"/>
      <c r="OSU124" s="244"/>
      <c r="OSV124" s="244"/>
      <c r="OSW124" s="244"/>
      <c r="OSX124" s="244"/>
      <c r="OSY124" s="244"/>
      <c r="OSZ124" s="244"/>
      <c r="OTA124" s="244"/>
      <c r="OTB124" s="244"/>
      <c r="OTC124" s="244"/>
      <c r="OTD124" s="244"/>
      <c r="OTE124" s="244"/>
      <c r="OTF124" s="244"/>
      <c r="OTG124" s="244"/>
      <c r="OTH124" s="244"/>
      <c r="OTI124" s="244"/>
      <c r="OTJ124" s="244"/>
      <c r="OTK124" s="244"/>
      <c r="OTL124" s="244"/>
      <c r="OTM124" s="244"/>
      <c r="OTN124" s="244"/>
      <c r="OTO124" s="244"/>
      <c r="OTP124" s="244"/>
      <c r="OTQ124" s="244"/>
      <c r="OTR124" s="244"/>
      <c r="OTS124" s="244"/>
      <c r="OTT124" s="244"/>
      <c r="OTU124" s="244"/>
      <c r="OTV124" s="244"/>
      <c r="OTW124" s="244"/>
      <c r="OTX124" s="244"/>
      <c r="OTY124" s="244"/>
      <c r="OTZ124" s="244"/>
      <c r="OUA124" s="244"/>
      <c r="OUB124" s="244"/>
      <c r="OUC124" s="244"/>
      <c r="OUD124" s="244"/>
      <c r="OUE124" s="244"/>
      <c r="OUF124" s="244"/>
      <c r="OUG124" s="244"/>
      <c r="OUH124" s="244"/>
      <c r="OUI124" s="244"/>
      <c r="OUJ124" s="244"/>
      <c r="OUK124" s="244"/>
      <c r="OUL124" s="244"/>
      <c r="OUM124" s="244"/>
      <c r="OUN124" s="244"/>
      <c r="OUO124" s="244"/>
      <c r="OUP124" s="244"/>
      <c r="OUQ124" s="244"/>
      <c r="OUR124" s="244"/>
      <c r="OUS124" s="244"/>
      <c r="OUT124" s="244"/>
      <c r="OUU124" s="244"/>
      <c r="OUV124" s="244"/>
      <c r="OUW124" s="244"/>
      <c r="OUX124" s="244"/>
      <c r="OUY124" s="244"/>
      <c r="OUZ124" s="244"/>
      <c r="OVA124" s="244"/>
      <c r="OVB124" s="244"/>
      <c r="OVC124" s="244"/>
      <c r="OVD124" s="244"/>
      <c r="OVE124" s="244"/>
      <c r="OVF124" s="244"/>
      <c r="OVG124" s="244"/>
      <c r="OVH124" s="244"/>
      <c r="OVI124" s="244"/>
      <c r="OVJ124" s="244"/>
      <c r="OVK124" s="244"/>
      <c r="OVL124" s="244"/>
      <c r="OVM124" s="244"/>
      <c r="OVN124" s="244"/>
      <c r="OVO124" s="244"/>
      <c r="OVP124" s="244"/>
      <c r="OVQ124" s="244"/>
      <c r="OVR124" s="244"/>
      <c r="OVS124" s="244"/>
      <c r="OVT124" s="244"/>
      <c r="OVU124" s="244"/>
      <c r="OVV124" s="244"/>
      <c r="OVW124" s="244"/>
      <c r="OVX124" s="244"/>
      <c r="OVY124" s="244"/>
      <c r="OVZ124" s="244"/>
      <c r="OWA124" s="244"/>
      <c r="OWB124" s="244"/>
      <c r="OWC124" s="244"/>
      <c r="OWD124" s="244"/>
      <c r="OWE124" s="244"/>
      <c r="OWF124" s="244"/>
      <c r="OWG124" s="244"/>
      <c r="OWH124" s="244"/>
      <c r="OWI124" s="244"/>
      <c r="OWJ124" s="244"/>
      <c r="OWK124" s="244"/>
      <c r="OWL124" s="244"/>
      <c r="OWM124" s="244"/>
      <c r="OWN124" s="244"/>
      <c r="OWO124" s="244"/>
      <c r="OWP124" s="244"/>
      <c r="OWQ124" s="244"/>
      <c r="OWR124" s="244"/>
      <c r="OWS124" s="244"/>
      <c r="OWT124" s="244"/>
      <c r="OWU124" s="244"/>
      <c r="OWV124" s="244"/>
      <c r="OWW124" s="244"/>
      <c r="OWX124" s="244"/>
      <c r="OWY124" s="244"/>
      <c r="OWZ124" s="244"/>
      <c r="OXA124" s="244"/>
      <c r="OXB124" s="244"/>
      <c r="OXC124" s="244"/>
      <c r="OXD124" s="244"/>
      <c r="OXE124" s="244"/>
      <c r="OXF124" s="244"/>
      <c r="OXG124" s="244"/>
      <c r="OXH124" s="244"/>
      <c r="OXI124" s="244"/>
      <c r="OXJ124" s="244"/>
      <c r="OXK124" s="244"/>
      <c r="OXL124" s="244"/>
      <c r="OXM124" s="244"/>
      <c r="OXN124" s="244"/>
      <c r="OXO124" s="244"/>
      <c r="OXP124" s="244"/>
      <c r="OXQ124" s="244"/>
      <c r="OXR124" s="244"/>
      <c r="OXS124" s="244"/>
      <c r="OXT124" s="244"/>
      <c r="OXU124" s="244"/>
      <c r="OXV124" s="244"/>
      <c r="OXW124" s="244"/>
      <c r="OXX124" s="244"/>
      <c r="OXY124" s="244"/>
      <c r="OXZ124" s="244"/>
      <c r="OYA124" s="244"/>
      <c r="OYB124" s="244"/>
      <c r="OYC124" s="244"/>
      <c r="OYD124" s="244"/>
      <c r="OYE124" s="244"/>
      <c r="OYF124" s="244"/>
      <c r="OYG124" s="244"/>
      <c r="OYH124" s="244"/>
      <c r="OYI124" s="244"/>
      <c r="OYJ124" s="244"/>
      <c r="OYK124" s="244"/>
      <c r="OYL124" s="244"/>
      <c r="OYM124" s="244"/>
      <c r="OYN124" s="244"/>
      <c r="OYO124" s="244"/>
      <c r="OYP124" s="244"/>
      <c r="OYQ124" s="244"/>
      <c r="OYR124" s="244"/>
      <c r="OYS124" s="244"/>
      <c r="OYT124" s="244"/>
      <c r="OYU124" s="244"/>
      <c r="OYV124" s="244"/>
      <c r="OYW124" s="244"/>
      <c r="OYX124" s="244"/>
      <c r="OYY124" s="244"/>
      <c r="OYZ124" s="244"/>
      <c r="OZA124" s="244"/>
      <c r="OZB124" s="244"/>
      <c r="OZC124" s="244"/>
      <c r="OZD124" s="244"/>
      <c r="OZE124" s="244"/>
      <c r="OZF124" s="244"/>
      <c r="OZG124" s="244"/>
      <c r="OZH124" s="244"/>
      <c r="OZI124" s="244"/>
      <c r="OZJ124" s="244"/>
      <c r="OZK124" s="244"/>
      <c r="OZL124" s="244"/>
      <c r="OZM124" s="244"/>
      <c r="OZN124" s="244"/>
      <c r="OZO124" s="244"/>
      <c r="OZP124" s="244"/>
      <c r="OZQ124" s="244"/>
      <c r="OZR124" s="244"/>
      <c r="OZS124" s="244"/>
      <c r="OZT124" s="244"/>
      <c r="OZU124" s="244"/>
      <c r="OZV124" s="244"/>
      <c r="OZW124" s="244"/>
      <c r="OZX124" s="244"/>
      <c r="OZY124" s="244"/>
      <c r="OZZ124" s="244"/>
      <c r="PAA124" s="244"/>
      <c r="PAB124" s="244"/>
      <c r="PAC124" s="244"/>
      <c r="PAD124" s="244"/>
      <c r="PAE124" s="244"/>
      <c r="PAF124" s="244"/>
      <c r="PAG124" s="244"/>
      <c r="PAH124" s="244"/>
      <c r="PAI124" s="244"/>
      <c r="PAJ124" s="244"/>
      <c r="PAK124" s="244"/>
      <c r="PAL124" s="244"/>
      <c r="PAM124" s="244"/>
      <c r="PAN124" s="244"/>
      <c r="PAO124" s="244"/>
      <c r="PAP124" s="244"/>
      <c r="PAQ124" s="244"/>
      <c r="PAR124" s="244"/>
      <c r="PAS124" s="244"/>
      <c r="PAT124" s="244"/>
      <c r="PAU124" s="244"/>
      <c r="PAV124" s="244"/>
      <c r="PAW124" s="244"/>
      <c r="PAX124" s="244"/>
      <c r="PAY124" s="244"/>
      <c r="PAZ124" s="244"/>
      <c r="PBA124" s="244"/>
      <c r="PBB124" s="244"/>
      <c r="PBC124" s="244"/>
      <c r="PBD124" s="244"/>
      <c r="PBE124" s="244"/>
      <c r="PBF124" s="244"/>
      <c r="PBG124" s="244"/>
      <c r="PBH124" s="244"/>
      <c r="PBI124" s="244"/>
      <c r="PBJ124" s="244"/>
      <c r="PBK124" s="244"/>
      <c r="PBL124" s="244"/>
      <c r="PBM124" s="244"/>
      <c r="PBN124" s="244"/>
      <c r="PBO124" s="244"/>
      <c r="PBP124" s="244"/>
      <c r="PBQ124" s="244"/>
      <c r="PBR124" s="244"/>
      <c r="PBS124" s="244"/>
      <c r="PBT124" s="244"/>
      <c r="PBU124" s="244"/>
      <c r="PBV124" s="244"/>
      <c r="PBW124" s="244"/>
      <c r="PBX124" s="244"/>
      <c r="PBY124" s="244"/>
      <c r="PBZ124" s="244"/>
      <c r="PCA124" s="244"/>
      <c r="PCB124" s="244"/>
      <c r="PCC124" s="244"/>
      <c r="PCD124" s="244"/>
      <c r="PCE124" s="244"/>
      <c r="PCF124" s="244"/>
      <c r="PCG124" s="244"/>
      <c r="PCH124" s="244"/>
      <c r="PCI124" s="244"/>
      <c r="PCJ124" s="244"/>
      <c r="PCK124" s="244"/>
      <c r="PCL124" s="244"/>
      <c r="PCM124" s="244"/>
      <c r="PCN124" s="244"/>
      <c r="PCO124" s="244"/>
      <c r="PCP124" s="244"/>
      <c r="PCQ124" s="244"/>
      <c r="PCR124" s="244"/>
      <c r="PCS124" s="244"/>
      <c r="PCT124" s="244"/>
      <c r="PCU124" s="244"/>
      <c r="PCV124" s="244"/>
      <c r="PCW124" s="244"/>
      <c r="PCX124" s="244"/>
      <c r="PCY124" s="244"/>
      <c r="PCZ124" s="244"/>
      <c r="PDA124" s="244"/>
      <c r="PDB124" s="244"/>
      <c r="PDC124" s="244"/>
      <c r="PDD124" s="244"/>
      <c r="PDE124" s="244"/>
      <c r="PDF124" s="244"/>
      <c r="PDG124" s="244"/>
      <c r="PDH124" s="244"/>
      <c r="PDI124" s="244"/>
      <c r="PDJ124" s="244"/>
      <c r="PDK124" s="244"/>
      <c r="PDL124" s="244"/>
      <c r="PDM124" s="244"/>
      <c r="PDN124" s="244"/>
      <c r="PDO124" s="244"/>
      <c r="PDP124" s="244"/>
      <c r="PDQ124" s="244"/>
      <c r="PDR124" s="244"/>
      <c r="PDS124" s="244"/>
      <c r="PDT124" s="244"/>
      <c r="PDU124" s="244"/>
      <c r="PDV124" s="244"/>
      <c r="PDW124" s="244"/>
      <c r="PDX124" s="244"/>
      <c r="PDY124" s="244"/>
      <c r="PDZ124" s="244"/>
      <c r="PEA124" s="244"/>
      <c r="PEB124" s="244"/>
      <c r="PEC124" s="244"/>
      <c r="PED124" s="244"/>
      <c r="PEE124" s="244"/>
      <c r="PEF124" s="244"/>
      <c r="PEG124" s="244"/>
      <c r="PEH124" s="244"/>
      <c r="PEI124" s="244"/>
      <c r="PEJ124" s="244"/>
      <c r="PEK124" s="244"/>
      <c r="PEL124" s="244"/>
      <c r="PEM124" s="244"/>
      <c r="PEN124" s="244"/>
      <c r="PEO124" s="244"/>
      <c r="PEP124" s="244"/>
      <c r="PEQ124" s="244"/>
      <c r="PER124" s="244"/>
      <c r="PES124" s="244"/>
      <c r="PET124" s="244"/>
      <c r="PEU124" s="244"/>
      <c r="PEV124" s="244"/>
      <c r="PEW124" s="244"/>
      <c r="PEX124" s="244"/>
      <c r="PEY124" s="244"/>
      <c r="PEZ124" s="244"/>
      <c r="PFA124" s="244"/>
      <c r="PFB124" s="244"/>
      <c r="PFC124" s="244"/>
      <c r="PFD124" s="244"/>
      <c r="PFE124" s="244"/>
      <c r="PFF124" s="244"/>
      <c r="PFG124" s="244"/>
      <c r="PFH124" s="244"/>
      <c r="PFI124" s="244"/>
      <c r="PFJ124" s="244"/>
      <c r="PFK124" s="244"/>
      <c r="PFL124" s="244"/>
      <c r="PFM124" s="244"/>
      <c r="PFN124" s="244"/>
      <c r="PFO124" s="244"/>
      <c r="PFP124" s="244"/>
      <c r="PFQ124" s="244"/>
      <c r="PFR124" s="244"/>
      <c r="PFS124" s="244"/>
      <c r="PFT124" s="244"/>
      <c r="PFU124" s="244"/>
      <c r="PFV124" s="244"/>
      <c r="PFW124" s="244"/>
      <c r="PFX124" s="244"/>
      <c r="PFY124" s="244"/>
      <c r="PFZ124" s="244"/>
      <c r="PGA124" s="244"/>
      <c r="PGB124" s="244"/>
      <c r="PGC124" s="244"/>
      <c r="PGD124" s="244"/>
      <c r="PGE124" s="244"/>
      <c r="PGF124" s="244"/>
      <c r="PGG124" s="244"/>
      <c r="PGH124" s="244"/>
      <c r="PGI124" s="244"/>
      <c r="PGJ124" s="244"/>
      <c r="PGK124" s="244"/>
      <c r="PGL124" s="244"/>
      <c r="PGM124" s="244"/>
      <c r="PGN124" s="244"/>
      <c r="PGO124" s="244"/>
      <c r="PGP124" s="244"/>
      <c r="PGQ124" s="244"/>
      <c r="PGR124" s="244"/>
      <c r="PGS124" s="244"/>
      <c r="PGT124" s="244"/>
      <c r="PGU124" s="244"/>
      <c r="PGV124" s="244"/>
      <c r="PGW124" s="244"/>
      <c r="PGX124" s="244"/>
      <c r="PGY124" s="244"/>
      <c r="PGZ124" s="244"/>
      <c r="PHA124" s="244"/>
      <c r="PHB124" s="244"/>
      <c r="PHC124" s="244"/>
      <c r="PHD124" s="244"/>
      <c r="PHE124" s="244"/>
      <c r="PHF124" s="244"/>
      <c r="PHG124" s="244"/>
      <c r="PHH124" s="244"/>
      <c r="PHI124" s="244"/>
      <c r="PHJ124" s="244"/>
      <c r="PHK124" s="244"/>
      <c r="PHL124" s="244"/>
      <c r="PHM124" s="244"/>
      <c r="PHN124" s="244"/>
      <c r="PHO124" s="244"/>
      <c r="PHP124" s="244"/>
      <c r="PHQ124" s="244"/>
      <c r="PHR124" s="244"/>
      <c r="PHS124" s="244"/>
      <c r="PHT124" s="244"/>
      <c r="PHU124" s="244"/>
      <c r="PHV124" s="244"/>
      <c r="PHW124" s="244"/>
      <c r="PHX124" s="244"/>
      <c r="PHY124" s="244"/>
      <c r="PHZ124" s="244"/>
      <c r="PIA124" s="244"/>
      <c r="PIB124" s="244"/>
      <c r="PIC124" s="244"/>
      <c r="PID124" s="244"/>
      <c r="PIE124" s="244"/>
      <c r="PIF124" s="244"/>
      <c r="PIG124" s="244"/>
      <c r="PIH124" s="244"/>
      <c r="PII124" s="244"/>
      <c r="PIJ124" s="244"/>
      <c r="PIK124" s="244"/>
      <c r="PIL124" s="244"/>
      <c r="PIM124" s="244"/>
      <c r="PIN124" s="244"/>
      <c r="PIO124" s="244"/>
      <c r="PIP124" s="244"/>
      <c r="PIQ124" s="244"/>
      <c r="PIR124" s="244"/>
      <c r="PIS124" s="244"/>
      <c r="PIT124" s="244"/>
      <c r="PIU124" s="244"/>
      <c r="PIV124" s="244"/>
      <c r="PIW124" s="244"/>
      <c r="PIX124" s="244"/>
      <c r="PIY124" s="244"/>
      <c r="PIZ124" s="244"/>
      <c r="PJA124" s="244"/>
      <c r="PJB124" s="244"/>
      <c r="PJC124" s="244"/>
      <c r="PJD124" s="244"/>
      <c r="PJE124" s="244"/>
      <c r="PJF124" s="244"/>
      <c r="PJG124" s="244"/>
      <c r="PJH124" s="244"/>
      <c r="PJI124" s="244"/>
      <c r="PJJ124" s="244"/>
      <c r="PJK124" s="244"/>
      <c r="PJL124" s="244"/>
      <c r="PJM124" s="244"/>
      <c r="PJN124" s="244"/>
      <c r="PJO124" s="244"/>
      <c r="PJP124" s="244"/>
      <c r="PJQ124" s="244"/>
      <c r="PJR124" s="244"/>
      <c r="PJS124" s="244"/>
      <c r="PJT124" s="244"/>
      <c r="PJU124" s="244"/>
      <c r="PJV124" s="244"/>
      <c r="PJW124" s="244"/>
      <c r="PJX124" s="244"/>
      <c r="PJY124" s="244"/>
      <c r="PJZ124" s="244"/>
      <c r="PKA124" s="244"/>
      <c r="PKB124" s="244"/>
      <c r="PKC124" s="244"/>
      <c r="PKD124" s="244"/>
      <c r="PKE124" s="244"/>
      <c r="PKF124" s="244"/>
      <c r="PKG124" s="244"/>
      <c r="PKH124" s="244"/>
      <c r="PKI124" s="244"/>
      <c r="PKJ124" s="244"/>
      <c r="PKK124" s="244"/>
      <c r="PKL124" s="244"/>
      <c r="PKM124" s="244"/>
      <c r="PKN124" s="244"/>
      <c r="PKO124" s="244"/>
      <c r="PKP124" s="244"/>
      <c r="PKQ124" s="244"/>
      <c r="PKR124" s="244"/>
      <c r="PKS124" s="244"/>
      <c r="PKT124" s="244"/>
      <c r="PKU124" s="244"/>
      <c r="PKV124" s="244"/>
      <c r="PKW124" s="244"/>
      <c r="PKX124" s="244"/>
      <c r="PKY124" s="244"/>
      <c r="PKZ124" s="244"/>
      <c r="PLA124" s="244"/>
      <c r="PLB124" s="244"/>
      <c r="PLC124" s="244"/>
      <c r="PLD124" s="244"/>
      <c r="PLE124" s="244"/>
      <c r="PLF124" s="244"/>
      <c r="PLG124" s="244"/>
      <c r="PLH124" s="244"/>
      <c r="PLI124" s="244"/>
      <c r="PLJ124" s="244"/>
      <c r="PLK124" s="244"/>
      <c r="PLL124" s="244"/>
      <c r="PLM124" s="244"/>
      <c r="PLN124" s="244"/>
      <c r="PLO124" s="244"/>
      <c r="PLP124" s="244"/>
      <c r="PLQ124" s="244"/>
      <c r="PLR124" s="244"/>
      <c r="PLS124" s="244"/>
      <c r="PLT124" s="244"/>
      <c r="PLU124" s="244"/>
      <c r="PLV124" s="244"/>
      <c r="PLW124" s="244"/>
      <c r="PLX124" s="244"/>
      <c r="PLY124" s="244"/>
      <c r="PLZ124" s="244"/>
      <c r="PMA124" s="244"/>
      <c r="PMB124" s="244"/>
      <c r="PMC124" s="244"/>
      <c r="PMD124" s="244"/>
      <c r="PME124" s="244"/>
      <c r="PMF124" s="244"/>
      <c r="PMG124" s="244"/>
      <c r="PMH124" s="244"/>
      <c r="PMI124" s="244"/>
      <c r="PMJ124" s="244"/>
      <c r="PMK124" s="244"/>
      <c r="PML124" s="244"/>
      <c r="PMM124" s="244"/>
      <c r="PMN124" s="244"/>
      <c r="PMO124" s="244"/>
      <c r="PMP124" s="244"/>
      <c r="PMQ124" s="244"/>
      <c r="PMR124" s="244"/>
      <c r="PMS124" s="244"/>
      <c r="PMT124" s="244"/>
      <c r="PMU124" s="244"/>
      <c r="PMV124" s="244"/>
      <c r="PMW124" s="244"/>
      <c r="PMX124" s="244"/>
      <c r="PMY124" s="244"/>
      <c r="PMZ124" s="244"/>
      <c r="PNA124" s="244"/>
      <c r="PNB124" s="244"/>
      <c r="PNC124" s="244"/>
      <c r="PND124" s="244"/>
      <c r="PNE124" s="244"/>
      <c r="PNF124" s="244"/>
      <c r="PNG124" s="244"/>
      <c r="PNH124" s="244"/>
      <c r="PNI124" s="244"/>
      <c r="PNJ124" s="244"/>
      <c r="PNK124" s="244"/>
      <c r="PNL124" s="244"/>
      <c r="PNM124" s="244"/>
      <c r="PNN124" s="244"/>
      <c r="PNO124" s="244"/>
      <c r="PNP124" s="244"/>
      <c r="PNQ124" s="244"/>
      <c r="PNR124" s="244"/>
      <c r="PNS124" s="244"/>
      <c r="PNT124" s="244"/>
      <c r="PNU124" s="244"/>
      <c r="PNV124" s="244"/>
      <c r="PNW124" s="244"/>
      <c r="PNX124" s="244"/>
      <c r="PNY124" s="244"/>
      <c r="PNZ124" s="244"/>
      <c r="POA124" s="244"/>
      <c r="POB124" s="244"/>
      <c r="POC124" s="244"/>
      <c r="POD124" s="244"/>
      <c r="POE124" s="244"/>
      <c r="POF124" s="244"/>
      <c r="POG124" s="244"/>
      <c r="POH124" s="244"/>
      <c r="POI124" s="244"/>
      <c r="POJ124" s="244"/>
      <c r="POK124" s="244"/>
      <c r="POL124" s="244"/>
      <c r="POM124" s="244"/>
      <c r="PON124" s="244"/>
      <c r="POO124" s="244"/>
      <c r="POP124" s="244"/>
      <c r="POQ124" s="244"/>
      <c r="POR124" s="244"/>
      <c r="POS124" s="244"/>
      <c r="POT124" s="244"/>
      <c r="POU124" s="244"/>
      <c r="POV124" s="244"/>
      <c r="POW124" s="244"/>
      <c r="POX124" s="244"/>
      <c r="POY124" s="244"/>
      <c r="POZ124" s="244"/>
      <c r="PPA124" s="244"/>
      <c r="PPB124" s="244"/>
      <c r="PPC124" s="244"/>
      <c r="PPD124" s="244"/>
      <c r="PPE124" s="244"/>
      <c r="PPF124" s="244"/>
      <c r="PPG124" s="244"/>
      <c r="PPH124" s="244"/>
      <c r="PPI124" s="244"/>
      <c r="PPJ124" s="244"/>
      <c r="PPK124" s="244"/>
      <c r="PPL124" s="244"/>
      <c r="PPM124" s="244"/>
      <c r="PPN124" s="244"/>
      <c r="PPO124" s="244"/>
      <c r="PPP124" s="244"/>
      <c r="PPQ124" s="244"/>
      <c r="PPR124" s="244"/>
      <c r="PPS124" s="244"/>
      <c r="PPT124" s="244"/>
      <c r="PPU124" s="244"/>
      <c r="PPV124" s="244"/>
      <c r="PPW124" s="244"/>
      <c r="PPX124" s="244"/>
      <c r="PPY124" s="244"/>
      <c r="PPZ124" s="244"/>
      <c r="PQA124" s="244"/>
      <c r="PQB124" s="244"/>
      <c r="PQC124" s="244"/>
      <c r="PQD124" s="244"/>
      <c r="PQE124" s="244"/>
      <c r="PQF124" s="244"/>
      <c r="PQG124" s="244"/>
      <c r="PQH124" s="244"/>
      <c r="PQI124" s="244"/>
      <c r="PQJ124" s="244"/>
      <c r="PQK124" s="244"/>
      <c r="PQL124" s="244"/>
      <c r="PQM124" s="244"/>
      <c r="PQN124" s="244"/>
      <c r="PQO124" s="244"/>
      <c r="PQP124" s="244"/>
      <c r="PQQ124" s="244"/>
      <c r="PQR124" s="244"/>
      <c r="PQS124" s="244"/>
      <c r="PQT124" s="244"/>
      <c r="PQU124" s="244"/>
      <c r="PQV124" s="244"/>
      <c r="PQW124" s="244"/>
      <c r="PQX124" s="244"/>
      <c r="PQY124" s="244"/>
      <c r="PQZ124" s="244"/>
      <c r="PRA124" s="244"/>
      <c r="PRB124" s="244"/>
      <c r="PRC124" s="244"/>
      <c r="PRD124" s="244"/>
      <c r="PRE124" s="244"/>
      <c r="PRF124" s="244"/>
      <c r="PRG124" s="244"/>
      <c r="PRH124" s="244"/>
      <c r="PRI124" s="244"/>
      <c r="PRJ124" s="244"/>
      <c r="PRK124" s="244"/>
      <c r="PRL124" s="244"/>
      <c r="PRM124" s="244"/>
      <c r="PRN124" s="244"/>
      <c r="PRO124" s="244"/>
      <c r="PRP124" s="244"/>
      <c r="PRQ124" s="244"/>
      <c r="PRR124" s="244"/>
      <c r="PRS124" s="244"/>
      <c r="PRT124" s="244"/>
      <c r="PRU124" s="244"/>
      <c r="PRV124" s="244"/>
      <c r="PRW124" s="244"/>
      <c r="PRX124" s="244"/>
      <c r="PRY124" s="244"/>
      <c r="PRZ124" s="244"/>
      <c r="PSA124" s="244"/>
      <c r="PSB124" s="244"/>
      <c r="PSC124" s="244"/>
      <c r="PSD124" s="244"/>
      <c r="PSE124" s="244"/>
      <c r="PSF124" s="244"/>
      <c r="PSG124" s="244"/>
      <c r="PSH124" s="244"/>
      <c r="PSI124" s="244"/>
      <c r="PSJ124" s="244"/>
      <c r="PSK124" s="244"/>
      <c r="PSL124" s="244"/>
      <c r="PSM124" s="244"/>
      <c r="PSN124" s="244"/>
      <c r="PSO124" s="244"/>
      <c r="PSP124" s="244"/>
      <c r="PSQ124" s="244"/>
      <c r="PSR124" s="244"/>
      <c r="PSS124" s="244"/>
      <c r="PST124" s="244"/>
      <c r="PSU124" s="244"/>
      <c r="PSV124" s="244"/>
      <c r="PSW124" s="244"/>
      <c r="PSX124" s="244"/>
      <c r="PSY124" s="244"/>
      <c r="PSZ124" s="244"/>
      <c r="PTA124" s="244"/>
      <c r="PTB124" s="244"/>
      <c r="PTC124" s="244"/>
      <c r="PTD124" s="244"/>
      <c r="PTE124" s="244"/>
      <c r="PTF124" s="244"/>
      <c r="PTG124" s="244"/>
      <c r="PTH124" s="244"/>
      <c r="PTI124" s="244"/>
      <c r="PTJ124" s="244"/>
      <c r="PTK124" s="244"/>
      <c r="PTL124" s="244"/>
      <c r="PTM124" s="244"/>
      <c r="PTN124" s="244"/>
      <c r="PTO124" s="244"/>
      <c r="PTP124" s="244"/>
      <c r="PTQ124" s="244"/>
      <c r="PTR124" s="244"/>
      <c r="PTS124" s="244"/>
      <c r="PTT124" s="244"/>
      <c r="PTU124" s="244"/>
      <c r="PTV124" s="244"/>
      <c r="PTW124" s="244"/>
      <c r="PTX124" s="244"/>
      <c r="PTY124" s="244"/>
      <c r="PTZ124" s="244"/>
      <c r="PUA124" s="244"/>
      <c r="PUB124" s="244"/>
      <c r="PUC124" s="244"/>
      <c r="PUD124" s="244"/>
      <c r="PUE124" s="244"/>
      <c r="PUF124" s="244"/>
      <c r="PUG124" s="244"/>
      <c r="PUH124" s="244"/>
      <c r="PUI124" s="244"/>
      <c r="PUJ124" s="244"/>
      <c r="PUK124" s="244"/>
      <c r="PUL124" s="244"/>
      <c r="PUM124" s="244"/>
      <c r="PUN124" s="244"/>
      <c r="PUO124" s="244"/>
      <c r="PUP124" s="244"/>
      <c r="PUQ124" s="244"/>
      <c r="PUR124" s="244"/>
      <c r="PUS124" s="244"/>
      <c r="PUT124" s="244"/>
      <c r="PUU124" s="244"/>
      <c r="PUV124" s="244"/>
      <c r="PUW124" s="244"/>
      <c r="PUX124" s="244"/>
      <c r="PUY124" s="244"/>
      <c r="PUZ124" s="244"/>
      <c r="PVA124" s="244"/>
      <c r="PVB124" s="244"/>
      <c r="PVC124" s="244"/>
      <c r="PVD124" s="244"/>
      <c r="PVE124" s="244"/>
      <c r="PVF124" s="244"/>
      <c r="PVG124" s="244"/>
      <c r="PVH124" s="244"/>
      <c r="PVI124" s="244"/>
      <c r="PVJ124" s="244"/>
      <c r="PVK124" s="244"/>
      <c r="PVL124" s="244"/>
      <c r="PVM124" s="244"/>
      <c r="PVN124" s="244"/>
      <c r="PVO124" s="244"/>
      <c r="PVP124" s="244"/>
      <c r="PVQ124" s="244"/>
      <c r="PVR124" s="244"/>
      <c r="PVS124" s="244"/>
      <c r="PVT124" s="244"/>
      <c r="PVU124" s="244"/>
      <c r="PVV124" s="244"/>
      <c r="PVW124" s="244"/>
      <c r="PVX124" s="244"/>
      <c r="PVY124" s="244"/>
      <c r="PVZ124" s="244"/>
      <c r="PWA124" s="244"/>
      <c r="PWB124" s="244"/>
      <c r="PWC124" s="244"/>
      <c r="PWD124" s="244"/>
      <c r="PWE124" s="244"/>
      <c r="PWF124" s="244"/>
      <c r="PWG124" s="244"/>
      <c r="PWH124" s="244"/>
      <c r="PWI124" s="244"/>
      <c r="PWJ124" s="244"/>
      <c r="PWK124" s="244"/>
      <c r="PWL124" s="244"/>
      <c r="PWM124" s="244"/>
      <c r="PWN124" s="244"/>
      <c r="PWO124" s="244"/>
      <c r="PWP124" s="244"/>
      <c r="PWQ124" s="244"/>
      <c r="PWR124" s="244"/>
      <c r="PWS124" s="244"/>
      <c r="PWT124" s="244"/>
      <c r="PWU124" s="244"/>
      <c r="PWV124" s="244"/>
      <c r="PWW124" s="244"/>
      <c r="PWX124" s="244"/>
      <c r="PWY124" s="244"/>
      <c r="PWZ124" s="244"/>
      <c r="PXA124" s="244"/>
      <c r="PXB124" s="244"/>
      <c r="PXC124" s="244"/>
      <c r="PXD124" s="244"/>
      <c r="PXE124" s="244"/>
      <c r="PXF124" s="244"/>
      <c r="PXG124" s="244"/>
      <c r="PXH124" s="244"/>
      <c r="PXI124" s="244"/>
      <c r="PXJ124" s="244"/>
      <c r="PXK124" s="244"/>
      <c r="PXL124" s="244"/>
      <c r="PXM124" s="244"/>
      <c r="PXN124" s="244"/>
      <c r="PXO124" s="244"/>
      <c r="PXP124" s="244"/>
      <c r="PXQ124" s="244"/>
      <c r="PXR124" s="244"/>
      <c r="PXS124" s="244"/>
      <c r="PXT124" s="244"/>
      <c r="PXU124" s="244"/>
      <c r="PXV124" s="244"/>
      <c r="PXW124" s="244"/>
      <c r="PXX124" s="244"/>
      <c r="PXY124" s="244"/>
      <c r="PXZ124" s="244"/>
      <c r="PYA124" s="244"/>
      <c r="PYB124" s="244"/>
      <c r="PYC124" s="244"/>
      <c r="PYD124" s="244"/>
      <c r="PYE124" s="244"/>
      <c r="PYF124" s="244"/>
      <c r="PYG124" s="244"/>
      <c r="PYH124" s="244"/>
      <c r="PYI124" s="244"/>
      <c r="PYJ124" s="244"/>
      <c r="PYK124" s="244"/>
      <c r="PYL124" s="244"/>
      <c r="PYM124" s="244"/>
      <c r="PYN124" s="244"/>
      <c r="PYO124" s="244"/>
      <c r="PYP124" s="244"/>
      <c r="PYQ124" s="244"/>
      <c r="PYR124" s="244"/>
      <c r="PYS124" s="244"/>
      <c r="PYT124" s="244"/>
      <c r="PYU124" s="244"/>
      <c r="PYV124" s="244"/>
      <c r="PYW124" s="244"/>
      <c r="PYX124" s="244"/>
      <c r="PYY124" s="244"/>
      <c r="PYZ124" s="244"/>
      <c r="PZA124" s="244"/>
      <c r="PZB124" s="244"/>
      <c r="PZC124" s="244"/>
      <c r="PZD124" s="244"/>
      <c r="PZE124" s="244"/>
      <c r="PZF124" s="244"/>
      <c r="PZG124" s="244"/>
      <c r="PZH124" s="244"/>
      <c r="PZI124" s="244"/>
      <c r="PZJ124" s="244"/>
      <c r="PZK124" s="244"/>
      <c r="PZL124" s="244"/>
      <c r="PZM124" s="244"/>
      <c r="PZN124" s="244"/>
      <c r="PZO124" s="244"/>
      <c r="PZP124" s="244"/>
      <c r="PZQ124" s="244"/>
      <c r="PZR124" s="244"/>
      <c r="PZS124" s="244"/>
      <c r="PZT124" s="244"/>
      <c r="PZU124" s="244"/>
      <c r="PZV124" s="244"/>
      <c r="PZW124" s="244"/>
      <c r="PZX124" s="244"/>
      <c r="PZY124" s="244"/>
      <c r="PZZ124" s="244"/>
      <c r="QAA124" s="244"/>
      <c r="QAB124" s="244"/>
      <c r="QAC124" s="244"/>
      <c r="QAD124" s="244"/>
      <c r="QAE124" s="244"/>
      <c r="QAF124" s="244"/>
      <c r="QAG124" s="244"/>
      <c r="QAH124" s="244"/>
      <c r="QAI124" s="244"/>
      <c r="QAJ124" s="244"/>
      <c r="QAK124" s="244"/>
      <c r="QAL124" s="244"/>
      <c r="QAM124" s="244"/>
      <c r="QAN124" s="244"/>
      <c r="QAO124" s="244"/>
      <c r="QAP124" s="244"/>
      <c r="QAQ124" s="244"/>
      <c r="QAR124" s="244"/>
      <c r="QAS124" s="244"/>
      <c r="QAT124" s="244"/>
      <c r="QAU124" s="244"/>
      <c r="QAV124" s="244"/>
      <c r="QAW124" s="244"/>
      <c r="QAX124" s="244"/>
      <c r="QAY124" s="244"/>
      <c r="QAZ124" s="244"/>
      <c r="QBA124" s="244"/>
      <c r="QBB124" s="244"/>
      <c r="QBC124" s="244"/>
      <c r="QBD124" s="244"/>
      <c r="QBE124" s="244"/>
      <c r="QBF124" s="244"/>
      <c r="QBG124" s="244"/>
      <c r="QBH124" s="244"/>
      <c r="QBI124" s="244"/>
      <c r="QBJ124" s="244"/>
      <c r="QBK124" s="244"/>
      <c r="QBL124" s="244"/>
      <c r="QBM124" s="244"/>
      <c r="QBN124" s="244"/>
      <c r="QBO124" s="244"/>
      <c r="QBP124" s="244"/>
      <c r="QBQ124" s="244"/>
      <c r="QBR124" s="244"/>
      <c r="QBS124" s="244"/>
      <c r="QBT124" s="244"/>
      <c r="QBU124" s="244"/>
      <c r="QBV124" s="244"/>
      <c r="QBW124" s="244"/>
      <c r="QBX124" s="244"/>
      <c r="QBY124" s="244"/>
      <c r="QBZ124" s="244"/>
      <c r="QCA124" s="244"/>
      <c r="QCB124" s="244"/>
      <c r="QCC124" s="244"/>
      <c r="QCD124" s="244"/>
      <c r="QCE124" s="244"/>
      <c r="QCF124" s="244"/>
      <c r="QCG124" s="244"/>
      <c r="QCH124" s="244"/>
      <c r="QCI124" s="244"/>
      <c r="QCJ124" s="244"/>
      <c r="QCK124" s="244"/>
      <c r="QCL124" s="244"/>
      <c r="QCM124" s="244"/>
      <c r="QCN124" s="244"/>
      <c r="QCO124" s="244"/>
      <c r="QCP124" s="244"/>
      <c r="QCQ124" s="244"/>
      <c r="QCR124" s="244"/>
      <c r="QCS124" s="244"/>
      <c r="QCT124" s="244"/>
      <c r="QCU124" s="244"/>
      <c r="QCV124" s="244"/>
      <c r="QCW124" s="244"/>
      <c r="QCX124" s="244"/>
      <c r="QCY124" s="244"/>
      <c r="QCZ124" s="244"/>
      <c r="QDA124" s="244"/>
      <c r="QDB124" s="244"/>
      <c r="QDC124" s="244"/>
      <c r="QDD124" s="244"/>
      <c r="QDE124" s="244"/>
      <c r="QDF124" s="244"/>
      <c r="QDG124" s="244"/>
      <c r="QDH124" s="244"/>
      <c r="QDI124" s="244"/>
      <c r="QDJ124" s="244"/>
      <c r="QDK124" s="244"/>
      <c r="QDL124" s="244"/>
      <c r="QDM124" s="244"/>
      <c r="QDN124" s="244"/>
      <c r="QDO124" s="244"/>
      <c r="QDP124" s="244"/>
      <c r="QDQ124" s="244"/>
      <c r="QDR124" s="244"/>
      <c r="QDS124" s="244"/>
      <c r="QDT124" s="244"/>
      <c r="QDU124" s="244"/>
      <c r="QDV124" s="244"/>
      <c r="QDW124" s="244"/>
      <c r="QDX124" s="244"/>
      <c r="QDY124" s="244"/>
      <c r="QDZ124" s="244"/>
      <c r="QEA124" s="244"/>
      <c r="QEB124" s="244"/>
      <c r="QEC124" s="244"/>
      <c r="QED124" s="244"/>
      <c r="QEE124" s="244"/>
      <c r="QEF124" s="244"/>
      <c r="QEG124" s="244"/>
      <c r="QEH124" s="244"/>
      <c r="QEI124" s="244"/>
      <c r="QEJ124" s="244"/>
      <c r="QEK124" s="244"/>
      <c r="QEL124" s="244"/>
      <c r="QEM124" s="244"/>
      <c r="QEN124" s="244"/>
      <c r="QEO124" s="244"/>
      <c r="QEP124" s="244"/>
      <c r="QEQ124" s="244"/>
      <c r="QER124" s="244"/>
      <c r="QES124" s="244"/>
      <c r="QET124" s="244"/>
      <c r="QEU124" s="244"/>
      <c r="QEV124" s="244"/>
      <c r="QEW124" s="244"/>
      <c r="QEX124" s="244"/>
      <c r="QEY124" s="244"/>
      <c r="QEZ124" s="244"/>
      <c r="QFA124" s="244"/>
      <c r="QFB124" s="244"/>
      <c r="QFC124" s="244"/>
      <c r="QFD124" s="244"/>
      <c r="QFE124" s="244"/>
      <c r="QFF124" s="244"/>
      <c r="QFG124" s="244"/>
      <c r="QFH124" s="244"/>
      <c r="QFI124" s="244"/>
      <c r="QFJ124" s="244"/>
      <c r="QFK124" s="244"/>
      <c r="QFL124" s="244"/>
      <c r="QFM124" s="244"/>
      <c r="QFN124" s="244"/>
      <c r="QFO124" s="244"/>
      <c r="QFP124" s="244"/>
      <c r="QFQ124" s="244"/>
      <c r="QFR124" s="244"/>
      <c r="QFS124" s="244"/>
      <c r="QFT124" s="244"/>
      <c r="QFU124" s="244"/>
      <c r="QFV124" s="244"/>
      <c r="QFW124" s="244"/>
      <c r="QFX124" s="244"/>
      <c r="QFY124" s="244"/>
      <c r="QFZ124" s="244"/>
      <c r="QGA124" s="244"/>
      <c r="QGB124" s="244"/>
      <c r="QGC124" s="244"/>
      <c r="QGD124" s="244"/>
      <c r="QGE124" s="244"/>
      <c r="QGF124" s="244"/>
      <c r="QGG124" s="244"/>
      <c r="QGH124" s="244"/>
      <c r="QGI124" s="244"/>
      <c r="QGJ124" s="244"/>
      <c r="QGK124" s="244"/>
      <c r="QGL124" s="244"/>
      <c r="QGM124" s="244"/>
      <c r="QGN124" s="244"/>
      <c r="QGO124" s="244"/>
      <c r="QGP124" s="244"/>
      <c r="QGQ124" s="244"/>
      <c r="QGR124" s="244"/>
      <c r="QGS124" s="244"/>
      <c r="QGT124" s="244"/>
      <c r="QGU124" s="244"/>
      <c r="QGV124" s="244"/>
      <c r="QGW124" s="244"/>
      <c r="QGX124" s="244"/>
      <c r="QGY124" s="244"/>
      <c r="QGZ124" s="244"/>
      <c r="QHA124" s="244"/>
      <c r="QHB124" s="244"/>
      <c r="QHC124" s="244"/>
      <c r="QHD124" s="244"/>
      <c r="QHE124" s="244"/>
      <c r="QHF124" s="244"/>
      <c r="QHG124" s="244"/>
      <c r="QHH124" s="244"/>
      <c r="QHI124" s="244"/>
      <c r="QHJ124" s="244"/>
      <c r="QHK124" s="244"/>
      <c r="QHL124" s="244"/>
      <c r="QHM124" s="244"/>
      <c r="QHN124" s="244"/>
      <c r="QHO124" s="244"/>
      <c r="QHP124" s="244"/>
      <c r="QHQ124" s="244"/>
      <c r="QHR124" s="244"/>
      <c r="QHS124" s="244"/>
      <c r="QHT124" s="244"/>
      <c r="QHU124" s="244"/>
      <c r="QHV124" s="244"/>
      <c r="QHW124" s="244"/>
      <c r="QHX124" s="244"/>
      <c r="QHY124" s="244"/>
      <c r="QHZ124" s="244"/>
      <c r="QIA124" s="244"/>
      <c r="QIB124" s="244"/>
      <c r="QIC124" s="244"/>
      <c r="QID124" s="244"/>
      <c r="QIE124" s="244"/>
      <c r="QIF124" s="244"/>
      <c r="QIG124" s="244"/>
      <c r="QIH124" s="244"/>
      <c r="QII124" s="244"/>
      <c r="QIJ124" s="244"/>
      <c r="QIK124" s="244"/>
      <c r="QIL124" s="244"/>
      <c r="QIM124" s="244"/>
      <c r="QIN124" s="244"/>
      <c r="QIO124" s="244"/>
      <c r="QIP124" s="244"/>
      <c r="QIQ124" s="244"/>
      <c r="QIR124" s="244"/>
      <c r="QIS124" s="244"/>
      <c r="QIT124" s="244"/>
      <c r="QIU124" s="244"/>
      <c r="QIV124" s="244"/>
      <c r="QIW124" s="244"/>
      <c r="QIX124" s="244"/>
      <c r="QIY124" s="244"/>
      <c r="QIZ124" s="244"/>
      <c r="QJA124" s="244"/>
      <c r="QJB124" s="244"/>
      <c r="QJC124" s="244"/>
      <c r="QJD124" s="244"/>
      <c r="QJE124" s="244"/>
      <c r="QJF124" s="244"/>
      <c r="QJG124" s="244"/>
      <c r="QJH124" s="244"/>
      <c r="QJI124" s="244"/>
      <c r="QJJ124" s="244"/>
      <c r="QJK124" s="244"/>
      <c r="QJL124" s="244"/>
      <c r="QJM124" s="244"/>
      <c r="QJN124" s="244"/>
      <c r="QJO124" s="244"/>
      <c r="QJP124" s="244"/>
      <c r="QJQ124" s="244"/>
      <c r="QJR124" s="244"/>
      <c r="QJS124" s="244"/>
      <c r="QJT124" s="244"/>
      <c r="QJU124" s="244"/>
      <c r="QJV124" s="244"/>
      <c r="QJW124" s="244"/>
      <c r="QJX124" s="244"/>
      <c r="QJY124" s="244"/>
      <c r="QJZ124" s="244"/>
      <c r="QKA124" s="244"/>
      <c r="QKB124" s="244"/>
      <c r="QKC124" s="244"/>
      <c r="QKD124" s="244"/>
      <c r="QKE124" s="244"/>
      <c r="QKF124" s="244"/>
      <c r="QKG124" s="244"/>
      <c r="QKH124" s="244"/>
      <c r="QKI124" s="244"/>
      <c r="QKJ124" s="244"/>
      <c r="QKK124" s="244"/>
      <c r="QKL124" s="244"/>
      <c r="QKM124" s="244"/>
      <c r="QKN124" s="244"/>
      <c r="QKO124" s="244"/>
      <c r="QKP124" s="244"/>
      <c r="QKQ124" s="244"/>
      <c r="QKR124" s="244"/>
      <c r="QKS124" s="244"/>
      <c r="QKT124" s="244"/>
      <c r="QKU124" s="244"/>
      <c r="QKV124" s="244"/>
      <c r="QKW124" s="244"/>
      <c r="QKX124" s="244"/>
      <c r="QKY124" s="244"/>
      <c r="QKZ124" s="244"/>
      <c r="QLA124" s="244"/>
      <c r="QLB124" s="244"/>
      <c r="QLC124" s="244"/>
      <c r="QLD124" s="244"/>
      <c r="QLE124" s="244"/>
      <c r="QLF124" s="244"/>
      <c r="QLG124" s="244"/>
      <c r="QLH124" s="244"/>
      <c r="QLI124" s="244"/>
      <c r="QLJ124" s="244"/>
      <c r="QLK124" s="244"/>
      <c r="QLL124" s="244"/>
      <c r="QLM124" s="244"/>
      <c r="QLN124" s="244"/>
      <c r="QLO124" s="244"/>
      <c r="QLP124" s="244"/>
      <c r="QLQ124" s="244"/>
      <c r="QLR124" s="244"/>
      <c r="QLS124" s="244"/>
      <c r="QLT124" s="244"/>
      <c r="QLU124" s="244"/>
      <c r="QLV124" s="244"/>
      <c r="QLW124" s="244"/>
      <c r="QLX124" s="244"/>
      <c r="QLY124" s="244"/>
      <c r="QLZ124" s="244"/>
      <c r="QMA124" s="244"/>
      <c r="QMB124" s="244"/>
      <c r="QMC124" s="244"/>
      <c r="QMD124" s="244"/>
      <c r="QME124" s="244"/>
      <c r="QMF124" s="244"/>
      <c r="QMG124" s="244"/>
      <c r="QMH124" s="244"/>
      <c r="QMI124" s="244"/>
      <c r="QMJ124" s="244"/>
      <c r="QMK124" s="244"/>
      <c r="QML124" s="244"/>
      <c r="QMM124" s="244"/>
      <c r="QMN124" s="244"/>
      <c r="QMO124" s="244"/>
      <c r="QMP124" s="244"/>
      <c r="QMQ124" s="244"/>
      <c r="QMR124" s="244"/>
      <c r="QMS124" s="244"/>
      <c r="QMT124" s="244"/>
      <c r="QMU124" s="244"/>
      <c r="QMV124" s="244"/>
      <c r="QMW124" s="244"/>
      <c r="QMX124" s="244"/>
      <c r="QMY124" s="244"/>
      <c r="QMZ124" s="244"/>
      <c r="QNA124" s="244"/>
      <c r="QNB124" s="244"/>
      <c r="QNC124" s="244"/>
      <c r="QND124" s="244"/>
      <c r="QNE124" s="244"/>
      <c r="QNF124" s="244"/>
      <c r="QNG124" s="244"/>
      <c r="QNH124" s="244"/>
      <c r="QNI124" s="244"/>
      <c r="QNJ124" s="244"/>
      <c r="QNK124" s="244"/>
      <c r="QNL124" s="244"/>
      <c r="QNM124" s="244"/>
      <c r="QNN124" s="244"/>
      <c r="QNO124" s="244"/>
      <c r="QNP124" s="244"/>
      <c r="QNQ124" s="244"/>
      <c r="QNR124" s="244"/>
      <c r="QNS124" s="244"/>
      <c r="QNT124" s="244"/>
      <c r="QNU124" s="244"/>
      <c r="QNV124" s="244"/>
      <c r="QNW124" s="244"/>
      <c r="QNX124" s="244"/>
      <c r="QNY124" s="244"/>
      <c r="QNZ124" s="244"/>
      <c r="QOA124" s="244"/>
      <c r="QOB124" s="244"/>
      <c r="QOC124" s="244"/>
      <c r="QOD124" s="244"/>
      <c r="QOE124" s="244"/>
      <c r="QOF124" s="244"/>
      <c r="QOG124" s="244"/>
      <c r="QOH124" s="244"/>
      <c r="QOI124" s="244"/>
      <c r="QOJ124" s="244"/>
      <c r="QOK124" s="244"/>
      <c r="QOL124" s="244"/>
      <c r="QOM124" s="244"/>
      <c r="QON124" s="244"/>
      <c r="QOO124" s="244"/>
      <c r="QOP124" s="244"/>
      <c r="QOQ124" s="244"/>
      <c r="QOR124" s="244"/>
      <c r="QOS124" s="244"/>
      <c r="QOT124" s="244"/>
      <c r="QOU124" s="244"/>
      <c r="QOV124" s="244"/>
      <c r="QOW124" s="244"/>
      <c r="QOX124" s="244"/>
      <c r="QOY124" s="244"/>
      <c r="QOZ124" s="244"/>
      <c r="QPA124" s="244"/>
      <c r="QPB124" s="244"/>
      <c r="QPC124" s="244"/>
      <c r="QPD124" s="244"/>
      <c r="QPE124" s="244"/>
      <c r="QPF124" s="244"/>
      <c r="QPG124" s="244"/>
      <c r="QPH124" s="244"/>
      <c r="QPI124" s="244"/>
      <c r="QPJ124" s="244"/>
      <c r="QPK124" s="244"/>
      <c r="QPL124" s="244"/>
      <c r="QPM124" s="244"/>
      <c r="QPN124" s="244"/>
      <c r="QPO124" s="244"/>
      <c r="QPP124" s="244"/>
      <c r="QPQ124" s="244"/>
      <c r="QPR124" s="244"/>
      <c r="QPS124" s="244"/>
      <c r="QPT124" s="244"/>
      <c r="QPU124" s="244"/>
      <c r="QPV124" s="244"/>
      <c r="QPW124" s="244"/>
      <c r="QPX124" s="244"/>
      <c r="QPY124" s="244"/>
      <c r="QPZ124" s="244"/>
      <c r="QQA124" s="244"/>
      <c r="QQB124" s="244"/>
      <c r="QQC124" s="244"/>
      <c r="QQD124" s="244"/>
      <c r="QQE124" s="244"/>
      <c r="QQF124" s="244"/>
      <c r="QQG124" s="244"/>
      <c r="QQH124" s="244"/>
      <c r="QQI124" s="244"/>
      <c r="QQJ124" s="244"/>
      <c r="QQK124" s="244"/>
      <c r="QQL124" s="244"/>
      <c r="QQM124" s="244"/>
      <c r="QQN124" s="244"/>
      <c r="QQO124" s="244"/>
      <c r="QQP124" s="244"/>
      <c r="QQQ124" s="244"/>
      <c r="QQR124" s="244"/>
      <c r="QQS124" s="244"/>
      <c r="QQT124" s="244"/>
      <c r="QQU124" s="244"/>
      <c r="QQV124" s="244"/>
      <c r="QQW124" s="244"/>
      <c r="QQX124" s="244"/>
      <c r="QQY124" s="244"/>
      <c r="QQZ124" s="244"/>
      <c r="QRA124" s="244"/>
      <c r="QRB124" s="244"/>
      <c r="QRC124" s="244"/>
      <c r="QRD124" s="244"/>
      <c r="QRE124" s="244"/>
      <c r="QRF124" s="244"/>
      <c r="QRG124" s="244"/>
      <c r="QRH124" s="244"/>
      <c r="QRI124" s="244"/>
      <c r="QRJ124" s="244"/>
      <c r="QRK124" s="244"/>
      <c r="QRL124" s="244"/>
      <c r="QRM124" s="244"/>
      <c r="QRN124" s="244"/>
      <c r="QRO124" s="244"/>
      <c r="QRP124" s="244"/>
      <c r="QRQ124" s="244"/>
      <c r="QRR124" s="244"/>
      <c r="QRS124" s="244"/>
      <c r="QRT124" s="244"/>
      <c r="QRU124" s="244"/>
      <c r="QRV124" s="244"/>
      <c r="QRW124" s="244"/>
      <c r="QRX124" s="244"/>
      <c r="QRY124" s="244"/>
      <c r="QRZ124" s="244"/>
      <c r="QSA124" s="244"/>
      <c r="QSB124" s="244"/>
      <c r="QSC124" s="244"/>
      <c r="QSD124" s="244"/>
      <c r="QSE124" s="244"/>
      <c r="QSF124" s="244"/>
      <c r="QSG124" s="244"/>
      <c r="QSH124" s="244"/>
      <c r="QSI124" s="244"/>
      <c r="QSJ124" s="244"/>
      <c r="QSK124" s="244"/>
      <c r="QSL124" s="244"/>
      <c r="QSM124" s="244"/>
      <c r="QSN124" s="244"/>
      <c r="QSO124" s="244"/>
      <c r="QSP124" s="244"/>
      <c r="QSQ124" s="244"/>
      <c r="QSR124" s="244"/>
      <c r="QSS124" s="244"/>
      <c r="QST124" s="244"/>
      <c r="QSU124" s="244"/>
      <c r="QSV124" s="244"/>
      <c r="QSW124" s="244"/>
      <c r="QSX124" s="244"/>
      <c r="QSY124" s="244"/>
      <c r="QSZ124" s="244"/>
      <c r="QTA124" s="244"/>
      <c r="QTB124" s="244"/>
      <c r="QTC124" s="244"/>
      <c r="QTD124" s="244"/>
      <c r="QTE124" s="244"/>
      <c r="QTF124" s="244"/>
      <c r="QTG124" s="244"/>
      <c r="QTH124" s="244"/>
      <c r="QTI124" s="244"/>
      <c r="QTJ124" s="244"/>
      <c r="QTK124" s="244"/>
      <c r="QTL124" s="244"/>
      <c r="QTM124" s="244"/>
      <c r="QTN124" s="244"/>
      <c r="QTO124" s="244"/>
      <c r="QTP124" s="244"/>
      <c r="QTQ124" s="244"/>
      <c r="QTR124" s="244"/>
      <c r="QTS124" s="244"/>
      <c r="QTT124" s="244"/>
      <c r="QTU124" s="244"/>
      <c r="QTV124" s="244"/>
      <c r="QTW124" s="244"/>
      <c r="QTX124" s="244"/>
      <c r="QTY124" s="244"/>
      <c r="QTZ124" s="244"/>
      <c r="QUA124" s="244"/>
      <c r="QUB124" s="244"/>
      <c r="QUC124" s="244"/>
      <c r="QUD124" s="244"/>
      <c r="QUE124" s="244"/>
      <c r="QUF124" s="244"/>
      <c r="QUG124" s="244"/>
      <c r="QUH124" s="244"/>
      <c r="QUI124" s="244"/>
      <c r="QUJ124" s="244"/>
      <c r="QUK124" s="244"/>
      <c r="QUL124" s="244"/>
      <c r="QUM124" s="244"/>
      <c r="QUN124" s="244"/>
      <c r="QUO124" s="244"/>
      <c r="QUP124" s="244"/>
      <c r="QUQ124" s="244"/>
      <c r="QUR124" s="244"/>
      <c r="QUS124" s="244"/>
      <c r="QUT124" s="244"/>
      <c r="QUU124" s="244"/>
      <c r="QUV124" s="244"/>
      <c r="QUW124" s="244"/>
      <c r="QUX124" s="244"/>
      <c r="QUY124" s="244"/>
      <c r="QUZ124" s="244"/>
      <c r="QVA124" s="244"/>
      <c r="QVB124" s="244"/>
      <c r="QVC124" s="244"/>
      <c r="QVD124" s="244"/>
      <c r="QVE124" s="244"/>
      <c r="QVF124" s="244"/>
      <c r="QVG124" s="244"/>
      <c r="QVH124" s="244"/>
      <c r="QVI124" s="244"/>
      <c r="QVJ124" s="244"/>
      <c r="QVK124" s="244"/>
      <c r="QVL124" s="244"/>
      <c r="QVM124" s="244"/>
      <c r="QVN124" s="244"/>
      <c r="QVO124" s="244"/>
      <c r="QVP124" s="244"/>
      <c r="QVQ124" s="244"/>
      <c r="QVR124" s="244"/>
      <c r="QVS124" s="244"/>
      <c r="QVT124" s="244"/>
      <c r="QVU124" s="244"/>
      <c r="QVV124" s="244"/>
      <c r="QVW124" s="244"/>
      <c r="QVX124" s="244"/>
      <c r="QVY124" s="244"/>
      <c r="QVZ124" s="244"/>
      <c r="QWA124" s="244"/>
      <c r="QWB124" s="244"/>
      <c r="QWC124" s="244"/>
      <c r="QWD124" s="244"/>
      <c r="QWE124" s="244"/>
      <c r="QWF124" s="244"/>
      <c r="QWG124" s="244"/>
      <c r="QWH124" s="244"/>
      <c r="QWI124" s="244"/>
      <c r="QWJ124" s="244"/>
      <c r="QWK124" s="244"/>
      <c r="QWL124" s="244"/>
      <c r="QWM124" s="244"/>
      <c r="QWN124" s="244"/>
      <c r="QWO124" s="244"/>
      <c r="QWP124" s="244"/>
      <c r="QWQ124" s="244"/>
      <c r="QWR124" s="244"/>
      <c r="QWS124" s="244"/>
      <c r="QWT124" s="244"/>
      <c r="QWU124" s="244"/>
      <c r="QWV124" s="244"/>
      <c r="QWW124" s="244"/>
      <c r="QWX124" s="244"/>
      <c r="QWY124" s="244"/>
      <c r="QWZ124" s="244"/>
      <c r="QXA124" s="244"/>
      <c r="QXB124" s="244"/>
      <c r="QXC124" s="244"/>
      <c r="QXD124" s="244"/>
      <c r="QXE124" s="244"/>
      <c r="QXF124" s="244"/>
      <c r="QXG124" s="244"/>
      <c r="QXH124" s="244"/>
      <c r="QXI124" s="244"/>
      <c r="QXJ124" s="244"/>
      <c r="QXK124" s="244"/>
      <c r="QXL124" s="244"/>
      <c r="QXM124" s="244"/>
      <c r="QXN124" s="244"/>
      <c r="QXO124" s="244"/>
      <c r="QXP124" s="244"/>
      <c r="QXQ124" s="244"/>
      <c r="QXR124" s="244"/>
      <c r="QXS124" s="244"/>
      <c r="QXT124" s="244"/>
      <c r="QXU124" s="244"/>
      <c r="QXV124" s="244"/>
      <c r="QXW124" s="244"/>
      <c r="QXX124" s="244"/>
      <c r="QXY124" s="244"/>
      <c r="QXZ124" s="244"/>
      <c r="QYA124" s="244"/>
      <c r="QYB124" s="244"/>
      <c r="QYC124" s="244"/>
      <c r="QYD124" s="244"/>
      <c r="QYE124" s="244"/>
      <c r="QYF124" s="244"/>
      <c r="QYG124" s="244"/>
      <c r="QYH124" s="244"/>
      <c r="QYI124" s="244"/>
      <c r="QYJ124" s="244"/>
      <c r="QYK124" s="244"/>
      <c r="QYL124" s="244"/>
      <c r="QYM124" s="244"/>
      <c r="QYN124" s="244"/>
      <c r="QYO124" s="244"/>
      <c r="QYP124" s="244"/>
      <c r="QYQ124" s="244"/>
      <c r="QYR124" s="244"/>
      <c r="QYS124" s="244"/>
      <c r="QYT124" s="244"/>
      <c r="QYU124" s="244"/>
      <c r="QYV124" s="244"/>
      <c r="QYW124" s="244"/>
      <c r="QYX124" s="244"/>
      <c r="QYY124" s="244"/>
      <c r="QYZ124" s="244"/>
      <c r="QZA124" s="244"/>
      <c r="QZB124" s="244"/>
      <c r="QZC124" s="244"/>
      <c r="QZD124" s="244"/>
      <c r="QZE124" s="244"/>
      <c r="QZF124" s="244"/>
      <c r="QZG124" s="244"/>
      <c r="QZH124" s="244"/>
      <c r="QZI124" s="244"/>
      <c r="QZJ124" s="244"/>
      <c r="QZK124" s="244"/>
      <c r="QZL124" s="244"/>
      <c r="QZM124" s="244"/>
      <c r="QZN124" s="244"/>
      <c r="QZO124" s="244"/>
      <c r="QZP124" s="244"/>
      <c r="QZQ124" s="244"/>
      <c r="QZR124" s="244"/>
      <c r="QZS124" s="244"/>
      <c r="QZT124" s="244"/>
      <c r="QZU124" s="244"/>
      <c r="QZV124" s="244"/>
      <c r="QZW124" s="244"/>
      <c r="QZX124" s="244"/>
      <c r="QZY124" s="244"/>
      <c r="QZZ124" s="244"/>
      <c r="RAA124" s="244"/>
      <c r="RAB124" s="244"/>
      <c r="RAC124" s="244"/>
      <c r="RAD124" s="244"/>
      <c r="RAE124" s="244"/>
      <c r="RAF124" s="244"/>
      <c r="RAG124" s="244"/>
      <c r="RAH124" s="244"/>
      <c r="RAI124" s="244"/>
      <c r="RAJ124" s="244"/>
      <c r="RAK124" s="244"/>
      <c r="RAL124" s="244"/>
      <c r="RAM124" s="244"/>
      <c r="RAN124" s="244"/>
      <c r="RAO124" s="244"/>
      <c r="RAP124" s="244"/>
      <c r="RAQ124" s="244"/>
      <c r="RAR124" s="244"/>
      <c r="RAS124" s="244"/>
      <c r="RAT124" s="244"/>
      <c r="RAU124" s="244"/>
      <c r="RAV124" s="244"/>
      <c r="RAW124" s="244"/>
      <c r="RAX124" s="244"/>
      <c r="RAY124" s="244"/>
      <c r="RAZ124" s="244"/>
      <c r="RBA124" s="244"/>
      <c r="RBB124" s="244"/>
      <c r="RBC124" s="244"/>
      <c r="RBD124" s="244"/>
      <c r="RBE124" s="244"/>
      <c r="RBF124" s="244"/>
      <c r="RBG124" s="244"/>
      <c r="RBH124" s="244"/>
      <c r="RBI124" s="244"/>
      <c r="RBJ124" s="244"/>
      <c r="RBK124" s="244"/>
      <c r="RBL124" s="244"/>
      <c r="RBM124" s="244"/>
      <c r="RBN124" s="244"/>
      <c r="RBO124" s="244"/>
      <c r="RBP124" s="244"/>
      <c r="RBQ124" s="244"/>
      <c r="RBR124" s="244"/>
      <c r="RBS124" s="244"/>
      <c r="RBT124" s="244"/>
      <c r="RBU124" s="244"/>
      <c r="RBV124" s="244"/>
      <c r="RBW124" s="244"/>
      <c r="RBX124" s="244"/>
      <c r="RBY124" s="244"/>
      <c r="RBZ124" s="244"/>
      <c r="RCA124" s="244"/>
      <c r="RCB124" s="244"/>
      <c r="RCC124" s="244"/>
      <c r="RCD124" s="244"/>
      <c r="RCE124" s="244"/>
      <c r="RCF124" s="244"/>
      <c r="RCG124" s="244"/>
      <c r="RCH124" s="244"/>
      <c r="RCI124" s="244"/>
      <c r="RCJ124" s="244"/>
      <c r="RCK124" s="244"/>
      <c r="RCL124" s="244"/>
      <c r="RCM124" s="244"/>
      <c r="RCN124" s="244"/>
      <c r="RCO124" s="244"/>
      <c r="RCP124" s="244"/>
      <c r="RCQ124" s="244"/>
      <c r="RCR124" s="244"/>
      <c r="RCS124" s="244"/>
      <c r="RCT124" s="244"/>
      <c r="RCU124" s="244"/>
      <c r="RCV124" s="244"/>
      <c r="RCW124" s="244"/>
      <c r="RCX124" s="244"/>
      <c r="RCY124" s="244"/>
      <c r="RCZ124" s="244"/>
      <c r="RDA124" s="244"/>
      <c r="RDB124" s="244"/>
      <c r="RDC124" s="244"/>
      <c r="RDD124" s="244"/>
      <c r="RDE124" s="244"/>
      <c r="RDF124" s="244"/>
      <c r="RDG124" s="244"/>
      <c r="RDH124" s="244"/>
      <c r="RDI124" s="244"/>
      <c r="RDJ124" s="244"/>
      <c r="RDK124" s="244"/>
      <c r="RDL124" s="244"/>
      <c r="RDM124" s="244"/>
      <c r="RDN124" s="244"/>
      <c r="RDO124" s="244"/>
      <c r="RDP124" s="244"/>
      <c r="RDQ124" s="244"/>
      <c r="RDR124" s="244"/>
      <c r="RDS124" s="244"/>
      <c r="RDT124" s="244"/>
      <c r="RDU124" s="244"/>
      <c r="RDV124" s="244"/>
      <c r="RDW124" s="244"/>
      <c r="RDX124" s="244"/>
      <c r="RDY124" s="244"/>
      <c r="RDZ124" s="244"/>
      <c r="REA124" s="244"/>
      <c r="REB124" s="244"/>
      <c r="REC124" s="244"/>
      <c r="RED124" s="244"/>
      <c r="REE124" s="244"/>
      <c r="REF124" s="244"/>
      <c r="REG124" s="244"/>
      <c r="REH124" s="244"/>
      <c r="REI124" s="244"/>
      <c r="REJ124" s="244"/>
      <c r="REK124" s="244"/>
      <c r="REL124" s="244"/>
      <c r="REM124" s="244"/>
      <c r="REN124" s="244"/>
      <c r="REO124" s="244"/>
      <c r="REP124" s="244"/>
      <c r="REQ124" s="244"/>
      <c r="RER124" s="244"/>
      <c r="RES124" s="244"/>
      <c r="RET124" s="244"/>
      <c r="REU124" s="244"/>
      <c r="REV124" s="244"/>
      <c r="REW124" s="244"/>
      <c r="REX124" s="244"/>
      <c r="REY124" s="244"/>
      <c r="REZ124" s="244"/>
      <c r="RFA124" s="244"/>
      <c r="RFB124" s="244"/>
      <c r="RFC124" s="244"/>
      <c r="RFD124" s="244"/>
      <c r="RFE124" s="244"/>
      <c r="RFF124" s="244"/>
      <c r="RFG124" s="244"/>
      <c r="RFH124" s="244"/>
      <c r="RFI124" s="244"/>
      <c r="RFJ124" s="244"/>
      <c r="RFK124" s="244"/>
      <c r="RFL124" s="244"/>
      <c r="RFM124" s="244"/>
      <c r="RFN124" s="244"/>
      <c r="RFO124" s="244"/>
      <c r="RFP124" s="244"/>
      <c r="RFQ124" s="244"/>
      <c r="RFR124" s="244"/>
      <c r="RFS124" s="244"/>
      <c r="RFT124" s="244"/>
      <c r="RFU124" s="244"/>
      <c r="RFV124" s="244"/>
      <c r="RFW124" s="244"/>
      <c r="RFX124" s="244"/>
      <c r="RFY124" s="244"/>
      <c r="RFZ124" s="244"/>
      <c r="RGA124" s="244"/>
      <c r="RGB124" s="244"/>
      <c r="RGC124" s="244"/>
      <c r="RGD124" s="244"/>
      <c r="RGE124" s="244"/>
      <c r="RGF124" s="244"/>
      <c r="RGG124" s="244"/>
      <c r="RGH124" s="244"/>
      <c r="RGI124" s="244"/>
      <c r="RGJ124" s="244"/>
      <c r="RGK124" s="244"/>
      <c r="RGL124" s="244"/>
      <c r="RGM124" s="244"/>
      <c r="RGN124" s="244"/>
      <c r="RGO124" s="244"/>
      <c r="RGP124" s="244"/>
      <c r="RGQ124" s="244"/>
      <c r="RGR124" s="244"/>
      <c r="RGS124" s="244"/>
      <c r="RGT124" s="244"/>
      <c r="RGU124" s="244"/>
      <c r="RGV124" s="244"/>
      <c r="RGW124" s="244"/>
      <c r="RGX124" s="244"/>
      <c r="RGY124" s="244"/>
      <c r="RGZ124" s="244"/>
      <c r="RHA124" s="244"/>
      <c r="RHB124" s="244"/>
      <c r="RHC124" s="244"/>
      <c r="RHD124" s="244"/>
      <c r="RHE124" s="244"/>
      <c r="RHF124" s="244"/>
      <c r="RHG124" s="244"/>
      <c r="RHH124" s="244"/>
      <c r="RHI124" s="244"/>
      <c r="RHJ124" s="244"/>
      <c r="RHK124" s="244"/>
      <c r="RHL124" s="244"/>
      <c r="RHM124" s="244"/>
      <c r="RHN124" s="244"/>
      <c r="RHO124" s="244"/>
      <c r="RHP124" s="244"/>
      <c r="RHQ124" s="244"/>
      <c r="RHR124" s="244"/>
      <c r="RHS124" s="244"/>
      <c r="RHT124" s="244"/>
      <c r="RHU124" s="244"/>
      <c r="RHV124" s="244"/>
      <c r="RHW124" s="244"/>
      <c r="RHX124" s="244"/>
      <c r="RHY124" s="244"/>
      <c r="RHZ124" s="244"/>
      <c r="RIA124" s="244"/>
      <c r="RIB124" s="244"/>
      <c r="RIC124" s="244"/>
      <c r="RID124" s="244"/>
      <c r="RIE124" s="244"/>
      <c r="RIF124" s="244"/>
      <c r="RIG124" s="244"/>
      <c r="RIH124" s="244"/>
      <c r="RII124" s="244"/>
      <c r="RIJ124" s="244"/>
      <c r="RIK124" s="244"/>
      <c r="RIL124" s="244"/>
      <c r="RIM124" s="244"/>
      <c r="RIN124" s="244"/>
      <c r="RIO124" s="244"/>
      <c r="RIP124" s="244"/>
      <c r="RIQ124" s="244"/>
      <c r="RIR124" s="244"/>
      <c r="RIS124" s="244"/>
      <c r="RIT124" s="244"/>
      <c r="RIU124" s="244"/>
      <c r="RIV124" s="244"/>
      <c r="RIW124" s="244"/>
      <c r="RIX124" s="244"/>
      <c r="RIY124" s="244"/>
      <c r="RIZ124" s="244"/>
      <c r="RJA124" s="244"/>
      <c r="RJB124" s="244"/>
      <c r="RJC124" s="244"/>
      <c r="RJD124" s="244"/>
      <c r="RJE124" s="244"/>
      <c r="RJF124" s="244"/>
      <c r="RJG124" s="244"/>
      <c r="RJH124" s="244"/>
      <c r="RJI124" s="244"/>
      <c r="RJJ124" s="244"/>
      <c r="RJK124" s="244"/>
      <c r="RJL124" s="244"/>
      <c r="RJM124" s="244"/>
      <c r="RJN124" s="244"/>
      <c r="RJO124" s="244"/>
      <c r="RJP124" s="244"/>
      <c r="RJQ124" s="244"/>
      <c r="RJR124" s="244"/>
      <c r="RJS124" s="244"/>
      <c r="RJT124" s="244"/>
      <c r="RJU124" s="244"/>
      <c r="RJV124" s="244"/>
      <c r="RJW124" s="244"/>
      <c r="RJX124" s="244"/>
      <c r="RJY124" s="244"/>
      <c r="RJZ124" s="244"/>
      <c r="RKA124" s="244"/>
      <c r="RKB124" s="244"/>
      <c r="RKC124" s="244"/>
      <c r="RKD124" s="244"/>
      <c r="RKE124" s="244"/>
      <c r="RKF124" s="244"/>
      <c r="RKG124" s="244"/>
      <c r="RKH124" s="244"/>
      <c r="RKI124" s="244"/>
      <c r="RKJ124" s="244"/>
      <c r="RKK124" s="244"/>
      <c r="RKL124" s="244"/>
      <c r="RKM124" s="244"/>
      <c r="RKN124" s="244"/>
      <c r="RKO124" s="244"/>
      <c r="RKP124" s="244"/>
      <c r="RKQ124" s="244"/>
      <c r="RKR124" s="244"/>
      <c r="RKS124" s="244"/>
      <c r="RKT124" s="244"/>
      <c r="RKU124" s="244"/>
      <c r="RKV124" s="244"/>
      <c r="RKW124" s="244"/>
      <c r="RKX124" s="244"/>
      <c r="RKY124" s="244"/>
      <c r="RKZ124" s="244"/>
      <c r="RLA124" s="244"/>
      <c r="RLB124" s="244"/>
      <c r="RLC124" s="244"/>
      <c r="RLD124" s="244"/>
      <c r="RLE124" s="244"/>
      <c r="RLF124" s="244"/>
      <c r="RLG124" s="244"/>
      <c r="RLH124" s="244"/>
      <c r="RLI124" s="244"/>
      <c r="RLJ124" s="244"/>
      <c r="RLK124" s="244"/>
      <c r="RLL124" s="244"/>
      <c r="RLM124" s="244"/>
      <c r="RLN124" s="244"/>
      <c r="RLO124" s="244"/>
      <c r="RLP124" s="244"/>
      <c r="RLQ124" s="244"/>
      <c r="RLR124" s="244"/>
      <c r="RLS124" s="244"/>
      <c r="RLT124" s="244"/>
      <c r="RLU124" s="244"/>
      <c r="RLV124" s="244"/>
      <c r="RLW124" s="244"/>
      <c r="RLX124" s="244"/>
      <c r="RLY124" s="244"/>
      <c r="RLZ124" s="244"/>
      <c r="RMA124" s="244"/>
      <c r="RMB124" s="244"/>
      <c r="RMC124" s="244"/>
      <c r="RMD124" s="244"/>
      <c r="RME124" s="244"/>
      <c r="RMF124" s="244"/>
      <c r="RMG124" s="244"/>
      <c r="RMH124" s="244"/>
      <c r="RMI124" s="244"/>
      <c r="RMJ124" s="244"/>
      <c r="RMK124" s="244"/>
      <c r="RML124" s="244"/>
      <c r="RMM124" s="244"/>
      <c r="RMN124" s="244"/>
      <c r="RMO124" s="244"/>
      <c r="RMP124" s="244"/>
      <c r="RMQ124" s="244"/>
      <c r="RMR124" s="244"/>
      <c r="RMS124" s="244"/>
      <c r="RMT124" s="244"/>
      <c r="RMU124" s="244"/>
      <c r="RMV124" s="244"/>
      <c r="RMW124" s="244"/>
      <c r="RMX124" s="244"/>
      <c r="RMY124" s="244"/>
      <c r="RMZ124" s="244"/>
      <c r="RNA124" s="244"/>
      <c r="RNB124" s="244"/>
      <c r="RNC124" s="244"/>
      <c r="RND124" s="244"/>
      <c r="RNE124" s="244"/>
      <c r="RNF124" s="244"/>
      <c r="RNG124" s="244"/>
      <c r="RNH124" s="244"/>
      <c r="RNI124" s="244"/>
      <c r="RNJ124" s="244"/>
      <c r="RNK124" s="244"/>
      <c r="RNL124" s="244"/>
      <c r="RNM124" s="244"/>
      <c r="RNN124" s="244"/>
      <c r="RNO124" s="244"/>
      <c r="RNP124" s="244"/>
      <c r="RNQ124" s="244"/>
      <c r="RNR124" s="244"/>
      <c r="RNS124" s="244"/>
      <c r="RNT124" s="244"/>
      <c r="RNU124" s="244"/>
      <c r="RNV124" s="244"/>
      <c r="RNW124" s="244"/>
      <c r="RNX124" s="244"/>
      <c r="RNY124" s="244"/>
      <c r="RNZ124" s="244"/>
      <c r="ROA124" s="244"/>
      <c r="ROB124" s="244"/>
      <c r="ROC124" s="244"/>
      <c r="ROD124" s="244"/>
      <c r="ROE124" s="244"/>
      <c r="ROF124" s="244"/>
      <c r="ROG124" s="244"/>
      <c r="ROH124" s="244"/>
      <c r="ROI124" s="244"/>
      <c r="ROJ124" s="244"/>
      <c r="ROK124" s="244"/>
      <c r="ROL124" s="244"/>
      <c r="ROM124" s="244"/>
      <c r="RON124" s="244"/>
      <c r="ROO124" s="244"/>
      <c r="ROP124" s="244"/>
      <c r="ROQ124" s="244"/>
      <c r="ROR124" s="244"/>
      <c r="ROS124" s="244"/>
      <c r="ROT124" s="244"/>
      <c r="ROU124" s="244"/>
      <c r="ROV124" s="244"/>
      <c r="ROW124" s="244"/>
      <c r="ROX124" s="244"/>
      <c r="ROY124" s="244"/>
      <c r="ROZ124" s="244"/>
      <c r="RPA124" s="244"/>
      <c r="RPB124" s="244"/>
      <c r="RPC124" s="244"/>
      <c r="RPD124" s="244"/>
      <c r="RPE124" s="244"/>
      <c r="RPF124" s="244"/>
      <c r="RPG124" s="244"/>
      <c r="RPH124" s="244"/>
      <c r="RPI124" s="244"/>
      <c r="RPJ124" s="244"/>
      <c r="RPK124" s="244"/>
      <c r="RPL124" s="244"/>
      <c r="RPM124" s="244"/>
      <c r="RPN124" s="244"/>
      <c r="RPO124" s="244"/>
      <c r="RPP124" s="244"/>
      <c r="RPQ124" s="244"/>
      <c r="RPR124" s="244"/>
      <c r="RPS124" s="244"/>
      <c r="RPT124" s="244"/>
      <c r="RPU124" s="244"/>
      <c r="RPV124" s="244"/>
      <c r="RPW124" s="244"/>
      <c r="RPX124" s="244"/>
      <c r="RPY124" s="244"/>
      <c r="RPZ124" s="244"/>
      <c r="RQA124" s="244"/>
      <c r="RQB124" s="244"/>
      <c r="RQC124" s="244"/>
      <c r="RQD124" s="244"/>
      <c r="RQE124" s="244"/>
      <c r="RQF124" s="244"/>
      <c r="RQG124" s="244"/>
      <c r="RQH124" s="244"/>
      <c r="RQI124" s="244"/>
      <c r="RQJ124" s="244"/>
      <c r="RQK124" s="244"/>
      <c r="RQL124" s="244"/>
      <c r="RQM124" s="244"/>
      <c r="RQN124" s="244"/>
      <c r="RQO124" s="244"/>
      <c r="RQP124" s="244"/>
      <c r="RQQ124" s="244"/>
      <c r="RQR124" s="244"/>
      <c r="RQS124" s="244"/>
      <c r="RQT124" s="244"/>
      <c r="RQU124" s="244"/>
      <c r="RQV124" s="244"/>
      <c r="RQW124" s="244"/>
      <c r="RQX124" s="244"/>
      <c r="RQY124" s="244"/>
      <c r="RQZ124" s="244"/>
      <c r="RRA124" s="244"/>
      <c r="RRB124" s="244"/>
      <c r="RRC124" s="244"/>
      <c r="RRD124" s="244"/>
      <c r="RRE124" s="244"/>
      <c r="RRF124" s="244"/>
      <c r="RRG124" s="244"/>
      <c r="RRH124" s="244"/>
      <c r="RRI124" s="244"/>
      <c r="RRJ124" s="244"/>
      <c r="RRK124" s="244"/>
      <c r="RRL124" s="244"/>
      <c r="RRM124" s="244"/>
      <c r="RRN124" s="244"/>
      <c r="RRO124" s="244"/>
      <c r="RRP124" s="244"/>
      <c r="RRQ124" s="244"/>
      <c r="RRR124" s="244"/>
      <c r="RRS124" s="244"/>
      <c r="RRT124" s="244"/>
      <c r="RRU124" s="244"/>
      <c r="RRV124" s="244"/>
      <c r="RRW124" s="244"/>
      <c r="RRX124" s="244"/>
      <c r="RRY124" s="244"/>
      <c r="RRZ124" s="244"/>
      <c r="RSA124" s="244"/>
      <c r="RSB124" s="244"/>
      <c r="RSC124" s="244"/>
      <c r="RSD124" s="244"/>
      <c r="RSE124" s="244"/>
      <c r="RSF124" s="244"/>
      <c r="RSG124" s="244"/>
      <c r="RSH124" s="244"/>
      <c r="RSI124" s="244"/>
      <c r="RSJ124" s="244"/>
      <c r="RSK124" s="244"/>
      <c r="RSL124" s="244"/>
      <c r="RSM124" s="244"/>
      <c r="RSN124" s="244"/>
      <c r="RSO124" s="244"/>
      <c r="RSP124" s="244"/>
      <c r="RSQ124" s="244"/>
      <c r="RSR124" s="244"/>
      <c r="RSS124" s="244"/>
      <c r="RST124" s="244"/>
      <c r="RSU124" s="244"/>
      <c r="RSV124" s="244"/>
      <c r="RSW124" s="244"/>
      <c r="RSX124" s="244"/>
      <c r="RSY124" s="244"/>
      <c r="RSZ124" s="244"/>
      <c r="RTA124" s="244"/>
      <c r="RTB124" s="244"/>
      <c r="RTC124" s="244"/>
      <c r="RTD124" s="244"/>
      <c r="RTE124" s="244"/>
      <c r="RTF124" s="244"/>
      <c r="RTG124" s="244"/>
      <c r="RTH124" s="244"/>
      <c r="RTI124" s="244"/>
      <c r="RTJ124" s="244"/>
      <c r="RTK124" s="244"/>
      <c r="RTL124" s="244"/>
      <c r="RTM124" s="244"/>
      <c r="RTN124" s="244"/>
      <c r="RTO124" s="244"/>
      <c r="RTP124" s="244"/>
      <c r="RTQ124" s="244"/>
      <c r="RTR124" s="244"/>
      <c r="RTS124" s="244"/>
      <c r="RTT124" s="244"/>
      <c r="RTU124" s="244"/>
      <c r="RTV124" s="244"/>
      <c r="RTW124" s="244"/>
      <c r="RTX124" s="244"/>
      <c r="RTY124" s="244"/>
      <c r="RTZ124" s="244"/>
      <c r="RUA124" s="244"/>
      <c r="RUB124" s="244"/>
      <c r="RUC124" s="244"/>
      <c r="RUD124" s="244"/>
      <c r="RUE124" s="244"/>
      <c r="RUF124" s="244"/>
      <c r="RUG124" s="244"/>
      <c r="RUH124" s="244"/>
      <c r="RUI124" s="244"/>
      <c r="RUJ124" s="244"/>
      <c r="RUK124" s="244"/>
      <c r="RUL124" s="244"/>
      <c r="RUM124" s="244"/>
      <c r="RUN124" s="244"/>
      <c r="RUO124" s="244"/>
      <c r="RUP124" s="244"/>
      <c r="RUQ124" s="244"/>
      <c r="RUR124" s="244"/>
      <c r="RUS124" s="244"/>
      <c r="RUT124" s="244"/>
      <c r="RUU124" s="244"/>
      <c r="RUV124" s="244"/>
      <c r="RUW124" s="244"/>
      <c r="RUX124" s="244"/>
      <c r="RUY124" s="244"/>
      <c r="RUZ124" s="244"/>
      <c r="RVA124" s="244"/>
      <c r="RVB124" s="244"/>
      <c r="RVC124" s="244"/>
      <c r="RVD124" s="244"/>
      <c r="RVE124" s="244"/>
      <c r="RVF124" s="244"/>
      <c r="RVG124" s="244"/>
      <c r="RVH124" s="244"/>
      <c r="RVI124" s="244"/>
      <c r="RVJ124" s="244"/>
      <c r="RVK124" s="244"/>
      <c r="RVL124" s="244"/>
      <c r="RVM124" s="244"/>
      <c r="RVN124" s="244"/>
      <c r="RVO124" s="244"/>
      <c r="RVP124" s="244"/>
      <c r="RVQ124" s="244"/>
      <c r="RVR124" s="244"/>
      <c r="RVS124" s="244"/>
      <c r="RVT124" s="244"/>
      <c r="RVU124" s="244"/>
      <c r="RVV124" s="244"/>
      <c r="RVW124" s="244"/>
      <c r="RVX124" s="244"/>
      <c r="RVY124" s="244"/>
      <c r="RVZ124" s="244"/>
      <c r="RWA124" s="244"/>
      <c r="RWB124" s="244"/>
      <c r="RWC124" s="244"/>
      <c r="RWD124" s="244"/>
      <c r="RWE124" s="244"/>
      <c r="RWF124" s="244"/>
      <c r="RWG124" s="244"/>
      <c r="RWH124" s="244"/>
      <c r="RWI124" s="244"/>
      <c r="RWJ124" s="244"/>
      <c r="RWK124" s="244"/>
      <c r="RWL124" s="244"/>
      <c r="RWM124" s="244"/>
      <c r="RWN124" s="244"/>
      <c r="RWO124" s="244"/>
      <c r="RWP124" s="244"/>
      <c r="RWQ124" s="244"/>
      <c r="RWR124" s="244"/>
      <c r="RWS124" s="244"/>
      <c r="RWT124" s="244"/>
      <c r="RWU124" s="244"/>
      <c r="RWV124" s="244"/>
      <c r="RWW124" s="244"/>
      <c r="RWX124" s="244"/>
      <c r="RWY124" s="244"/>
      <c r="RWZ124" s="244"/>
      <c r="RXA124" s="244"/>
      <c r="RXB124" s="244"/>
      <c r="RXC124" s="244"/>
      <c r="RXD124" s="244"/>
      <c r="RXE124" s="244"/>
      <c r="RXF124" s="244"/>
      <c r="RXG124" s="244"/>
      <c r="RXH124" s="244"/>
      <c r="RXI124" s="244"/>
      <c r="RXJ124" s="244"/>
      <c r="RXK124" s="244"/>
      <c r="RXL124" s="244"/>
      <c r="RXM124" s="244"/>
      <c r="RXN124" s="244"/>
      <c r="RXO124" s="244"/>
      <c r="RXP124" s="244"/>
      <c r="RXQ124" s="244"/>
      <c r="RXR124" s="244"/>
      <c r="RXS124" s="244"/>
      <c r="RXT124" s="244"/>
      <c r="RXU124" s="244"/>
      <c r="RXV124" s="244"/>
      <c r="RXW124" s="244"/>
      <c r="RXX124" s="244"/>
      <c r="RXY124" s="244"/>
      <c r="RXZ124" s="244"/>
      <c r="RYA124" s="244"/>
      <c r="RYB124" s="244"/>
      <c r="RYC124" s="244"/>
      <c r="RYD124" s="244"/>
      <c r="RYE124" s="244"/>
      <c r="RYF124" s="244"/>
      <c r="RYG124" s="244"/>
      <c r="RYH124" s="244"/>
      <c r="RYI124" s="244"/>
      <c r="RYJ124" s="244"/>
      <c r="RYK124" s="244"/>
      <c r="RYL124" s="244"/>
      <c r="RYM124" s="244"/>
      <c r="RYN124" s="244"/>
      <c r="RYO124" s="244"/>
      <c r="RYP124" s="244"/>
      <c r="RYQ124" s="244"/>
      <c r="RYR124" s="244"/>
      <c r="RYS124" s="244"/>
      <c r="RYT124" s="244"/>
      <c r="RYU124" s="244"/>
      <c r="RYV124" s="244"/>
      <c r="RYW124" s="244"/>
      <c r="RYX124" s="244"/>
      <c r="RYY124" s="244"/>
      <c r="RYZ124" s="244"/>
      <c r="RZA124" s="244"/>
      <c r="RZB124" s="244"/>
      <c r="RZC124" s="244"/>
      <c r="RZD124" s="244"/>
      <c r="RZE124" s="244"/>
      <c r="RZF124" s="244"/>
      <c r="RZG124" s="244"/>
      <c r="RZH124" s="244"/>
      <c r="RZI124" s="244"/>
      <c r="RZJ124" s="244"/>
      <c r="RZK124" s="244"/>
      <c r="RZL124" s="244"/>
      <c r="RZM124" s="244"/>
      <c r="RZN124" s="244"/>
      <c r="RZO124" s="244"/>
      <c r="RZP124" s="244"/>
      <c r="RZQ124" s="244"/>
      <c r="RZR124" s="244"/>
      <c r="RZS124" s="244"/>
      <c r="RZT124" s="244"/>
      <c r="RZU124" s="244"/>
      <c r="RZV124" s="244"/>
      <c r="RZW124" s="244"/>
      <c r="RZX124" s="244"/>
      <c r="RZY124" s="244"/>
      <c r="RZZ124" s="244"/>
      <c r="SAA124" s="244"/>
      <c r="SAB124" s="244"/>
      <c r="SAC124" s="244"/>
      <c r="SAD124" s="244"/>
      <c r="SAE124" s="244"/>
      <c r="SAF124" s="244"/>
      <c r="SAG124" s="244"/>
      <c r="SAH124" s="244"/>
      <c r="SAI124" s="244"/>
      <c r="SAJ124" s="244"/>
      <c r="SAK124" s="244"/>
      <c r="SAL124" s="244"/>
      <c r="SAM124" s="244"/>
      <c r="SAN124" s="244"/>
      <c r="SAO124" s="244"/>
      <c r="SAP124" s="244"/>
      <c r="SAQ124" s="244"/>
      <c r="SAR124" s="244"/>
      <c r="SAS124" s="244"/>
      <c r="SAT124" s="244"/>
      <c r="SAU124" s="244"/>
      <c r="SAV124" s="244"/>
      <c r="SAW124" s="244"/>
      <c r="SAX124" s="244"/>
      <c r="SAY124" s="244"/>
      <c r="SAZ124" s="244"/>
      <c r="SBA124" s="244"/>
      <c r="SBB124" s="244"/>
      <c r="SBC124" s="244"/>
      <c r="SBD124" s="244"/>
      <c r="SBE124" s="244"/>
      <c r="SBF124" s="244"/>
      <c r="SBG124" s="244"/>
      <c r="SBH124" s="244"/>
      <c r="SBI124" s="244"/>
      <c r="SBJ124" s="244"/>
      <c r="SBK124" s="244"/>
      <c r="SBL124" s="244"/>
      <c r="SBM124" s="244"/>
      <c r="SBN124" s="244"/>
      <c r="SBO124" s="244"/>
      <c r="SBP124" s="244"/>
      <c r="SBQ124" s="244"/>
      <c r="SBR124" s="244"/>
      <c r="SBS124" s="244"/>
      <c r="SBT124" s="244"/>
      <c r="SBU124" s="244"/>
      <c r="SBV124" s="244"/>
      <c r="SBW124" s="244"/>
      <c r="SBX124" s="244"/>
      <c r="SBY124" s="244"/>
      <c r="SBZ124" s="244"/>
      <c r="SCA124" s="244"/>
      <c r="SCB124" s="244"/>
      <c r="SCC124" s="244"/>
      <c r="SCD124" s="244"/>
      <c r="SCE124" s="244"/>
      <c r="SCF124" s="244"/>
      <c r="SCG124" s="244"/>
      <c r="SCH124" s="244"/>
      <c r="SCI124" s="244"/>
      <c r="SCJ124" s="244"/>
      <c r="SCK124" s="244"/>
      <c r="SCL124" s="244"/>
      <c r="SCM124" s="244"/>
      <c r="SCN124" s="244"/>
      <c r="SCO124" s="244"/>
      <c r="SCP124" s="244"/>
      <c r="SCQ124" s="244"/>
      <c r="SCR124" s="244"/>
      <c r="SCS124" s="244"/>
      <c r="SCT124" s="244"/>
      <c r="SCU124" s="244"/>
      <c r="SCV124" s="244"/>
      <c r="SCW124" s="244"/>
      <c r="SCX124" s="244"/>
      <c r="SCY124" s="244"/>
      <c r="SCZ124" s="244"/>
      <c r="SDA124" s="244"/>
      <c r="SDB124" s="244"/>
      <c r="SDC124" s="244"/>
      <c r="SDD124" s="244"/>
      <c r="SDE124" s="244"/>
      <c r="SDF124" s="244"/>
      <c r="SDG124" s="244"/>
      <c r="SDH124" s="244"/>
      <c r="SDI124" s="244"/>
      <c r="SDJ124" s="244"/>
      <c r="SDK124" s="244"/>
      <c r="SDL124" s="244"/>
      <c r="SDM124" s="244"/>
      <c r="SDN124" s="244"/>
      <c r="SDO124" s="244"/>
      <c r="SDP124" s="244"/>
      <c r="SDQ124" s="244"/>
      <c r="SDR124" s="244"/>
      <c r="SDS124" s="244"/>
      <c r="SDT124" s="244"/>
      <c r="SDU124" s="244"/>
      <c r="SDV124" s="244"/>
      <c r="SDW124" s="244"/>
      <c r="SDX124" s="244"/>
      <c r="SDY124" s="244"/>
      <c r="SDZ124" s="244"/>
      <c r="SEA124" s="244"/>
      <c r="SEB124" s="244"/>
      <c r="SEC124" s="244"/>
      <c r="SED124" s="244"/>
      <c r="SEE124" s="244"/>
      <c r="SEF124" s="244"/>
      <c r="SEG124" s="244"/>
      <c r="SEH124" s="244"/>
      <c r="SEI124" s="244"/>
      <c r="SEJ124" s="244"/>
      <c r="SEK124" s="244"/>
      <c r="SEL124" s="244"/>
      <c r="SEM124" s="244"/>
      <c r="SEN124" s="244"/>
      <c r="SEO124" s="244"/>
      <c r="SEP124" s="244"/>
      <c r="SEQ124" s="244"/>
      <c r="SER124" s="244"/>
      <c r="SES124" s="244"/>
      <c r="SET124" s="244"/>
      <c r="SEU124" s="244"/>
      <c r="SEV124" s="244"/>
      <c r="SEW124" s="244"/>
      <c r="SEX124" s="244"/>
      <c r="SEY124" s="244"/>
      <c r="SEZ124" s="244"/>
      <c r="SFA124" s="244"/>
      <c r="SFB124" s="244"/>
      <c r="SFC124" s="244"/>
      <c r="SFD124" s="244"/>
      <c r="SFE124" s="244"/>
      <c r="SFF124" s="244"/>
      <c r="SFG124" s="244"/>
      <c r="SFH124" s="244"/>
      <c r="SFI124" s="244"/>
      <c r="SFJ124" s="244"/>
      <c r="SFK124" s="244"/>
      <c r="SFL124" s="244"/>
      <c r="SFM124" s="244"/>
      <c r="SFN124" s="244"/>
      <c r="SFO124" s="244"/>
      <c r="SFP124" s="244"/>
      <c r="SFQ124" s="244"/>
      <c r="SFR124" s="244"/>
      <c r="SFS124" s="244"/>
      <c r="SFT124" s="244"/>
      <c r="SFU124" s="244"/>
      <c r="SFV124" s="244"/>
      <c r="SFW124" s="244"/>
      <c r="SFX124" s="244"/>
      <c r="SFY124" s="244"/>
      <c r="SFZ124" s="244"/>
      <c r="SGA124" s="244"/>
      <c r="SGB124" s="244"/>
      <c r="SGC124" s="244"/>
      <c r="SGD124" s="244"/>
      <c r="SGE124" s="244"/>
      <c r="SGF124" s="244"/>
      <c r="SGG124" s="244"/>
      <c r="SGH124" s="244"/>
      <c r="SGI124" s="244"/>
      <c r="SGJ124" s="244"/>
      <c r="SGK124" s="244"/>
      <c r="SGL124" s="244"/>
      <c r="SGM124" s="244"/>
      <c r="SGN124" s="244"/>
      <c r="SGO124" s="244"/>
      <c r="SGP124" s="244"/>
      <c r="SGQ124" s="244"/>
      <c r="SGR124" s="244"/>
      <c r="SGS124" s="244"/>
      <c r="SGT124" s="244"/>
      <c r="SGU124" s="244"/>
      <c r="SGV124" s="244"/>
      <c r="SGW124" s="244"/>
      <c r="SGX124" s="244"/>
      <c r="SGY124" s="244"/>
      <c r="SGZ124" s="244"/>
      <c r="SHA124" s="244"/>
      <c r="SHB124" s="244"/>
      <c r="SHC124" s="244"/>
      <c r="SHD124" s="244"/>
      <c r="SHE124" s="244"/>
      <c r="SHF124" s="244"/>
      <c r="SHG124" s="244"/>
      <c r="SHH124" s="244"/>
      <c r="SHI124" s="244"/>
      <c r="SHJ124" s="244"/>
      <c r="SHK124" s="244"/>
      <c r="SHL124" s="244"/>
      <c r="SHM124" s="244"/>
      <c r="SHN124" s="244"/>
      <c r="SHO124" s="244"/>
      <c r="SHP124" s="244"/>
      <c r="SHQ124" s="244"/>
      <c r="SHR124" s="244"/>
      <c r="SHS124" s="244"/>
      <c r="SHT124" s="244"/>
      <c r="SHU124" s="244"/>
      <c r="SHV124" s="244"/>
      <c r="SHW124" s="244"/>
      <c r="SHX124" s="244"/>
      <c r="SHY124" s="244"/>
      <c r="SHZ124" s="244"/>
      <c r="SIA124" s="244"/>
      <c r="SIB124" s="244"/>
      <c r="SIC124" s="244"/>
      <c r="SID124" s="244"/>
      <c r="SIE124" s="244"/>
      <c r="SIF124" s="244"/>
      <c r="SIG124" s="244"/>
      <c r="SIH124" s="244"/>
      <c r="SII124" s="244"/>
      <c r="SIJ124" s="244"/>
      <c r="SIK124" s="244"/>
      <c r="SIL124" s="244"/>
      <c r="SIM124" s="244"/>
      <c r="SIN124" s="244"/>
      <c r="SIO124" s="244"/>
      <c r="SIP124" s="244"/>
      <c r="SIQ124" s="244"/>
      <c r="SIR124" s="244"/>
      <c r="SIS124" s="244"/>
      <c r="SIT124" s="244"/>
      <c r="SIU124" s="244"/>
      <c r="SIV124" s="244"/>
      <c r="SIW124" s="244"/>
      <c r="SIX124" s="244"/>
      <c r="SIY124" s="244"/>
      <c r="SIZ124" s="244"/>
      <c r="SJA124" s="244"/>
      <c r="SJB124" s="244"/>
      <c r="SJC124" s="244"/>
      <c r="SJD124" s="244"/>
      <c r="SJE124" s="244"/>
      <c r="SJF124" s="244"/>
      <c r="SJG124" s="244"/>
      <c r="SJH124" s="244"/>
      <c r="SJI124" s="244"/>
      <c r="SJJ124" s="244"/>
      <c r="SJK124" s="244"/>
      <c r="SJL124" s="244"/>
      <c r="SJM124" s="244"/>
      <c r="SJN124" s="244"/>
      <c r="SJO124" s="244"/>
      <c r="SJP124" s="244"/>
      <c r="SJQ124" s="244"/>
      <c r="SJR124" s="244"/>
      <c r="SJS124" s="244"/>
      <c r="SJT124" s="244"/>
      <c r="SJU124" s="244"/>
      <c r="SJV124" s="244"/>
      <c r="SJW124" s="244"/>
      <c r="SJX124" s="244"/>
      <c r="SJY124" s="244"/>
      <c r="SJZ124" s="244"/>
      <c r="SKA124" s="244"/>
      <c r="SKB124" s="244"/>
      <c r="SKC124" s="244"/>
      <c r="SKD124" s="244"/>
      <c r="SKE124" s="244"/>
      <c r="SKF124" s="244"/>
      <c r="SKG124" s="244"/>
      <c r="SKH124" s="244"/>
      <c r="SKI124" s="244"/>
      <c r="SKJ124" s="244"/>
      <c r="SKK124" s="244"/>
      <c r="SKL124" s="244"/>
      <c r="SKM124" s="244"/>
      <c r="SKN124" s="244"/>
      <c r="SKO124" s="244"/>
      <c r="SKP124" s="244"/>
      <c r="SKQ124" s="244"/>
      <c r="SKR124" s="244"/>
      <c r="SKS124" s="244"/>
      <c r="SKT124" s="244"/>
      <c r="SKU124" s="244"/>
      <c r="SKV124" s="244"/>
      <c r="SKW124" s="244"/>
      <c r="SKX124" s="244"/>
      <c r="SKY124" s="244"/>
      <c r="SKZ124" s="244"/>
      <c r="SLA124" s="244"/>
      <c r="SLB124" s="244"/>
      <c r="SLC124" s="244"/>
      <c r="SLD124" s="244"/>
      <c r="SLE124" s="244"/>
      <c r="SLF124" s="244"/>
      <c r="SLG124" s="244"/>
      <c r="SLH124" s="244"/>
      <c r="SLI124" s="244"/>
      <c r="SLJ124" s="244"/>
      <c r="SLK124" s="244"/>
      <c r="SLL124" s="244"/>
      <c r="SLM124" s="244"/>
      <c r="SLN124" s="244"/>
      <c r="SLO124" s="244"/>
      <c r="SLP124" s="244"/>
      <c r="SLQ124" s="244"/>
      <c r="SLR124" s="244"/>
      <c r="SLS124" s="244"/>
      <c r="SLT124" s="244"/>
      <c r="SLU124" s="244"/>
      <c r="SLV124" s="244"/>
      <c r="SLW124" s="244"/>
      <c r="SLX124" s="244"/>
      <c r="SLY124" s="244"/>
      <c r="SLZ124" s="244"/>
      <c r="SMA124" s="244"/>
      <c r="SMB124" s="244"/>
      <c r="SMC124" s="244"/>
      <c r="SMD124" s="244"/>
      <c r="SME124" s="244"/>
      <c r="SMF124" s="244"/>
      <c r="SMG124" s="244"/>
      <c r="SMH124" s="244"/>
      <c r="SMI124" s="244"/>
      <c r="SMJ124" s="244"/>
      <c r="SMK124" s="244"/>
      <c r="SML124" s="244"/>
      <c r="SMM124" s="244"/>
      <c r="SMN124" s="244"/>
      <c r="SMO124" s="244"/>
      <c r="SMP124" s="244"/>
      <c r="SMQ124" s="244"/>
      <c r="SMR124" s="244"/>
      <c r="SMS124" s="244"/>
      <c r="SMT124" s="244"/>
      <c r="SMU124" s="244"/>
      <c r="SMV124" s="244"/>
      <c r="SMW124" s="244"/>
      <c r="SMX124" s="244"/>
      <c r="SMY124" s="244"/>
      <c r="SMZ124" s="244"/>
      <c r="SNA124" s="244"/>
      <c r="SNB124" s="244"/>
      <c r="SNC124" s="244"/>
      <c r="SND124" s="244"/>
      <c r="SNE124" s="244"/>
      <c r="SNF124" s="244"/>
      <c r="SNG124" s="244"/>
      <c r="SNH124" s="244"/>
      <c r="SNI124" s="244"/>
      <c r="SNJ124" s="244"/>
      <c r="SNK124" s="244"/>
      <c r="SNL124" s="244"/>
      <c r="SNM124" s="244"/>
      <c r="SNN124" s="244"/>
      <c r="SNO124" s="244"/>
      <c r="SNP124" s="244"/>
      <c r="SNQ124" s="244"/>
      <c r="SNR124" s="244"/>
      <c r="SNS124" s="244"/>
      <c r="SNT124" s="244"/>
      <c r="SNU124" s="244"/>
      <c r="SNV124" s="244"/>
      <c r="SNW124" s="244"/>
      <c r="SNX124" s="244"/>
      <c r="SNY124" s="244"/>
      <c r="SNZ124" s="244"/>
      <c r="SOA124" s="244"/>
      <c r="SOB124" s="244"/>
      <c r="SOC124" s="244"/>
      <c r="SOD124" s="244"/>
      <c r="SOE124" s="244"/>
      <c r="SOF124" s="244"/>
      <c r="SOG124" s="244"/>
      <c r="SOH124" s="244"/>
      <c r="SOI124" s="244"/>
      <c r="SOJ124" s="244"/>
      <c r="SOK124" s="244"/>
      <c r="SOL124" s="244"/>
      <c r="SOM124" s="244"/>
      <c r="SON124" s="244"/>
      <c r="SOO124" s="244"/>
      <c r="SOP124" s="244"/>
      <c r="SOQ124" s="244"/>
      <c r="SOR124" s="244"/>
      <c r="SOS124" s="244"/>
      <c r="SOT124" s="244"/>
      <c r="SOU124" s="244"/>
      <c r="SOV124" s="244"/>
      <c r="SOW124" s="244"/>
      <c r="SOX124" s="244"/>
      <c r="SOY124" s="244"/>
      <c r="SOZ124" s="244"/>
      <c r="SPA124" s="244"/>
      <c r="SPB124" s="244"/>
      <c r="SPC124" s="244"/>
      <c r="SPD124" s="244"/>
      <c r="SPE124" s="244"/>
      <c r="SPF124" s="244"/>
      <c r="SPG124" s="244"/>
      <c r="SPH124" s="244"/>
      <c r="SPI124" s="244"/>
      <c r="SPJ124" s="244"/>
      <c r="SPK124" s="244"/>
      <c r="SPL124" s="244"/>
      <c r="SPM124" s="244"/>
      <c r="SPN124" s="244"/>
      <c r="SPO124" s="244"/>
      <c r="SPP124" s="244"/>
      <c r="SPQ124" s="244"/>
      <c r="SPR124" s="244"/>
      <c r="SPS124" s="244"/>
      <c r="SPT124" s="244"/>
      <c r="SPU124" s="244"/>
      <c r="SPV124" s="244"/>
      <c r="SPW124" s="244"/>
      <c r="SPX124" s="244"/>
      <c r="SPY124" s="244"/>
      <c r="SPZ124" s="244"/>
      <c r="SQA124" s="244"/>
      <c r="SQB124" s="244"/>
      <c r="SQC124" s="244"/>
      <c r="SQD124" s="244"/>
      <c r="SQE124" s="244"/>
      <c r="SQF124" s="244"/>
      <c r="SQG124" s="244"/>
      <c r="SQH124" s="244"/>
      <c r="SQI124" s="244"/>
      <c r="SQJ124" s="244"/>
      <c r="SQK124" s="244"/>
      <c r="SQL124" s="244"/>
      <c r="SQM124" s="244"/>
      <c r="SQN124" s="244"/>
      <c r="SQO124" s="244"/>
      <c r="SQP124" s="244"/>
      <c r="SQQ124" s="244"/>
      <c r="SQR124" s="244"/>
      <c r="SQS124" s="244"/>
      <c r="SQT124" s="244"/>
      <c r="SQU124" s="244"/>
      <c r="SQV124" s="244"/>
      <c r="SQW124" s="244"/>
      <c r="SQX124" s="244"/>
      <c r="SQY124" s="244"/>
      <c r="SQZ124" s="244"/>
      <c r="SRA124" s="244"/>
      <c r="SRB124" s="244"/>
      <c r="SRC124" s="244"/>
      <c r="SRD124" s="244"/>
      <c r="SRE124" s="244"/>
      <c r="SRF124" s="244"/>
      <c r="SRG124" s="244"/>
      <c r="SRH124" s="244"/>
      <c r="SRI124" s="244"/>
      <c r="SRJ124" s="244"/>
      <c r="SRK124" s="244"/>
      <c r="SRL124" s="244"/>
      <c r="SRM124" s="244"/>
      <c r="SRN124" s="244"/>
      <c r="SRO124" s="244"/>
      <c r="SRP124" s="244"/>
      <c r="SRQ124" s="244"/>
      <c r="SRR124" s="244"/>
      <c r="SRS124" s="244"/>
      <c r="SRT124" s="244"/>
      <c r="SRU124" s="244"/>
      <c r="SRV124" s="244"/>
      <c r="SRW124" s="244"/>
      <c r="SRX124" s="244"/>
      <c r="SRY124" s="244"/>
      <c r="SRZ124" s="244"/>
      <c r="SSA124" s="244"/>
      <c r="SSB124" s="244"/>
      <c r="SSC124" s="244"/>
      <c r="SSD124" s="244"/>
      <c r="SSE124" s="244"/>
      <c r="SSF124" s="244"/>
      <c r="SSG124" s="244"/>
      <c r="SSH124" s="244"/>
      <c r="SSI124" s="244"/>
      <c r="SSJ124" s="244"/>
      <c r="SSK124" s="244"/>
      <c r="SSL124" s="244"/>
      <c r="SSM124" s="244"/>
      <c r="SSN124" s="244"/>
      <c r="SSO124" s="244"/>
      <c r="SSP124" s="244"/>
      <c r="SSQ124" s="244"/>
      <c r="SSR124" s="244"/>
      <c r="SSS124" s="244"/>
      <c r="SST124" s="244"/>
      <c r="SSU124" s="244"/>
      <c r="SSV124" s="244"/>
      <c r="SSW124" s="244"/>
      <c r="SSX124" s="244"/>
      <c r="SSY124" s="244"/>
      <c r="SSZ124" s="244"/>
      <c r="STA124" s="244"/>
      <c r="STB124" s="244"/>
      <c r="STC124" s="244"/>
      <c r="STD124" s="244"/>
      <c r="STE124" s="244"/>
      <c r="STF124" s="244"/>
      <c r="STG124" s="244"/>
      <c r="STH124" s="244"/>
      <c r="STI124" s="244"/>
      <c r="STJ124" s="244"/>
      <c r="STK124" s="244"/>
      <c r="STL124" s="244"/>
      <c r="STM124" s="244"/>
      <c r="STN124" s="244"/>
      <c r="STO124" s="244"/>
      <c r="STP124" s="244"/>
      <c r="STQ124" s="244"/>
      <c r="STR124" s="244"/>
      <c r="STS124" s="244"/>
      <c r="STT124" s="244"/>
      <c r="STU124" s="244"/>
      <c r="STV124" s="244"/>
      <c r="STW124" s="244"/>
      <c r="STX124" s="244"/>
      <c r="STY124" s="244"/>
      <c r="STZ124" s="244"/>
      <c r="SUA124" s="244"/>
      <c r="SUB124" s="244"/>
      <c r="SUC124" s="244"/>
      <c r="SUD124" s="244"/>
      <c r="SUE124" s="244"/>
      <c r="SUF124" s="244"/>
      <c r="SUG124" s="244"/>
      <c r="SUH124" s="244"/>
      <c r="SUI124" s="244"/>
      <c r="SUJ124" s="244"/>
      <c r="SUK124" s="244"/>
      <c r="SUL124" s="244"/>
      <c r="SUM124" s="244"/>
      <c r="SUN124" s="244"/>
      <c r="SUO124" s="244"/>
      <c r="SUP124" s="244"/>
      <c r="SUQ124" s="244"/>
      <c r="SUR124" s="244"/>
      <c r="SUS124" s="244"/>
      <c r="SUT124" s="244"/>
      <c r="SUU124" s="244"/>
      <c r="SUV124" s="244"/>
      <c r="SUW124" s="244"/>
      <c r="SUX124" s="244"/>
      <c r="SUY124" s="244"/>
      <c r="SUZ124" s="244"/>
      <c r="SVA124" s="244"/>
      <c r="SVB124" s="244"/>
      <c r="SVC124" s="244"/>
      <c r="SVD124" s="244"/>
      <c r="SVE124" s="244"/>
      <c r="SVF124" s="244"/>
      <c r="SVG124" s="244"/>
      <c r="SVH124" s="244"/>
      <c r="SVI124" s="244"/>
      <c r="SVJ124" s="244"/>
      <c r="SVK124" s="244"/>
      <c r="SVL124" s="244"/>
      <c r="SVM124" s="244"/>
      <c r="SVN124" s="244"/>
      <c r="SVO124" s="244"/>
      <c r="SVP124" s="244"/>
      <c r="SVQ124" s="244"/>
      <c r="SVR124" s="244"/>
      <c r="SVS124" s="244"/>
      <c r="SVT124" s="244"/>
      <c r="SVU124" s="244"/>
      <c r="SVV124" s="244"/>
      <c r="SVW124" s="244"/>
      <c r="SVX124" s="244"/>
      <c r="SVY124" s="244"/>
      <c r="SVZ124" s="244"/>
      <c r="SWA124" s="244"/>
      <c r="SWB124" s="244"/>
      <c r="SWC124" s="244"/>
      <c r="SWD124" s="244"/>
      <c r="SWE124" s="244"/>
      <c r="SWF124" s="244"/>
      <c r="SWG124" s="244"/>
      <c r="SWH124" s="244"/>
      <c r="SWI124" s="244"/>
      <c r="SWJ124" s="244"/>
      <c r="SWK124" s="244"/>
      <c r="SWL124" s="244"/>
      <c r="SWM124" s="244"/>
      <c r="SWN124" s="244"/>
      <c r="SWO124" s="244"/>
      <c r="SWP124" s="244"/>
      <c r="SWQ124" s="244"/>
      <c r="SWR124" s="244"/>
      <c r="SWS124" s="244"/>
      <c r="SWT124" s="244"/>
      <c r="SWU124" s="244"/>
      <c r="SWV124" s="244"/>
      <c r="SWW124" s="244"/>
      <c r="SWX124" s="244"/>
      <c r="SWY124" s="244"/>
      <c r="SWZ124" s="244"/>
      <c r="SXA124" s="244"/>
      <c r="SXB124" s="244"/>
      <c r="SXC124" s="244"/>
      <c r="SXD124" s="244"/>
      <c r="SXE124" s="244"/>
      <c r="SXF124" s="244"/>
      <c r="SXG124" s="244"/>
      <c r="SXH124" s="244"/>
      <c r="SXI124" s="244"/>
      <c r="SXJ124" s="244"/>
      <c r="SXK124" s="244"/>
      <c r="SXL124" s="244"/>
      <c r="SXM124" s="244"/>
      <c r="SXN124" s="244"/>
      <c r="SXO124" s="244"/>
      <c r="SXP124" s="244"/>
      <c r="SXQ124" s="244"/>
      <c r="SXR124" s="244"/>
      <c r="SXS124" s="244"/>
      <c r="SXT124" s="244"/>
      <c r="SXU124" s="244"/>
      <c r="SXV124" s="244"/>
      <c r="SXW124" s="244"/>
      <c r="SXX124" s="244"/>
      <c r="SXY124" s="244"/>
      <c r="SXZ124" s="244"/>
      <c r="SYA124" s="244"/>
      <c r="SYB124" s="244"/>
      <c r="SYC124" s="244"/>
      <c r="SYD124" s="244"/>
      <c r="SYE124" s="244"/>
      <c r="SYF124" s="244"/>
      <c r="SYG124" s="244"/>
      <c r="SYH124" s="244"/>
      <c r="SYI124" s="244"/>
      <c r="SYJ124" s="244"/>
      <c r="SYK124" s="244"/>
      <c r="SYL124" s="244"/>
      <c r="SYM124" s="244"/>
      <c r="SYN124" s="244"/>
      <c r="SYO124" s="244"/>
      <c r="SYP124" s="244"/>
      <c r="SYQ124" s="244"/>
      <c r="SYR124" s="244"/>
      <c r="SYS124" s="244"/>
      <c r="SYT124" s="244"/>
      <c r="SYU124" s="244"/>
      <c r="SYV124" s="244"/>
      <c r="SYW124" s="244"/>
      <c r="SYX124" s="244"/>
      <c r="SYY124" s="244"/>
      <c r="SYZ124" s="244"/>
      <c r="SZA124" s="244"/>
      <c r="SZB124" s="244"/>
      <c r="SZC124" s="244"/>
      <c r="SZD124" s="244"/>
      <c r="SZE124" s="244"/>
      <c r="SZF124" s="244"/>
      <c r="SZG124" s="244"/>
      <c r="SZH124" s="244"/>
      <c r="SZI124" s="244"/>
      <c r="SZJ124" s="244"/>
      <c r="SZK124" s="244"/>
      <c r="SZL124" s="244"/>
      <c r="SZM124" s="244"/>
      <c r="SZN124" s="244"/>
      <c r="SZO124" s="244"/>
      <c r="SZP124" s="244"/>
      <c r="SZQ124" s="244"/>
      <c r="SZR124" s="244"/>
      <c r="SZS124" s="244"/>
      <c r="SZT124" s="244"/>
      <c r="SZU124" s="244"/>
      <c r="SZV124" s="244"/>
      <c r="SZW124" s="244"/>
      <c r="SZX124" s="244"/>
      <c r="SZY124" s="244"/>
      <c r="SZZ124" s="244"/>
      <c r="TAA124" s="244"/>
      <c r="TAB124" s="244"/>
      <c r="TAC124" s="244"/>
      <c r="TAD124" s="244"/>
      <c r="TAE124" s="244"/>
      <c r="TAF124" s="244"/>
      <c r="TAG124" s="244"/>
      <c r="TAH124" s="244"/>
      <c r="TAI124" s="244"/>
      <c r="TAJ124" s="244"/>
      <c r="TAK124" s="244"/>
      <c r="TAL124" s="244"/>
      <c r="TAM124" s="244"/>
      <c r="TAN124" s="244"/>
      <c r="TAO124" s="244"/>
      <c r="TAP124" s="244"/>
      <c r="TAQ124" s="244"/>
      <c r="TAR124" s="244"/>
      <c r="TAS124" s="244"/>
      <c r="TAT124" s="244"/>
      <c r="TAU124" s="244"/>
      <c r="TAV124" s="244"/>
      <c r="TAW124" s="244"/>
      <c r="TAX124" s="244"/>
      <c r="TAY124" s="244"/>
      <c r="TAZ124" s="244"/>
      <c r="TBA124" s="244"/>
      <c r="TBB124" s="244"/>
      <c r="TBC124" s="244"/>
      <c r="TBD124" s="244"/>
      <c r="TBE124" s="244"/>
      <c r="TBF124" s="244"/>
      <c r="TBG124" s="244"/>
      <c r="TBH124" s="244"/>
      <c r="TBI124" s="244"/>
      <c r="TBJ124" s="244"/>
      <c r="TBK124" s="244"/>
      <c r="TBL124" s="244"/>
      <c r="TBM124" s="244"/>
      <c r="TBN124" s="244"/>
      <c r="TBO124" s="244"/>
      <c r="TBP124" s="244"/>
      <c r="TBQ124" s="244"/>
      <c r="TBR124" s="244"/>
      <c r="TBS124" s="244"/>
      <c r="TBT124" s="244"/>
      <c r="TBU124" s="244"/>
      <c r="TBV124" s="244"/>
      <c r="TBW124" s="244"/>
      <c r="TBX124" s="244"/>
      <c r="TBY124" s="244"/>
      <c r="TBZ124" s="244"/>
      <c r="TCA124" s="244"/>
      <c r="TCB124" s="244"/>
      <c r="TCC124" s="244"/>
      <c r="TCD124" s="244"/>
      <c r="TCE124" s="244"/>
      <c r="TCF124" s="244"/>
      <c r="TCG124" s="244"/>
      <c r="TCH124" s="244"/>
      <c r="TCI124" s="244"/>
      <c r="TCJ124" s="244"/>
      <c r="TCK124" s="244"/>
      <c r="TCL124" s="244"/>
      <c r="TCM124" s="244"/>
      <c r="TCN124" s="244"/>
      <c r="TCO124" s="244"/>
      <c r="TCP124" s="244"/>
      <c r="TCQ124" s="244"/>
      <c r="TCR124" s="244"/>
      <c r="TCS124" s="244"/>
      <c r="TCT124" s="244"/>
      <c r="TCU124" s="244"/>
      <c r="TCV124" s="244"/>
      <c r="TCW124" s="244"/>
      <c r="TCX124" s="244"/>
      <c r="TCY124" s="244"/>
      <c r="TCZ124" s="244"/>
      <c r="TDA124" s="244"/>
      <c r="TDB124" s="244"/>
      <c r="TDC124" s="244"/>
      <c r="TDD124" s="244"/>
      <c r="TDE124" s="244"/>
      <c r="TDF124" s="244"/>
      <c r="TDG124" s="244"/>
      <c r="TDH124" s="244"/>
      <c r="TDI124" s="244"/>
      <c r="TDJ124" s="244"/>
      <c r="TDK124" s="244"/>
      <c r="TDL124" s="244"/>
      <c r="TDM124" s="244"/>
      <c r="TDN124" s="244"/>
      <c r="TDO124" s="244"/>
      <c r="TDP124" s="244"/>
      <c r="TDQ124" s="244"/>
      <c r="TDR124" s="244"/>
      <c r="TDS124" s="244"/>
      <c r="TDT124" s="244"/>
      <c r="TDU124" s="244"/>
      <c r="TDV124" s="244"/>
      <c r="TDW124" s="244"/>
      <c r="TDX124" s="244"/>
      <c r="TDY124" s="244"/>
      <c r="TDZ124" s="244"/>
      <c r="TEA124" s="244"/>
      <c r="TEB124" s="244"/>
      <c r="TEC124" s="244"/>
      <c r="TED124" s="244"/>
      <c r="TEE124" s="244"/>
      <c r="TEF124" s="244"/>
      <c r="TEG124" s="244"/>
      <c r="TEH124" s="244"/>
      <c r="TEI124" s="244"/>
      <c r="TEJ124" s="244"/>
      <c r="TEK124" s="244"/>
      <c r="TEL124" s="244"/>
      <c r="TEM124" s="244"/>
      <c r="TEN124" s="244"/>
      <c r="TEO124" s="244"/>
      <c r="TEP124" s="244"/>
      <c r="TEQ124" s="244"/>
      <c r="TER124" s="244"/>
      <c r="TES124" s="244"/>
      <c r="TET124" s="244"/>
      <c r="TEU124" s="244"/>
      <c r="TEV124" s="244"/>
      <c r="TEW124" s="244"/>
      <c r="TEX124" s="244"/>
      <c r="TEY124" s="244"/>
      <c r="TEZ124" s="244"/>
      <c r="TFA124" s="244"/>
      <c r="TFB124" s="244"/>
      <c r="TFC124" s="244"/>
      <c r="TFD124" s="244"/>
      <c r="TFE124" s="244"/>
      <c r="TFF124" s="244"/>
      <c r="TFG124" s="244"/>
      <c r="TFH124" s="244"/>
      <c r="TFI124" s="244"/>
      <c r="TFJ124" s="244"/>
      <c r="TFK124" s="244"/>
      <c r="TFL124" s="244"/>
      <c r="TFM124" s="244"/>
      <c r="TFN124" s="244"/>
      <c r="TFO124" s="244"/>
      <c r="TFP124" s="244"/>
      <c r="TFQ124" s="244"/>
      <c r="TFR124" s="244"/>
      <c r="TFS124" s="244"/>
      <c r="TFT124" s="244"/>
      <c r="TFU124" s="244"/>
      <c r="TFV124" s="244"/>
      <c r="TFW124" s="244"/>
      <c r="TFX124" s="244"/>
      <c r="TFY124" s="244"/>
      <c r="TFZ124" s="244"/>
      <c r="TGA124" s="244"/>
      <c r="TGB124" s="244"/>
      <c r="TGC124" s="244"/>
      <c r="TGD124" s="244"/>
      <c r="TGE124" s="244"/>
      <c r="TGF124" s="244"/>
      <c r="TGG124" s="244"/>
      <c r="TGH124" s="244"/>
      <c r="TGI124" s="244"/>
      <c r="TGJ124" s="244"/>
      <c r="TGK124" s="244"/>
      <c r="TGL124" s="244"/>
      <c r="TGM124" s="244"/>
      <c r="TGN124" s="244"/>
      <c r="TGO124" s="244"/>
      <c r="TGP124" s="244"/>
      <c r="TGQ124" s="244"/>
      <c r="TGR124" s="244"/>
      <c r="TGS124" s="244"/>
      <c r="TGT124" s="244"/>
      <c r="TGU124" s="244"/>
      <c r="TGV124" s="244"/>
      <c r="TGW124" s="244"/>
      <c r="TGX124" s="244"/>
      <c r="TGY124" s="244"/>
      <c r="TGZ124" s="244"/>
      <c r="THA124" s="244"/>
      <c r="THB124" s="244"/>
      <c r="THC124" s="244"/>
      <c r="THD124" s="244"/>
      <c r="THE124" s="244"/>
      <c r="THF124" s="244"/>
      <c r="THG124" s="244"/>
      <c r="THH124" s="244"/>
      <c r="THI124" s="244"/>
      <c r="THJ124" s="244"/>
      <c r="THK124" s="244"/>
      <c r="THL124" s="244"/>
      <c r="THM124" s="244"/>
      <c r="THN124" s="244"/>
      <c r="THO124" s="244"/>
      <c r="THP124" s="244"/>
      <c r="THQ124" s="244"/>
      <c r="THR124" s="244"/>
      <c r="THS124" s="244"/>
      <c r="THT124" s="244"/>
      <c r="THU124" s="244"/>
      <c r="THV124" s="244"/>
      <c r="THW124" s="244"/>
      <c r="THX124" s="244"/>
      <c r="THY124" s="244"/>
      <c r="THZ124" s="244"/>
      <c r="TIA124" s="244"/>
      <c r="TIB124" s="244"/>
      <c r="TIC124" s="244"/>
      <c r="TID124" s="244"/>
      <c r="TIE124" s="244"/>
      <c r="TIF124" s="244"/>
      <c r="TIG124" s="244"/>
      <c r="TIH124" s="244"/>
      <c r="TII124" s="244"/>
      <c r="TIJ124" s="244"/>
      <c r="TIK124" s="244"/>
      <c r="TIL124" s="244"/>
      <c r="TIM124" s="244"/>
      <c r="TIN124" s="244"/>
      <c r="TIO124" s="244"/>
      <c r="TIP124" s="244"/>
      <c r="TIQ124" s="244"/>
      <c r="TIR124" s="244"/>
      <c r="TIS124" s="244"/>
      <c r="TIT124" s="244"/>
      <c r="TIU124" s="244"/>
      <c r="TIV124" s="244"/>
      <c r="TIW124" s="244"/>
      <c r="TIX124" s="244"/>
      <c r="TIY124" s="244"/>
      <c r="TIZ124" s="244"/>
      <c r="TJA124" s="244"/>
      <c r="TJB124" s="244"/>
      <c r="TJC124" s="244"/>
      <c r="TJD124" s="244"/>
      <c r="TJE124" s="244"/>
      <c r="TJF124" s="244"/>
      <c r="TJG124" s="244"/>
      <c r="TJH124" s="244"/>
      <c r="TJI124" s="244"/>
      <c r="TJJ124" s="244"/>
      <c r="TJK124" s="244"/>
      <c r="TJL124" s="244"/>
      <c r="TJM124" s="244"/>
      <c r="TJN124" s="244"/>
      <c r="TJO124" s="244"/>
      <c r="TJP124" s="244"/>
      <c r="TJQ124" s="244"/>
      <c r="TJR124" s="244"/>
      <c r="TJS124" s="244"/>
      <c r="TJT124" s="244"/>
      <c r="TJU124" s="244"/>
      <c r="TJV124" s="244"/>
      <c r="TJW124" s="244"/>
      <c r="TJX124" s="244"/>
      <c r="TJY124" s="244"/>
      <c r="TJZ124" s="244"/>
      <c r="TKA124" s="244"/>
      <c r="TKB124" s="244"/>
      <c r="TKC124" s="244"/>
      <c r="TKD124" s="244"/>
      <c r="TKE124" s="244"/>
      <c r="TKF124" s="244"/>
      <c r="TKG124" s="244"/>
      <c r="TKH124" s="244"/>
      <c r="TKI124" s="244"/>
      <c r="TKJ124" s="244"/>
      <c r="TKK124" s="244"/>
      <c r="TKL124" s="244"/>
      <c r="TKM124" s="244"/>
      <c r="TKN124" s="244"/>
      <c r="TKO124" s="244"/>
      <c r="TKP124" s="244"/>
      <c r="TKQ124" s="244"/>
      <c r="TKR124" s="244"/>
      <c r="TKS124" s="244"/>
      <c r="TKT124" s="244"/>
      <c r="TKU124" s="244"/>
      <c r="TKV124" s="244"/>
      <c r="TKW124" s="244"/>
      <c r="TKX124" s="244"/>
      <c r="TKY124" s="244"/>
      <c r="TKZ124" s="244"/>
      <c r="TLA124" s="244"/>
      <c r="TLB124" s="244"/>
      <c r="TLC124" s="244"/>
      <c r="TLD124" s="244"/>
      <c r="TLE124" s="244"/>
      <c r="TLF124" s="244"/>
      <c r="TLG124" s="244"/>
      <c r="TLH124" s="244"/>
      <c r="TLI124" s="244"/>
      <c r="TLJ124" s="244"/>
      <c r="TLK124" s="244"/>
      <c r="TLL124" s="244"/>
      <c r="TLM124" s="244"/>
      <c r="TLN124" s="244"/>
      <c r="TLO124" s="244"/>
      <c r="TLP124" s="244"/>
      <c r="TLQ124" s="244"/>
      <c r="TLR124" s="244"/>
      <c r="TLS124" s="244"/>
      <c r="TLT124" s="244"/>
      <c r="TLU124" s="244"/>
      <c r="TLV124" s="244"/>
      <c r="TLW124" s="244"/>
      <c r="TLX124" s="244"/>
      <c r="TLY124" s="244"/>
      <c r="TLZ124" s="244"/>
      <c r="TMA124" s="244"/>
      <c r="TMB124" s="244"/>
      <c r="TMC124" s="244"/>
      <c r="TMD124" s="244"/>
      <c r="TME124" s="244"/>
      <c r="TMF124" s="244"/>
      <c r="TMG124" s="244"/>
      <c r="TMH124" s="244"/>
      <c r="TMI124" s="244"/>
      <c r="TMJ124" s="244"/>
      <c r="TMK124" s="244"/>
      <c r="TML124" s="244"/>
      <c r="TMM124" s="244"/>
      <c r="TMN124" s="244"/>
      <c r="TMO124" s="244"/>
      <c r="TMP124" s="244"/>
      <c r="TMQ124" s="244"/>
      <c r="TMR124" s="244"/>
      <c r="TMS124" s="244"/>
      <c r="TMT124" s="244"/>
      <c r="TMU124" s="244"/>
      <c r="TMV124" s="244"/>
      <c r="TMW124" s="244"/>
      <c r="TMX124" s="244"/>
      <c r="TMY124" s="244"/>
      <c r="TMZ124" s="244"/>
      <c r="TNA124" s="244"/>
      <c r="TNB124" s="244"/>
      <c r="TNC124" s="244"/>
      <c r="TND124" s="244"/>
      <c r="TNE124" s="244"/>
      <c r="TNF124" s="244"/>
      <c r="TNG124" s="244"/>
      <c r="TNH124" s="244"/>
      <c r="TNI124" s="244"/>
      <c r="TNJ124" s="244"/>
      <c r="TNK124" s="244"/>
      <c r="TNL124" s="244"/>
      <c r="TNM124" s="244"/>
      <c r="TNN124" s="244"/>
      <c r="TNO124" s="244"/>
      <c r="TNP124" s="244"/>
      <c r="TNQ124" s="244"/>
      <c r="TNR124" s="244"/>
      <c r="TNS124" s="244"/>
      <c r="TNT124" s="244"/>
      <c r="TNU124" s="244"/>
      <c r="TNV124" s="244"/>
      <c r="TNW124" s="244"/>
      <c r="TNX124" s="244"/>
      <c r="TNY124" s="244"/>
      <c r="TNZ124" s="244"/>
      <c r="TOA124" s="244"/>
      <c r="TOB124" s="244"/>
      <c r="TOC124" s="244"/>
      <c r="TOD124" s="244"/>
      <c r="TOE124" s="244"/>
      <c r="TOF124" s="244"/>
      <c r="TOG124" s="244"/>
      <c r="TOH124" s="244"/>
      <c r="TOI124" s="244"/>
      <c r="TOJ124" s="244"/>
      <c r="TOK124" s="244"/>
      <c r="TOL124" s="244"/>
      <c r="TOM124" s="244"/>
      <c r="TON124" s="244"/>
      <c r="TOO124" s="244"/>
      <c r="TOP124" s="244"/>
      <c r="TOQ124" s="244"/>
      <c r="TOR124" s="244"/>
      <c r="TOS124" s="244"/>
      <c r="TOT124" s="244"/>
      <c r="TOU124" s="244"/>
      <c r="TOV124" s="244"/>
      <c r="TOW124" s="244"/>
      <c r="TOX124" s="244"/>
      <c r="TOY124" s="244"/>
      <c r="TOZ124" s="244"/>
      <c r="TPA124" s="244"/>
      <c r="TPB124" s="244"/>
      <c r="TPC124" s="244"/>
      <c r="TPD124" s="244"/>
      <c r="TPE124" s="244"/>
      <c r="TPF124" s="244"/>
      <c r="TPG124" s="244"/>
      <c r="TPH124" s="244"/>
      <c r="TPI124" s="244"/>
      <c r="TPJ124" s="244"/>
      <c r="TPK124" s="244"/>
      <c r="TPL124" s="244"/>
      <c r="TPM124" s="244"/>
      <c r="TPN124" s="244"/>
      <c r="TPO124" s="244"/>
      <c r="TPP124" s="244"/>
      <c r="TPQ124" s="244"/>
      <c r="TPR124" s="244"/>
      <c r="TPS124" s="244"/>
      <c r="TPT124" s="244"/>
      <c r="TPU124" s="244"/>
      <c r="TPV124" s="244"/>
      <c r="TPW124" s="244"/>
      <c r="TPX124" s="244"/>
      <c r="TPY124" s="244"/>
      <c r="TPZ124" s="244"/>
      <c r="TQA124" s="244"/>
      <c r="TQB124" s="244"/>
      <c r="TQC124" s="244"/>
      <c r="TQD124" s="244"/>
      <c r="TQE124" s="244"/>
      <c r="TQF124" s="244"/>
      <c r="TQG124" s="244"/>
      <c r="TQH124" s="244"/>
      <c r="TQI124" s="244"/>
      <c r="TQJ124" s="244"/>
      <c r="TQK124" s="244"/>
      <c r="TQL124" s="244"/>
      <c r="TQM124" s="244"/>
      <c r="TQN124" s="244"/>
      <c r="TQO124" s="244"/>
      <c r="TQP124" s="244"/>
      <c r="TQQ124" s="244"/>
      <c r="TQR124" s="244"/>
      <c r="TQS124" s="244"/>
      <c r="TQT124" s="244"/>
      <c r="TQU124" s="244"/>
      <c r="TQV124" s="244"/>
      <c r="TQW124" s="244"/>
      <c r="TQX124" s="244"/>
      <c r="TQY124" s="244"/>
      <c r="TQZ124" s="244"/>
      <c r="TRA124" s="244"/>
      <c r="TRB124" s="244"/>
      <c r="TRC124" s="244"/>
      <c r="TRD124" s="244"/>
      <c r="TRE124" s="244"/>
      <c r="TRF124" s="244"/>
      <c r="TRG124" s="244"/>
      <c r="TRH124" s="244"/>
      <c r="TRI124" s="244"/>
      <c r="TRJ124" s="244"/>
      <c r="TRK124" s="244"/>
      <c r="TRL124" s="244"/>
      <c r="TRM124" s="244"/>
      <c r="TRN124" s="244"/>
      <c r="TRO124" s="244"/>
      <c r="TRP124" s="244"/>
      <c r="TRQ124" s="244"/>
      <c r="TRR124" s="244"/>
      <c r="TRS124" s="244"/>
      <c r="TRT124" s="244"/>
      <c r="TRU124" s="244"/>
      <c r="TRV124" s="244"/>
      <c r="TRW124" s="244"/>
      <c r="TRX124" s="244"/>
      <c r="TRY124" s="244"/>
      <c r="TRZ124" s="244"/>
      <c r="TSA124" s="244"/>
      <c r="TSB124" s="244"/>
      <c r="TSC124" s="244"/>
      <c r="TSD124" s="244"/>
      <c r="TSE124" s="244"/>
      <c r="TSF124" s="244"/>
      <c r="TSG124" s="244"/>
      <c r="TSH124" s="244"/>
      <c r="TSI124" s="244"/>
      <c r="TSJ124" s="244"/>
      <c r="TSK124" s="244"/>
      <c r="TSL124" s="244"/>
      <c r="TSM124" s="244"/>
      <c r="TSN124" s="244"/>
      <c r="TSO124" s="244"/>
      <c r="TSP124" s="244"/>
      <c r="TSQ124" s="244"/>
      <c r="TSR124" s="244"/>
      <c r="TSS124" s="244"/>
      <c r="TST124" s="244"/>
      <c r="TSU124" s="244"/>
      <c r="TSV124" s="244"/>
      <c r="TSW124" s="244"/>
      <c r="TSX124" s="244"/>
      <c r="TSY124" s="244"/>
      <c r="TSZ124" s="244"/>
      <c r="TTA124" s="244"/>
      <c r="TTB124" s="244"/>
      <c r="TTC124" s="244"/>
      <c r="TTD124" s="244"/>
      <c r="TTE124" s="244"/>
      <c r="TTF124" s="244"/>
      <c r="TTG124" s="244"/>
      <c r="TTH124" s="244"/>
      <c r="TTI124" s="244"/>
      <c r="TTJ124" s="244"/>
      <c r="TTK124" s="244"/>
      <c r="TTL124" s="244"/>
      <c r="TTM124" s="244"/>
      <c r="TTN124" s="244"/>
      <c r="TTO124" s="244"/>
      <c r="TTP124" s="244"/>
      <c r="TTQ124" s="244"/>
      <c r="TTR124" s="244"/>
      <c r="TTS124" s="244"/>
      <c r="TTT124" s="244"/>
      <c r="TTU124" s="244"/>
      <c r="TTV124" s="244"/>
      <c r="TTW124" s="244"/>
      <c r="TTX124" s="244"/>
      <c r="TTY124" s="244"/>
      <c r="TTZ124" s="244"/>
      <c r="TUA124" s="244"/>
      <c r="TUB124" s="244"/>
      <c r="TUC124" s="244"/>
      <c r="TUD124" s="244"/>
      <c r="TUE124" s="244"/>
      <c r="TUF124" s="244"/>
      <c r="TUG124" s="244"/>
      <c r="TUH124" s="244"/>
      <c r="TUI124" s="244"/>
      <c r="TUJ124" s="244"/>
      <c r="TUK124" s="244"/>
      <c r="TUL124" s="244"/>
      <c r="TUM124" s="244"/>
      <c r="TUN124" s="244"/>
      <c r="TUO124" s="244"/>
      <c r="TUP124" s="244"/>
      <c r="TUQ124" s="244"/>
      <c r="TUR124" s="244"/>
      <c r="TUS124" s="244"/>
      <c r="TUT124" s="244"/>
      <c r="TUU124" s="244"/>
      <c r="TUV124" s="244"/>
      <c r="TUW124" s="244"/>
      <c r="TUX124" s="244"/>
      <c r="TUY124" s="244"/>
      <c r="TUZ124" s="244"/>
      <c r="TVA124" s="244"/>
      <c r="TVB124" s="244"/>
      <c r="TVC124" s="244"/>
      <c r="TVD124" s="244"/>
      <c r="TVE124" s="244"/>
      <c r="TVF124" s="244"/>
      <c r="TVG124" s="244"/>
      <c r="TVH124" s="244"/>
      <c r="TVI124" s="244"/>
      <c r="TVJ124" s="244"/>
      <c r="TVK124" s="244"/>
      <c r="TVL124" s="244"/>
      <c r="TVM124" s="244"/>
      <c r="TVN124" s="244"/>
      <c r="TVO124" s="244"/>
      <c r="TVP124" s="244"/>
      <c r="TVQ124" s="244"/>
      <c r="TVR124" s="244"/>
      <c r="TVS124" s="244"/>
      <c r="TVT124" s="244"/>
      <c r="TVU124" s="244"/>
      <c r="TVV124" s="244"/>
      <c r="TVW124" s="244"/>
      <c r="TVX124" s="244"/>
      <c r="TVY124" s="244"/>
      <c r="TVZ124" s="244"/>
      <c r="TWA124" s="244"/>
      <c r="TWB124" s="244"/>
      <c r="TWC124" s="244"/>
      <c r="TWD124" s="244"/>
      <c r="TWE124" s="244"/>
      <c r="TWF124" s="244"/>
      <c r="TWG124" s="244"/>
      <c r="TWH124" s="244"/>
      <c r="TWI124" s="244"/>
      <c r="TWJ124" s="244"/>
      <c r="TWK124" s="244"/>
      <c r="TWL124" s="244"/>
      <c r="TWM124" s="244"/>
      <c r="TWN124" s="244"/>
      <c r="TWO124" s="244"/>
      <c r="TWP124" s="244"/>
      <c r="TWQ124" s="244"/>
      <c r="TWR124" s="244"/>
      <c r="TWS124" s="244"/>
      <c r="TWT124" s="244"/>
      <c r="TWU124" s="244"/>
      <c r="TWV124" s="244"/>
      <c r="TWW124" s="244"/>
      <c r="TWX124" s="244"/>
      <c r="TWY124" s="244"/>
      <c r="TWZ124" s="244"/>
      <c r="TXA124" s="244"/>
      <c r="TXB124" s="244"/>
      <c r="TXC124" s="244"/>
      <c r="TXD124" s="244"/>
      <c r="TXE124" s="244"/>
      <c r="TXF124" s="244"/>
      <c r="TXG124" s="244"/>
      <c r="TXH124" s="244"/>
      <c r="TXI124" s="244"/>
      <c r="TXJ124" s="244"/>
      <c r="TXK124" s="244"/>
      <c r="TXL124" s="244"/>
      <c r="TXM124" s="244"/>
      <c r="TXN124" s="244"/>
      <c r="TXO124" s="244"/>
      <c r="TXP124" s="244"/>
      <c r="TXQ124" s="244"/>
      <c r="TXR124" s="244"/>
      <c r="TXS124" s="244"/>
      <c r="TXT124" s="244"/>
      <c r="TXU124" s="244"/>
      <c r="TXV124" s="244"/>
      <c r="TXW124" s="244"/>
      <c r="TXX124" s="244"/>
      <c r="TXY124" s="244"/>
      <c r="TXZ124" s="244"/>
      <c r="TYA124" s="244"/>
      <c r="TYB124" s="244"/>
      <c r="TYC124" s="244"/>
      <c r="TYD124" s="244"/>
      <c r="TYE124" s="244"/>
      <c r="TYF124" s="244"/>
      <c r="TYG124" s="244"/>
      <c r="TYH124" s="244"/>
      <c r="TYI124" s="244"/>
      <c r="TYJ124" s="244"/>
      <c r="TYK124" s="244"/>
      <c r="TYL124" s="244"/>
      <c r="TYM124" s="244"/>
      <c r="TYN124" s="244"/>
      <c r="TYO124" s="244"/>
      <c r="TYP124" s="244"/>
      <c r="TYQ124" s="244"/>
      <c r="TYR124" s="244"/>
      <c r="TYS124" s="244"/>
      <c r="TYT124" s="244"/>
      <c r="TYU124" s="244"/>
      <c r="TYV124" s="244"/>
      <c r="TYW124" s="244"/>
      <c r="TYX124" s="244"/>
      <c r="TYY124" s="244"/>
      <c r="TYZ124" s="244"/>
      <c r="TZA124" s="244"/>
      <c r="TZB124" s="244"/>
      <c r="TZC124" s="244"/>
      <c r="TZD124" s="244"/>
      <c r="TZE124" s="244"/>
      <c r="TZF124" s="244"/>
      <c r="TZG124" s="244"/>
      <c r="TZH124" s="244"/>
      <c r="TZI124" s="244"/>
      <c r="TZJ124" s="244"/>
      <c r="TZK124" s="244"/>
      <c r="TZL124" s="244"/>
      <c r="TZM124" s="244"/>
      <c r="TZN124" s="244"/>
      <c r="TZO124" s="244"/>
      <c r="TZP124" s="244"/>
      <c r="TZQ124" s="244"/>
      <c r="TZR124" s="244"/>
      <c r="TZS124" s="244"/>
      <c r="TZT124" s="244"/>
      <c r="TZU124" s="244"/>
      <c r="TZV124" s="244"/>
      <c r="TZW124" s="244"/>
      <c r="TZX124" s="244"/>
      <c r="TZY124" s="244"/>
      <c r="TZZ124" s="244"/>
      <c r="UAA124" s="244"/>
      <c r="UAB124" s="244"/>
      <c r="UAC124" s="244"/>
      <c r="UAD124" s="244"/>
      <c r="UAE124" s="244"/>
      <c r="UAF124" s="244"/>
      <c r="UAG124" s="244"/>
      <c r="UAH124" s="244"/>
      <c r="UAI124" s="244"/>
      <c r="UAJ124" s="244"/>
      <c r="UAK124" s="244"/>
      <c r="UAL124" s="244"/>
      <c r="UAM124" s="244"/>
      <c r="UAN124" s="244"/>
      <c r="UAO124" s="244"/>
      <c r="UAP124" s="244"/>
      <c r="UAQ124" s="244"/>
      <c r="UAR124" s="244"/>
      <c r="UAS124" s="244"/>
      <c r="UAT124" s="244"/>
      <c r="UAU124" s="244"/>
      <c r="UAV124" s="244"/>
      <c r="UAW124" s="244"/>
      <c r="UAX124" s="244"/>
      <c r="UAY124" s="244"/>
      <c r="UAZ124" s="244"/>
      <c r="UBA124" s="244"/>
      <c r="UBB124" s="244"/>
      <c r="UBC124" s="244"/>
      <c r="UBD124" s="244"/>
      <c r="UBE124" s="244"/>
      <c r="UBF124" s="244"/>
      <c r="UBG124" s="244"/>
      <c r="UBH124" s="244"/>
      <c r="UBI124" s="244"/>
      <c r="UBJ124" s="244"/>
      <c r="UBK124" s="244"/>
      <c r="UBL124" s="244"/>
      <c r="UBM124" s="244"/>
      <c r="UBN124" s="244"/>
      <c r="UBO124" s="244"/>
      <c r="UBP124" s="244"/>
      <c r="UBQ124" s="244"/>
      <c r="UBR124" s="244"/>
      <c r="UBS124" s="244"/>
      <c r="UBT124" s="244"/>
      <c r="UBU124" s="244"/>
      <c r="UBV124" s="244"/>
      <c r="UBW124" s="244"/>
      <c r="UBX124" s="244"/>
      <c r="UBY124" s="244"/>
      <c r="UBZ124" s="244"/>
      <c r="UCA124" s="244"/>
      <c r="UCB124" s="244"/>
      <c r="UCC124" s="244"/>
      <c r="UCD124" s="244"/>
      <c r="UCE124" s="244"/>
      <c r="UCF124" s="244"/>
      <c r="UCG124" s="244"/>
      <c r="UCH124" s="244"/>
      <c r="UCI124" s="244"/>
      <c r="UCJ124" s="244"/>
      <c r="UCK124" s="244"/>
      <c r="UCL124" s="244"/>
      <c r="UCM124" s="244"/>
      <c r="UCN124" s="244"/>
      <c r="UCO124" s="244"/>
      <c r="UCP124" s="244"/>
      <c r="UCQ124" s="244"/>
      <c r="UCR124" s="244"/>
      <c r="UCS124" s="244"/>
      <c r="UCT124" s="244"/>
      <c r="UCU124" s="244"/>
      <c r="UCV124" s="244"/>
      <c r="UCW124" s="244"/>
      <c r="UCX124" s="244"/>
      <c r="UCY124" s="244"/>
      <c r="UCZ124" s="244"/>
      <c r="UDA124" s="244"/>
      <c r="UDB124" s="244"/>
      <c r="UDC124" s="244"/>
      <c r="UDD124" s="244"/>
      <c r="UDE124" s="244"/>
      <c r="UDF124" s="244"/>
      <c r="UDG124" s="244"/>
      <c r="UDH124" s="244"/>
      <c r="UDI124" s="244"/>
      <c r="UDJ124" s="244"/>
      <c r="UDK124" s="244"/>
      <c r="UDL124" s="244"/>
      <c r="UDM124" s="244"/>
      <c r="UDN124" s="244"/>
      <c r="UDO124" s="244"/>
      <c r="UDP124" s="244"/>
      <c r="UDQ124" s="244"/>
      <c r="UDR124" s="244"/>
      <c r="UDS124" s="244"/>
      <c r="UDT124" s="244"/>
      <c r="UDU124" s="244"/>
      <c r="UDV124" s="244"/>
      <c r="UDW124" s="244"/>
      <c r="UDX124" s="244"/>
      <c r="UDY124" s="244"/>
      <c r="UDZ124" s="244"/>
      <c r="UEA124" s="244"/>
      <c r="UEB124" s="244"/>
      <c r="UEC124" s="244"/>
      <c r="UED124" s="244"/>
      <c r="UEE124" s="244"/>
      <c r="UEF124" s="244"/>
      <c r="UEG124" s="244"/>
      <c r="UEH124" s="244"/>
      <c r="UEI124" s="244"/>
      <c r="UEJ124" s="244"/>
      <c r="UEK124" s="244"/>
      <c r="UEL124" s="244"/>
      <c r="UEM124" s="244"/>
      <c r="UEN124" s="244"/>
      <c r="UEO124" s="244"/>
      <c r="UEP124" s="244"/>
      <c r="UEQ124" s="244"/>
      <c r="UER124" s="244"/>
      <c r="UES124" s="244"/>
      <c r="UET124" s="244"/>
      <c r="UEU124" s="244"/>
      <c r="UEV124" s="244"/>
      <c r="UEW124" s="244"/>
      <c r="UEX124" s="244"/>
      <c r="UEY124" s="244"/>
      <c r="UEZ124" s="244"/>
      <c r="UFA124" s="244"/>
      <c r="UFB124" s="244"/>
      <c r="UFC124" s="244"/>
      <c r="UFD124" s="244"/>
      <c r="UFE124" s="244"/>
      <c r="UFF124" s="244"/>
      <c r="UFG124" s="244"/>
      <c r="UFH124" s="244"/>
      <c r="UFI124" s="244"/>
      <c r="UFJ124" s="244"/>
      <c r="UFK124" s="244"/>
      <c r="UFL124" s="244"/>
      <c r="UFM124" s="244"/>
      <c r="UFN124" s="244"/>
      <c r="UFO124" s="244"/>
      <c r="UFP124" s="244"/>
      <c r="UFQ124" s="244"/>
      <c r="UFR124" s="244"/>
      <c r="UFS124" s="244"/>
      <c r="UFT124" s="244"/>
      <c r="UFU124" s="244"/>
      <c r="UFV124" s="244"/>
      <c r="UFW124" s="244"/>
      <c r="UFX124" s="244"/>
      <c r="UFY124" s="244"/>
      <c r="UFZ124" s="244"/>
      <c r="UGA124" s="244"/>
      <c r="UGB124" s="244"/>
      <c r="UGC124" s="244"/>
      <c r="UGD124" s="244"/>
      <c r="UGE124" s="244"/>
      <c r="UGF124" s="244"/>
      <c r="UGG124" s="244"/>
      <c r="UGH124" s="244"/>
      <c r="UGI124" s="244"/>
      <c r="UGJ124" s="244"/>
      <c r="UGK124" s="244"/>
      <c r="UGL124" s="244"/>
      <c r="UGM124" s="244"/>
      <c r="UGN124" s="244"/>
      <c r="UGO124" s="244"/>
      <c r="UGP124" s="244"/>
      <c r="UGQ124" s="244"/>
      <c r="UGR124" s="244"/>
      <c r="UGS124" s="244"/>
      <c r="UGT124" s="244"/>
      <c r="UGU124" s="244"/>
      <c r="UGV124" s="244"/>
      <c r="UGW124" s="244"/>
      <c r="UGX124" s="244"/>
      <c r="UGY124" s="244"/>
      <c r="UGZ124" s="244"/>
      <c r="UHA124" s="244"/>
      <c r="UHB124" s="244"/>
      <c r="UHC124" s="244"/>
      <c r="UHD124" s="244"/>
      <c r="UHE124" s="244"/>
      <c r="UHF124" s="244"/>
      <c r="UHG124" s="244"/>
      <c r="UHH124" s="244"/>
      <c r="UHI124" s="244"/>
      <c r="UHJ124" s="244"/>
      <c r="UHK124" s="244"/>
      <c r="UHL124" s="244"/>
      <c r="UHM124" s="244"/>
      <c r="UHN124" s="244"/>
      <c r="UHO124" s="244"/>
      <c r="UHP124" s="244"/>
      <c r="UHQ124" s="244"/>
      <c r="UHR124" s="244"/>
      <c r="UHS124" s="244"/>
      <c r="UHT124" s="244"/>
      <c r="UHU124" s="244"/>
      <c r="UHV124" s="244"/>
      <c r="UHW124" s="244"/>
      <c r="UHX124" s="244"/>
      <c r="UHY124" s="244"/>
      <c r="UHZ124" s="244"/>
      <c r="UIA124" s="244"/>
      <c r="UIB124" s="244"/>
      <c r="UIC124" s="244"/>
      <c r="UID124" s="244"/>
      <c r="UIE124" s="244"/>
      <c r="UIF124" s="244"/>
      <c r="UIG124" s="244"/>
      <c r="UIH124" s="244"/>
      <c r="UII124" s="244"/>
      <c r="UIJ124" s="244"/>
      <c r="UIK124" s="244"/>
      <c r="UIL124" s="244"/>
      <c r="UIM124" s="244"/>
      <c r="UIN124" s="244"/>
      <c r="UIO124" s="244"/>
      <c r="UIP124" s="244"/>
      <c r="UIQ124" s="244"/>
      <c r="UIR124" s="244"/>
      <c r="UIS124" s="244"/>
      <c r="UIT124" s="244"/>
      <c r="UIU124" s="244"/>
      <c r="UIV124" s="244"/>
      <c r="UIW124" s="244"/>
      <c r="UIX124" s="244"/>
      <c r="UIY124" s="244"/>
      <c r="UIZ124" s="244"/>
      <c r="UJA124" s="244"/>
      <c r="UJB124" s="244"/>
      <c r="UJC124" s="244"/>
      <c r="UJD124" s="244"/>
      <c r="UJE124" s="244"/>
      <c r="UJF124" s="244"/>
      <c r="UJG124" s="244"/>
      <c r="UJH124" s="244"/>
      <c r="UJI124" s="244"/>
      <c r="UJJ124" s="244"/>
      <c r="UJK124" s="244"/>
      <c r="UJL124" s="244"/>
      <c r="UJM124" s="244"/>
      <c r="UJN124" s="244"/>
      <c r="UJO124" s="244"/>
      <c r="UJP124" s="244"/>
      <c r="UJQ124" s="244"/>
      <c r="UJR124" s="244"/>
      <c r="UJS124" s="244"/>
      <c r="UJT124" s="244"/>
      <c r="UJU124" s="244"/>
      <c r="UJV124" s="244"/>
      <c r="UJW124" s="244"/>
      <c r="UJX124" s="244"/>
      <c r="UJY124" s="244"/>
      <c r="UJZ124" s="244"/>
      <c r="UKA124" s="244"/>
      <c r="UKB124" s="244"/>
      <c r="UKC124" s="244"/>
      <c r="UKD124" s="244"/>
      <c r="UKE124" s="244"/>
      <c r="UKF124" s="244"/>
      <c r="UKG124" s="244"/>
      <c r="UKH124" s="244"/>
      <c r="UKI124" s="244"/>
      <c r="UKJ124" s="244"/>
      <c r="UKK124" s="244"/>
      <c r="UKL124" s="244"/>
      <c r="UKM124" s="244"/>
      <c r="UKN124" s="244"/>
      <c r="UKO124" s="244"/>
      <c r="UKP124" s="244"/>
      <c r="UKQ124" s="244"/>
      <c r="UKR124" s="244"/>
      <c r="UKS124" s="244"/>
      <c r="UKT124" s="244"/>
      <c r="UKU124" s="244"/>
      <c r="UKV124" s="244"/>
      <c r="UKW124" s="244"/>
      <c r="UKX124" s="244"/>
      <c r="UKY124" s="244"/>
      <c r="UKZ124" s="244"/>
      <c r="ULA124" s="244"/>
      <c r="ULB124" s="244"/>
      <c r="ULC124" s="244"/>
      <c r="ULD124" s="244"/>
      <c r="ULE124" s="244"/>
      <c r="ULF124" s="244"/>
      <c r="ULG124" s="244"/>
      <c r="ULH124" s="244"/>
      <c r="ULI124" s="244"/>
      <c r="ULJ124" s="244"/>
      <c r="ULK124" s="244"/>
      <c r="ULL124" s="244"/>
      <c r="ULM124" s="244"/>
      <c r="ULN124" s="244"/>
      <c r="ULO124" s="244"/>
      <c r="ULP124" s="244"/>
      <c r="ULQ124" s="244"/>
      <c r="ULR124" s="244"/>
      <c r="ULS124" s="244"/>
      <c r="ULT124" s="244"/>
      <c r="ULU124" s="244"/>
      <c r="ULV124" s="244"/>
      <c r="ULW124" s="244"/>
      <c r="ULX124" s="244"/>
      <c r="ULY124" s="244"/>
      <c r="ULZ124" s="244"/>
      <c r="UMA124" s="244"/>
      <c r="UMB124" s="244"/>
      <c r="UMC124" s="244"/>
      <c r="UMD124" s="244"/>
      <c r="UME124" s="244"/>
      <c r="UMF124" s="244"/>
      <c r="UMG124" s="244"/>
      <c r="UMH124" s="244"/>
      <c r="UMI124" s="244"/>
      <c r="UMJ124" s="244"/>
      <c r="UMK124" s="244"/>
      <c r="UML124" s="244"/>
      <c r="UMM124" s="244"/>
      <c r="UMN124" s="244"/>
      <c r="UMO124" s="244"/>
      <c r="UMP124" s="244"/>
      <c r="UMQ124" s="244"/>
      <c r="UMR124" s="244"/>
      <c r="UMS124" s="244"/>
      <c r="UMT124" s="244"/>
      <c r="UMU124" s="244"/>
      <c r="UMV124" s="244"/>
      <c r="UMW124" s="244"/>
      <c r="UMX124" s="244"/>
      <c r="UMY124" s="244"/>
      <c r="UMZ124" s="244"/>
      <c r="UNA124" s="244"/>
      <c r="UNB124" s="244"/>
      <c r="UNC124" s="244"/>
      <c r="UND124" s="244"/>
      <c r="UNE124" s="244"/>
      <c r="UNF124" s="244"/>
      <c r="UNG124" s="244"/>
      <c r="UNH124" s="244"/>
      <c r="UNI124" s="244"/>
      <c r="UNJ124" s="244"/>
      <c r="UNK124" s="244"/>
      <c r="UNL124" s="244"/>
      <c r="UNM124" s="244"/>
      <c r="UNN124" s="244"/>
      <c r="UNO124" s="244"/>
      <c r="UNP124" s="244"/>
      <c r="UNQ124" s="244"/>
      <c r="UNR124" s="244"/>
      <c r="UNS124" s="244"/>
      <c r="UNT124" s="244"/>
      <c r="UNU124" s="244"/>
      <c r="UNV124" s="244"/>
      <c r="UNW124" s="244"/>
      <c r="UNX124" s="244"/>
      <c r="UNY124" s="244"/>
      <c r="UNZ124" s="244"/>
      <c r="UOA124" s="244"/>
      <c r="UOB124" s="244"/>
      <c r="UOC124" s="244"/>
      <c r="UOD124" s="244"/>
      <c r="UOE124" s="244"/>
      <c r="UOF124" s="244"/>
      <c r="UOG124" s="244"/>
      <c r="UOH124" s="244"/>
      <c r="UOI124" s="244"/>
      <c r="UOJ124" s="244"/>
      <c r="UOK124" s="244"/>
      <c r="UOL124" s="244"/>
      <c r="UOM124" s="244"/>
      <c r="UON124" s="244"/>
      <c r="UOO124" s="244"/>
      <c r="UOP124" s="244"/>
      <c r="UOQ124" s="244"/>
      <c r="UOR124" s="244"/>
      <c r="UOS124" s="244"/>
      <c r="UOT124" s="244"/>
      <c r="UOU124" s="244"/>
      <c r="UOV124" s="244"/>
      <c r="UOW124" s="244"/>
      <c r="UOX124" s="244"/>
      <c r="UOY124" s="244"/>
      <c r="UOZ124" s="244"/>
      <c r="UPA124" s="244"/>
      <c r="UPB124" s="244"/>
      <c r="UPC124" s="244"/>
      <c r="UPD124" s="244"/>
      <c r="UPE124" s="244"/>
      <c r="UPF124" s="244"/>
      <c r="UPG124" s="244"/>
      <c r="UPH124" s="244"/>
      <c r="UPI124" s="244"/>
      <c r="UPJ124" s="244"/>
      <c r="UPK124" s="244"/>
      <c r="UPL124" s="244"/>
      <c r="UPM124" s="244"/>
      <c r="UPN124" s="244"/>
      <c r="UPO124" s="244"/>
      <c r="UPP124" s="244"/>
      <c r="UPQ124" s="244"/>
      <c r="UPR124" s="244"/>
      <c r="UPS124" s="244"/>
      <c r="UPT124" s="244"/>
      <c r="UPU124" s="244"/>
      <c r="UPV124" s="244"/>
      <c r="UPW124" s="244"/>
      <c r="UPX124" s="244"/>
      <c r="UPY124" s="244"/>
      <c r="UPZ124" s="244"/>
      <c r="UQA124" s="244"/>
      <c r="UQB124" s="244"/>
      <c r="UQC124" s="244"/>
      <c r="UQD124" s="244"/>
      <c r="UQE124" s="244"/>
      <c r="UQF124" s="244"/>
      <c r="UQG124" s="244"/>
      <c r="UQH124" s="244"/>
      <c r="UQI124" s="244"/>
      <c r="UQJ124" s="244"/>
      <c r="UQK124" s="244"/>
      <c r="UQL124" s="244"/>
      <c r="UQM124" s="244"/>
      <c r="UQN124" s="244"/>
      <c r="UQO124" s="244"/>
      <c r="UQP124" s="244"/>
      <c r="UQQ124" s="244"/>
      <c r="UQR124" s="244"/>
      <c r="UQS124" s="244"/>
      <c r="UQT124" s="244"/>
      <c r="UQU124" s="244"/>
      <c r="UQV124" s="244"/>
      <c r="UQW124" s="244"/>
      <c r="UQX124" s="244"/>
      <c r="UQY124" s="244"/>
      <c r="UQZ124" s="244"/>
      <c r="URA124" s="244"/>
      <c r="URB124" s="244"/>
      <c r="URC124" s="244"/>
      <c r="URD124" s="244"/>
      <c r="URE124" s="244"/>
      <c r="URF124" s="244"/>
      <c r="URG124" s="244"/>
      <c r="URH124" s="244"/>
      <c r="URI124" s="244"/>
      <c r="URJ124" s="244"/>
      <c r="URK124" s="244"/>
      <c r="URL124" s="244"/>
      <c r="URM124" s="244"/>
      <c r="URN124" s="244"/>
      <c r="URO124" s="244"/>
      <c r="URP124" s="244"/>
      <c r="URQ124" s="244"/>
      <c r="URR124" s="244"/>
      <c r="URS124" s="244"/>
      <c r="URT124" s="244"/>
      <c r="URU124" s="244"/>
      <c r="URV124" s="244"/>
      <c r="URW124" s="244"/>
      <c r="URX124" s="244"/>
      <c r="URY124" s="244"/>
      <c r="URZ124" s="244"/>
      <c r="USA124" s="244"/>
      <c r="USB124" s="244"/>
      <c r="USC124" s="244"/>
      <c r="USD124" s="244"/>
      <c r="USE124" s="244"/>
      <c r="USF124" s="244"/>
      <c r="USG124" s="244"/>
      <c r="USH124" s="244"/>
      <c r="USI124" s="244"/>
      <c r="USJ124" s="244"/>
      <c r="USK124" s="244"/>
      <c r="USL124" s="244"/>
      <c r="USM124" s="244"/>
      <c r="USN124" s="244"/>
      <c r="USO124" s="244"/>
      <c r="USP124" s="244"/>
      <c r="USQ124" s="244"/>
      <c r="USR124" s="244"/>
      <c r="USS124" s="244"/>
      <c r="UST124" s="244"/>
      <c r="USU124" s="244"/>
      <c r="USV124" s="244"/>
      <c r="USW124" s="244"/>
      <c r="USX124" s="244"/>
      <c r="USY124" s="244"/>
      <c r="USZ124" s="244"/>
      <c r="UTA124" s="244"/>
      <c r="UTB124" s="244"/>
      <c r="UTC124" s="244"/>
      <c r="UTD124" s="244"/>
      <c r="UTE124" s="244"/>
      <c r="UTF124" s="244"/>
      <c r="UTG124" s="244"/>
      <c r="UTH124" s="244"/>
      <c r="UTI124" s="244"/>
      <c r="UTJ124" s="244"/>
      <c r="UTK124" s="244"/>
      <c r="UTL124" s="244"/>
      <c r="UTM124" s="244"/>
      <c r="UTN124" s="244"/>
      <c r="UTO124" s="244"/>
      <c r="UTP124" s="244"/>
      <c r="UTQ124" s="244"/>
      <c r="UTR124" s="244"/>
      <c r="UTS124" s="244"/>
      <c r="UTT124" s="244"/>
      <c r="UTU124" s="244"/>
      <c r="UTV124" s="244"/>
      <c r="UTW124" s="244"/>
      <c r="UTX124" s="244"/>
      <c r="UTY124" s="244"/>
      <c r="UTZ124" s="244"/>
      <c r="UUA124" s="244"/>
      <c r="UUB124" s="244"/>
      <c r="UUC124" s="244"/>
      <c r="UUD124" s="244"/>
      <c r="UUE124" s="244"/>
      <c r="UUF124" s="244"/>
      <c r="UUG124" s="244"/>
      <c r="UUH124" s="244"/>
      <c r="UUI124" s="244"/>
      <c r="UUJ124" s="244"/>
      <c r="UUK124" s="244"/>
      <c r="UUL124" s="244"/>
      <c r="UUM124" s="244"/>
      <c r="UUN124" s="244"/>
      <c r="UUO124" s="244"/>
      <c r="UUP124" s="244"/>
      <c r="UUQ124" s="244"/>
      <c r="UUR124" s="244"/>
      <c r="UUS124" s="244"/>
      <c r="UUT124" s="244"/>
      <c r="UUU124" s="244"/>
      <c r="UUV124" s="244"/>
      <c r="UUW124" s="244"/>
      <c r="UUX124" s="244"/>
      <c r="UUY124" s="244"/>
      <c r="UUZ124" s="244"/>
      <c r="UVA124" s="244"/>
      <c r="UVB124" s="244"/>
      <c r="UVC124" s="244"/>
      <c r="UVD124" s="244"/>
      <c r="UVE124" s="244"/>
      <c r="UVF124" s="244"/>
      <c r="UVG124" s="244"/>
      <c r="UVH124" s="244"/>
      <c r="UVI124" s="244"/>
      <c r="UVJ124" s="244"/>
      <c r="UVK124" s="244"/>
      <c r="UVL124" s="244"/>
      <c r="UVM124" s="244"/>
      <c r="UVN124" s="244"/>
      <c r="UVO124" s="244"/>
      <c r="UVP124" s="244"/>
      <c r="UVQ124" s="244"/>
      <c r="UVR124" s="244"/>
      <c r="UVS124" s="244"/>
      <c r="UVT124" s="244"/>
      <c r="UVU124" s="244"/>
      <c r="UVV124" s="244"/>
      <c r="UVW124" s="244"/>
      <c r="UVX124" s="244"/>
      <c r="UVY124" s="244"/>
      <c r="UVZ124" s="244"/>
      <c r="UWA124" s="244"/>
      <c r="UWB124" s="244"/>
      <c r="UWC124" s="244"/>
      <c r="UWD124" s="244"/>
      <c r="UWE124" s="244"/>
      <c r="UWF124" s="244"/>
      <c r="UWG124" s="244"/>
      <c r="UWH124" s="244"/>
      <c r="UWI124" s="244"/>
      <c r="UWJ124" s="244"/>
      <c r="UWK124" s="244"/>
      <c r="UWL124" s="244"/>
      <c r="UWM124" s="244"/>
      <c r="UWN124" s="244"/>
      <c r="UWO124" s="244"/>
      <c r="UWP124" s="244"/>
      <c r="UWQ124" s="244"/>
      <c r="UWR124" s="244"/>
      <c r="UWS124" s="244"/>
      <c r="UWT124" s="244"/>
      <c r="UWU124" s="244"/>
      <c r="UWV124" s="244"/>
      <c r="UWW124" s="244"/>
      <c r="UWX124" s="244"/>
      <c r="UWY124" s="244"/>
      <c r="UWZ124" s="244"/>
      <c r="UXA124" s="244"/>
      <c r="UXB124" s="244"/>
      <c r="UXC124" s="244"/>
      <c r="UXD124" s="244"/>
      <c r="UXE124" s="244"/>
      <c r="UXF124" s="244"/>
      <c r="UXG124" s="244"/>
      <c r="UXH124" s="244"/>
      <c r="UXI124" s="244"/>
      <c r="UXJ124" s="244"/>
      <c r="UXK124" s="244"/>
      <c r="UXL124" s="244"/>
      <c r="UXM124" s="244"/>
      <c r="UXN124" s="244"/>
      <c r="UXO124" s="244"/>
      <c r="UXP124" s="244"/>
      <c r="UXQ124" s="244"/>
      <c r="UXR124" s="244"/>
      <c r="UXS124" s="244"/>
      <c r="UXT124" s="244"/>
      <c r="UXU124" s="244"/>
      <c r="UXV124" s="244"/>
      <c r="UXW124" s="244"/>
      <c r="UXX124" s="244"/>
      <c r="UXY124" s="244"/>
      <c r="UXZ124" s="244"/>
      <c r="UYA124" s="244"/>
      <c r="UYB124" s="244"/>
      <c r="UYC124" s="244"/>
      <c r="UYD124" s="244"/>
      <c r="UYE124" s="244"/>
      <c r="UYF124" s="244"/>
      <c r="UYG124" s="244"/>
      <c r="UYH124" s="244"/>
      <c r="UYI124" s="244"/>
      <c r="UYJ124" s="244"/>
      <c r="UYK124" s="244"/>
      <c r="UYL124" s="244"/>
      <c r="UYM124" s="244"/>
      <c r="UYN124" s="244"/>
      <c r="UYO124" s="244"/>
      <c r="UYP124" s="244"/>
      <c r="UYQ124" s="244"/>
      <c r="UYR124" s="244"/>
      <c r="UYS124" s="244"/>
      <c r="UYT124" s="244"/>
      <c r="UYU124" s="244"/>
      <c r="UYV124" s="244"/>
      <c r="UYW124" s="244"/>
      <c r="UYX124" s="244"/>
      <c r="UYY124" s="244"/>
      <c r="UYZ124" s="244"/>
      <c r="UZA124" s="244"/>
      <c r="UZB124" s="244"/>
      <c r="UZC124" s="244"/>
      <c r="UZD124" s="244"/>
      <c r="UZE124" s="244"/>
      <c r="UZF124" s="244"/>
      <c r="UZG124" s="244"/>
      <c r="UZH124" s="244"/>
      <c r="UZI124" s="244"/>
      <c r="UZJ124" s="244"/>
      <c r="UZK124" s="244"/>
      <c r="UZL124" s="244"/>
      <c r="UZM124" s="244"/>
      <c r="UZN124" s="244"/>
      <c r="UZO124" s="244"/>
      <c r="UZP124" s="244"/>
      <c r="UZQ124" s="244"/>
      <c r="UZR124" s="244"/>
      <c r="UZS124" s="244"/>
      <c r="UZT124" s="244"/>
      <c r="UZU124" s="244"/>
      <c r="UZV124" s="244"/>
      <c r="UZW124" s="244"/>
      <c r="UZX124" s="244"/>
      <c r="UZY124" s="244"/>
      <c r="UZZ124" s="244"/>
      <c r="VAA124" s="244"/>
      <c r="VAB124" s="244"/>
      <c r="VAC124" s="244"/>
      <c r="VAD124" s="244"/>
      <c r="VAE124" s="244"/>
      <c r="VAF124" s="244"/>
      <c r="VAG124" s="244"/>
      <c r="VAH124" s="244"/>
      <c r="VAI124" s="244"/>
      <c r="VAJ124" s="244"/>
      <c r="VAK124" s="244"/>
      <c r="VAL124" s="244"/>
      <c r="VAM124" s="244"/>
      <c r="VAN124" s="244"/>
      <c r="VAO124" s="244"/>
      <c r="VAP124" s="244"/>
      <c r="VAQ124" s="244"/>
      <c r="VAR124" s="244"/>
      <c r="VAS124" s="244"/>
      <c r="VAT124" s="244"/>
      <c r="VAU124" s="244"/>
      <c r="VAV124" s="244"/>
      <c r="VAW124" s="244"/>
      <c r="VAX124" s="244"/>
      <c r="VAY124" s="244"/>
      <c r="VAZ124" s="244"/>
      <c r="VBA124" s="244"/>
      <c r="VBB124" s="244"/>
      <c r="VBC124" s="244"/>
      <c r="VBD124" s="244"/>
      <c r="VBE124" s="244"/>
      <c r="VBF124" s="244"/>
      <c r="VBG124" s="244"/>
      <c r="VBH124" s="244"/>
      <c r="VBI124" s="244"/>
      <c r="VBJ124" s="244"/>
      <c r="VBK124" s="244"/>
      <c r="VBL124" s="244"/>
      <c r="VBM124" s="244"/>
      <c r="VBN124" s="244"/>
      <c r="VBO124" s="244"/>
      <c r="VBP124" s="244"/>
      <c r="VBQ124" s="244"/>
      <c r="VBR124" s="244"/>
      <c r="VBS124" s="244"/>
      <c r="VBT124" s="244"/>
      <c r="VBU124" s="244"/>
      <c r="VBV124" s="244"/>
      <c r="VBW124" s="244"/>
      <c r="VBX124" s="244"/>
      <c r="VBY124" s="244"/>
      <c r="VBZ124" s="244"/>
      <c r="VCA124" s="244"/>
      <c r="VCB124" s="244"/>
      <c r="VCC124" s="244"/>
      <c r="VCD124" s="244"/>
      <c r="VCE124" s="244"/>
      <c r="VCF124" s="244"/>
      <c r="VCG124" s="244"/>
      <c r="VCH124" s="244"/>
      <c r="VCI124" s="244"/>
      <c r="VCJ124" s="244"/>
      <c r="VCK124" s="244"/>
      <c r="VCL124" s="244"/>
      <c r="VCM124" s="244"/>
      <c r="VCN124" s="244"/>
      <c r="VCO124" s="244"/>
      <c r="VCP124" s="244"/>
      <c r="VCQ124" s="244"/>
      <c r="VCR124" s="244"/>
      <c r="VCS124" s="244"/>
      <c r="VCT124" s="244"/>
      <c r="VCU124" s="244"/>
      <c r="VCV124" s="244"/>
      <c r="VCW124" s="244"/>
      <c r="VCX124" s="244"/>
      <c r="VCY124" s="244"/>
      <c r="VCZ124" s="244"/>
      <c r="VDA124" s="244"/>
      <c r="VDB124" s="244"/>
      <c r="VDC124" s="244"/>
      <c r="VDD124" s="244"/>
      <c r="VDE124" s="244"/>
      <c r="VDF124" s="244"/>
      <c r="VDG124" s="244"/>
      <c r="VDH124" s="244"/>
      <c r="VDI124" s="244"/>
      <c r="VDJ124" s="244"/>
      <c r="VDK124" s="244"/>
      <c r="VDL124" s="244"/>
      <c r="VDM124" s="244"/>
      <c r="VDN124" s="244"/>
      <c r="VDO124" s="244"/>
      <c r="VDP124" s="244"/>
      <c r="VDQ124" s="244"/>
      <c r="VDR124" s="244"/>
      <c r="VDS124" s="244"/>
      <c r="VDT124" s="244"/>
      <c r="VDU124" s="244"/>
      <c r="VDV124" s="244"/>
      <c r="VDW124" s="244"/>
      <c r="VDX124" s="244"/>
      <c r="VDY124" s="244"/>
      <c r="VDZ124" s="244"/>
      <c r="VEA124" s="244"/>
      <c r="VEB124" s="244"/>
      <c r="VEC124" s="244"/>
      <c r="VED124" s="244"/>
      <c r="VEE124" s="244"/>
      <c r="VEF124" s="244"/>
      <c r="VEG124" s="244"/>
      <c r="VEH124" s="244"/>
      <c r="VEI124" s="244"/>
      <c r="VEJ124" s="244"/>
      <c r="VEK124" s="244"/>
      <c r="VEL124" s="244"/>
      <c r="VEM124" s="244"/>
      <c r="VEN124" s="244"/>
      <c r="VEO124" s="244"/>
      <c r="VEP124" s="244"/>
      <c r="VEQ124" s="244"/>
      <c r="VER124" s="244"/>
      <c r="VES124" s="244"/>
      <c r="VET124" s="244"/>
      <c r="VEU124" s="244"/>
      <c r="VEV124" s="244"/>
      <c r="VEW124" s="244"/>
      <c r="VEX124" s="244"/>
      <c r="VEY124" s="244"/>
      <c r="VEZ124" s="244"/>
      <c r="VFA124" s="244"/>
      <c r="VFB124" s="244"/>
      <c r="VFC124" s="244"/>
      <c r="VFD124" s="244"/>
      <c r="VFE124" s="244"/>
      <c r="VFF124" s="244"/>
      <c r="VFG124" s="244"/>
      <c r="VFH124" s="244"/>
      <c r="VFI124" s="244"/>
      <c r="VFJ124" s="244"/>
      <c r="VFK124" s="244"/>
      <c r="VFL124" s="244"/>
      <c r="VFM124" s="244"/>
      <c r="VFN124" s="244"/>
      <c r="VFO124" s="244"/>
      <c r="VFP124" s="244"/>
      <c r="VFQ124" s="244"/>
      <c r="VFR124" s="244"/>
      <c r="VFS124" s="244"/>
      <c r="VFT124" s="244"/>
      <c r="VFU124" s="244"/>
      <c r="VFV124" s="244"/>
      <c r="VFW124" s="244"/>
      <c r="VFX124" s="244"/>
      <c r="VFY124" s="244"/>
      <c r="VFZ124" s="244"/>
      <c r="VGA124" s="244"/>
      <c r="VGB124" s="244"/>
      <c r="VGC124" s="244"/>
      <c r="VGD124" s="244"/>
      <c r="VGE124" s="244"/>
      <c r="VGF124" s="244"/>
      <c r="VGG124" s="244"/>
      <c r="VGH124" s="244"/>
      <c r="VGI124" s="244"/>
      <c r="VGJ124" s="244"/>
      <c r="VGK124" s="244"/>
      <c r="VGL124" s="244"/>
      <c r="VGM124" s="244"/>
      <c r="VGN124" s="244"/>
      <c r="VGO124" s="244"/>
      <c r="VGP124" s="244"/>
      <c r="VGQ124" s="244"/>
      <c r="VGR124" s="244"/>
      <c r="VGS124" s="244"/>
      <c r="VGT124" s="244"/>
      <c r="VGU124" s="244"/>
      <c r="VGV124" s="244"/>
      <c r="VGW124" s="244"/>
      <c r="VGX124" s="244"/>
      <c r="VGY124" s="244"/>
      <c r="VGZ124" s="244"/>
      <c r="VHA124" s="244"/>
      <c r="VHB124" s="244"/>
      <c r="VHC124" s="244"/>
      <c r="VHD124" s="244"/>
      <c r="VHE124" s="244"/>
      <c r="VHF124" s="244"/>
      <c r="VHG124" s="244"/>
      <c r="VHH124" s="244"/>
      <c r="VHI124" s="244"/>
      <c r="VHJ124" s="244"/>
      <c r="VHK124" s="244"/>
      <c r="VHL124" s="244"/>
      <c r="VHM124" s="244"/>
      <c r="VHN124" s="244"/>
      <c r="VHO124" s="244"/>
      <c r="VHP124" s="244"/>
      <c r="VHQ124" s="244"/>
      <c r="VHR124" s="244"/>
      <c r="VHS124" s="244"/>
      <c r="VHT124" s="244"/>
      <c r="VHU124" s="244"/>
      <c r="VHV124" s="244"/>
      <c r="VHW124" s="244"/>
      <c r="VHX124" s="244"/>
      <c r="VHY124" s="244"/>
      <c r="VHZ124" s="244"/>
      <c r="VIA124" s="244"/>
      <c r="VIB124" s="244"/>
      <c r="VIC124" s="244"/>
      <c r="VID124" s="244"/>
      <c r="VIE124" s="244"/>
      <c r="VIF124" s="244"/>
      <c r="VIG124" s="244"/>
      <c r="VIH124" s="244"/>
      <c r="VII124" s="244"/>
      <c r="VIJ124" s="244"/>
      <c r="VIK124" s="244"/>
      <c r="VIL124" s="244"/>
      <c r="VIM124" s="244"/>
      <c r="VIN124" s="244"/>
      <c r="VIO124" s="244"/>
      <c r="VIP124" s="244"/>
      <c r="VIQ124" s="244"/>
      <c r="VIR124" s="244"/>
      <c r="VIS124" s="244"/>
      <c r="VIT124" s="244"/>
      <c r="VIU124" s="244"/>
      <c r="VIV124" s="244"/>
      <c r="VIW124" s="244"/>
      <c r="VIX124" s="244"/>
      <c r="VIY124" s="244"/>
      <c r="VIZ124" s="244"/>
      <c r="VJA124" s="244"/>
      <c r="VJB124" s="244"/>
      <c r="VJC124" s="244"/>
      <c r="VJD124" s="244"/>
      <c r="VJE124" s="244"/>
      <c r="VJF124" s="244"/>
      <c r="VJG124" s="244"/>
      <c r="VJH124" s="244"/>
      <c r="VJI124" s="244"/>
      <c r="VJJ124" s="244"/>
      <c r="VJK124" s="244"/>
      <c r="VJL124" s="244"/>
      <c r="VJM124" s="244"/>
      <c r="VJN124" s="244"/>
      <c r="VJO124" s="244"/>
      <c r="VJP124" s="244"/>
      <c r="VJQ124" s="244"/>
      <c r="VJR124" s="244"/>
      <c r="VJS124" s="244"/>
      <c r="VJT124" s="244"/>
      <c r="VJU124" s="244"/>
      <c r="VJV124" s="244"/>
      <c r="VJW124" s="244"/>
      <c r="VJX124" s="244"/>
      <c r="VJY124" s="244"/>
      <c r="VJZ124" s="244"/>
      <c r="VKA124" s="244"/>
      <c r="VKB124" s="244"/>
      <c r="VKC124" s="244"/>
      <c r="VKD124" s="244"/>
      <c r="VKE124" s="244"/>
      <c r="VKF124" s="244"/>
      <c r="VKG124" s="244"/>
      <c r="VKH124" s="244"/>
      <c r="VKI124" s="244"/>
      <c r="VKJ124" s="244"/>
      <c r="VKK124" s="244"/>
      <c r="VKL124" s="244"/>
      <c r="VKM124" s="244"/>
      <c r="VKN124" s="244"/>
      <c r="VKO124" s="244"/>
      <c r="VKP124" s="244"/>
      <c r="VKQ124" s="244"/>
      <c r="VKR124" s="244"/>
      <c r="VKS124" s="244"/>
      <c r="VKT124" s="244"/>
      <c r="VKU124" s="244"/>
      <c r="VKV124" s="244"/>
      <c r="VKW124" s="244"/>
      <c r="VKX124" s="244"/>
      <c r="VKY124" s="244"/>
      <c r="VKZ124" s="244"/>
      <c r="VLA124" s="244"/>
      <c r="VLB124" s="244"/>
      <c r="VLC124" s="244"/>
      <c r="VLD124" s="244"/>
      <c r="VLE124" s="244"/>
      <c r="VLF124" s="244"/>
      <c r="VLG124" s="244"/>
      <c r="VLH124" s="244"/>
      <c r="VLI124" s="244"/>
      <c r="VLJ124" s="244"/>
      <c r="VLK124" s="244"/>
      <c r="VLL124" s="244"/>
      <c r="VLM124" s="244"/>
      <c r="VLN124" s="244"/>
      <c r="VLO124" s="244"/>
      <c r="VLP124" s="244"/>
      <c r="VLQ124" s="244"/>
      <c r="VLR124" s="244"/>
      <c r="VLS124" s="244"/>
      <c r="VLT124" s="244"/>
      <c r="VLU124" s="244"/>
      <c r="VLV124" s="244"/>
      <c r="VLW124" s="244"/>
      <c r="VLX124" s="244"/>
      <c r="VLY124" s="244"/>
      <c r="VLZ124" s="244"/>
      <c r="VMA124" s="244"/>
      <c r="VMB124" s="244"/>
      <c r="VMC124" s="244"/>
      <c r="VMD124" s="244"/>
      <c r="VME124" s="244"/>
      <c r="VMF124" s="244"/>
      <c r="VMG124" s="244"/>
      <c r="VMH124" s="244"/>
      <c r="VMI124" s="244"/>
      <c r="VMJ124" s="244"/>
      <c r="VMK124" s="244"/>
      <c r="VML124" s="244"/>
      <c r="VMM124" s="244"/>
      <c r="VMN124" s="244"/>
      <c r="VMO124" s="244"/>
      <c r="VMP124" s="244"/>
      <c r="VMQ124" s="244"/>
      <c r="VMR124" s="244"/>
      <c r="VMS124" s="244"/>
      <c r="VMT124" s="244"/>
      <c r="VMU124" s="244"/>
      <c r="VMV124" s="244"/>
      <c r="VMW124" s="244"/>
      <c r="VMX124" s="244"/>
      <c r="VMY124" s="244"/>
      <c r="VMZ124" s="244"/>
      <c r="VNA124" s="244"/>
      <c r="VNB124" s="244"/>
      <c r="VNC124" s="244"/>
      <c r="VND124" s="244"/>
      <c r="VNE124" s="244"/>
      <c r="VNF124" s="244"/>
      <c r="VNG124" s="244"/>
      <c r="VNH124" s="244"/>
      <c r="VNI124" s="244"/>
      <c r="VNJ124" s="244"/>
      <c r="VNK124" s="244"/>
      <c r="VNL124" s="244"/>
      <c r="VNM124" s="244"/>
      <c r="VNN124" s="244"/>
      <c r="VNO124" s="244"/>
      <c r="VNP124" s="244"/>
      <c r="VNQ124" s="244"/>
      <c r="VNR124" s="244"/>
      <c r="VNS124" s="244"/>
      <c r="VNT124" s="244"/>
      <c r="VNU124" s="244"/>
      <c r="VNV124" s="244"/>
      <c r="VNW124" s="244"/>
      <c r="VNX124" s="244"/>
      <c r="VNY124" s="244"/>
      <c r="VNZ124" s="244"/>
      <c r="VOA124" s="244"/>
      <c r="VOB124" s="244"/>
      <c r="VOC124" s="244"/>
      <c r="VOD124" s="244"/>
      <c r="VOE124" s="244"/>
      <c r="VOF124" s="244"/>
      <c r="VOG124" s="244"/>
      <c r="VOH124" s="244"/>
      <c r="VOI124" s="244"/>
      <c r="VOJ124" s="244"/>
      <c r="VOK124" s="244"/>
      <c r="VOL124" s="244"/>
      <c r="VOM124" s="244"/>
      <c r="VON124" s="244"/>
      <c r="VOO124" s="244"/>
      <c r="VOP124" s="244"/>
      <c r="VOQ124" s="244"/>
      <c r="VOR124" s="244"/>
      <c r="VOS124" s="244"/>
      <c r="VOT124" s="244"/>
      <c r="VOU124" s="244"/>
      <c r="VOV124" s="244"/>
      <c r="VOW124" s="244"/>
      <c r="VOX124" s="244"/>
      <c r="VOY124" s="244"/>
      <c r="VOZ124" s="244"/>
      <c r="VPA124" s="244"/>
      <c r="VPB124" s="244"/>
      <c r="VPC124" s="244"/>
      <c r="VPD124" s="244"/>
      <c r="VPE124" s="244"/>
      <c r="VPF124" s="244"/>
      <c r="VPG124" s="244"/>
      <c r="VPH124" s="244"/>
      <c r="VPI124" s="244"/>
      <c r="VPJ124" s="244"/>
      <c r="VPK124" s="244"/>
      <c r="VPL124" s="244"/>
      <c r="VPM124" s="244"/>
      <c r="VPN124" s="244"/>
      <c r="VPO124" s="244"/>
      <c r="VPP124" s="244"/>
      <c r="VPQ124" s="244"/>
      <c r="VPR124" s="244"/>
      <c r="VPS124" s="244"/>
      <c r="VPT124" s="244"/>
      <c r="VPU124" s="244"/>
      <c r="VPV124" s="244"/>
      <c r="VPW124" s="244"/>
      <c r="VPX124" s="244"/>
      <c r="VPY124" s="244"/>
      <c r="VPZ124" s="244"/>
      <c r="VQA124" s="244"/>
      <c r="VQB124" s="244"/>
      <c r="VQC124" s="244"/>
      <c r="VQD124" s="244"/>
      <c r="VQE124" s="244"/>
      <c r="VQF124" s="244"/>
      <c r="VQG124" s="244"/>
      <c r="VQH124" s="244"/>
      <c r="VQI124" s="244"/>
      <c r="VQJ124" s="244"/>
      <c r="VQK124" s="244"/>
      <c r="VQL124" s="244"/>
      <c r="VQM124" s="244"/>
      <c r="VQN124" s="244"/>
      <c r="VQO124" s="244"/>
      <c r="VQP124" s="244"/>
      <c r="VQQ124" s="244"/>
      <c r="VQR124" s="244"/>
      <c r="VQS124" s="244"/>
      <c r="VQT124" s="244"/>
      <c r="VQU124" s="244"/>
      <c r="VQV124" s="244"/>
      <c r="VQW124" s="244"/>
      <c r="VQX124" s="244"/>
      <c r="VQY124" s="244"/>
      <c r="VQZ124" s="244"/>
      <c r="VRA124" s="244"/>
      <c r="VRB124" s="244"/>
      <c r="VRC124" s="244"/>
      <c r="VRD124" s="244"/>
      <c r="VRE124" s="244"/>
      <c r="VRF124" s="244"/>
      <c r="VRG124" s="244"/>
      <c r="VRH124" s="244"/>
      <c r="VRI124" s="244"/>
      <c r="VRJ124" s="244"/>
      <c r="VRK124" s="244"/>
      <c r="VRL124" s="244"/>
      <c r="VRM124" s="244"/>
      <c r="VRN124" s="244"/>
      <c r="VRO124" s="244"/>
      <c r="VRP124" s="244"/>
      <c r="VRQ124" s="244"/>
      <c r="VRR124" s="244"/>
      <c r="VRS124" s="244"/>
      <c r="VRT124" s="244"/>
      <c r="VRU124" s="244"/>
      <c r="VRV124" s="244"/>
      <c r="VRW124" s="244"/>
      <c r="VRX124" s="244"/>
      <c r="VRY124" s="244"/>
      <c r="VRZ124" s="244"/>
      <c r="VSA124" s="244"/>
      <c r="VSB124" s="244"/>
      <c r="VSC124" s="244"/>
      <c r="VSD124" s="244"/>
      <c r="VSE124" s="244"/>
      <c r="VSF124" s="244"/>
      <c r="VSG124" s="244"/>
      <c r="VSH124" s="244"/>
      <c r="VSI124" s="244"/>
      <c r="VSJ124" s="244"/>
      <c r="VSK124" s="244"/>
      <c r="VSL124" s="244"/>
      <c r="VSM124" s="244"/>
      <c r="VSN124" s="244"/>
      <c r="VSO124" s="244"/>
      <c r="VSP124" s="244"/>
      <c r="VSQ124" s="244"/>
      <c r="VSR124" s="244"/>
      <c r="VSS124" s="244"/>
      <c r="VST124" s="244"/>
      <c r="VSU124" s="244"/>
      <c r="VSV124" s="244"/>
      <c r="VSW124" s="244"/>
      <c r="VSX124" s="244"/>
      <c r="VSY124" s="244"/>
      <c r="VSZ124" s="244"/>
      <c r="VTA124" s="244"/>
      <c r="VTB124" s="244"/>
      <c r="VTC124" s="244"/>
      <c r="VTD124" s="244"/>
      <c r="VTE124" s="244"/>
      <c r="VTF124" s="244"/>
      <c r="VTG124" s="244"/>
      <c r="VTH124" s="244"/>
      <c r="VTI124" s="244"/>
      <c r="VTJ124" s="244"/>
      <c r="VTK124" s="244"/>
      <c r="VTL124" s="244"/>
      <c r="VTM124" s="244"/>
      <c r="VTN124" s="244"/>
      <c r="VTO124" s="244"/>
      <c r="VTP124" s="244"/>
      <c r="VTQ124" s="244"/>
      <c r="VTR124" s="244"/>
      <c r="VTS124" s="244"/>
      <c r="VTT124" s="244"/>
      <c r="VTU124" s="244"/>
      <c r="VTV124" s="244"/>
      <c r="VTW124" s="244"/>
      <c r="VTX124" s="244"/>
      <c r="VTY124" s="244"/>
      <c r="VTZ124" s="244"/>
      <c r="VUA124" s="244"/>
      <c r="VUB124" s="244"/>
      <c r="VUC124" s="244"/>
      <c r="VUD124" s="244"/>
      <c r="VUE124" s="244"/>
      <c r="VUF124" s="244"/>
      <c r="VUG124" s="244"/>
      <c r="VUH124" s="244"/>
      <c r="VUI124" s="244"/>
      <c r="VUJ124" s="244"/>
      <c r="VUK124" s="244"/>
      <c r="VUL124" s="244"/>
      <c r="VUM124" s="244"/>
      <c r="VUN124" s="244"/>
      <c r="VUO124" s="244"/>
      <c r="VUP124" s="244"/>
      <c r="VUQ124" s="244"/>
      <c r="VUR124" s="244"/>
      <c r="VUS124" s="244"/>
      <c r="VUT124" s="244"/>
      <c r="VUU124" s="244"/>
      <c r="VUV124" s="244"/>
      <c r="VUW124" s="244"/>
      <c r="VUX124" s="244"/>
      <c r="VUY124" s="244"/>
      <c r="VUZ124" s="244"/>
      <c r="VVA124" s="244"/>
      <c r="VVB124" s="244"/>
      <c r="VVC124" s="244"/>
      <c r="VVD124" s="244"/>
      <c r="VVE124" s="244"/>
      <c r="VVF124" s="244"/>
      <c r="VVG124" s="244"/>
      <c r="VVH124" s="244"/>
      <c r="VVI124" s="244"/>
      <c r="VVJ124" s="244"/>
      <c r="VVK124" s="244"/>
      <c r="VVL124" s="244"/>
      <c r="VVM124" s="244"/>
      <c r="VVN124" s="244"/>
      <c r="VVO124" s="244"/>
      <c r="VVP124" s="244"/>
      <c r="VVQ124" s="244"/>
      <c r="VVR124" s="244"/>
      <c r="VVS124" s="244"/>
      <c r="VVT124" s="244"/>
      <c r="VVU124" s="244"/>
      <c r="VVV124" s="244"/>
      <c r="VVW124" s="244"/>
      <c r="VVX124" s="244"/>
      <c r="VVY124" s="244"/>
      <c r="VVZ124" s="244"/>
      <c r="VWA124" s="244"/>
      <c r="VWB124" s="244"/>
      <c r="VWC124" s="244"/>
      <c r="VWD124" s="244"/>
      <c r="VWE124" s="244"/>
      <c r="VWF124" s="244"/>
      <c r="VWG124" s="244"/>
      <c r="VWH124" s="244"/>
      <c r="VWI124" s="244"/>
      <c r="VWJ124" s="244"/>
      <c r="VWK124" s="244"/>
      <c r="VWL124" s="244"/>
      <c r="VWM124" s="244"/>
      <c r="VWN124" s="244"/>
      <c r="VWO124" s="244"/>
      <c r="VWP124" s="244"/>
      <c r="VWQ124" s="244"/>
      <c r="VWR124" s="244"/>
      <c r="VWS124" s="244"/>
      <c r="VWT124" s="244"/>
      <c r="VWU124" s="244"/>
      <c r="VWV124" s="244"/>
      <c r="VWW124" s="244"/>
      <c r="VWX124" s="244"/>
      <c r="VWY124" s="244"/>
      <c r="VWZ124" s="244"/>
      <c r="VXA124" s="244"/>
      <c r="VXB124" s="244"/>
      <c r="VXC124" s="244"/>
      <c r="VXD124" s="244"/>
      <c r="VXE124" s="244"/>
      <c r="VXF124" s="244"/>
      <c r="VXG124" s="244"/>
      <c r="VXH124" s="244"/>
      <c r="VXI124" s="244"/>
      <c r="VXJ124" s="244"/>
      <c r="VXK124" s="244"/>
      <c r="VXL124" s="244"/>
      <c r="VXM124" s="244"/>
      <c r="VXN124" s="244"/>
      <c r="VXO124" s="244"/>
      <c r="VXP124" s="244"/>
      <c r="VXQ124" s="244"/>
      <c r="VXR124" s="244"/>
      <c r="VXS124" s="244"/>
      <c r="VXT124" s="244"/>
      <c r="VXU124" s="244"/>
      <c r="VXV124" s="244"/>
      <c r="VXW124" s="244"/>
      <c r="VXX124" s="244"/>
      <c r="VXY124" s="244"/>
      <c r="VXZ124" s="244"/>
      <c r="VYA124" s="244"/>
      <c r="VYB124" s="244"/>
      <c r="VYC124" s="244"/>
      <c r="VYD124" s="244"/>
      <c r="VYE124" s="244"/>
      <c r="VYF124" s="244"/>
      <c r="VYG124" s="244"/>
      <c r="VYH124" s="244"/>
      <c r="VYI124" s="244"/>
      <c r="VYJ124" s="244"/>
      <c r="VYK124" s="244"/>
      <c r="VYL124" s="244"/>
      <c r="VYM124" s="244"/>
      <c r="VYN124" s="244"/>
      <c r="VYO124" s="244"/>
      <c r="VYP124" s="244"/>
      <c r="VYQ124" s="244"/>
      <c r="VYR124" s="244"/>
      <c r="VYS124" s="244"/>
      <c r="VYT124" s="244"/>
      <c r="VYU124" s="244"/>
      <c r="VYV124" s="244"/>
      <c r="VYW124" s="244"/>
      <c r="VYX124" s="244"/>
      <c r="VYY124" s="244"/>
      <c r="VYZ124" s="244"/>
      <c r="VZA124" s="244"/>
      <c r="VZB124" s="244"/>
      <c r="VZC124" s="244"/>
      <c r="VZD124" s="244"/>
      <c r="VZE124" s="244"/>
      <c r="VZF124" s="244"/>
      <c r="VZG124" s="244"/>
      <c r="VZH124" s="244"/>
      <c r="VZI124" s="244"/>
      <c r="VZJ124" s="244"/>
      <c r="VZK124" s="244"/>
      <c r="VZL124" s="244"/>
      <c r="VZM124" s="244"/>
      <c r="VZN124" s="244"/>
      <c r="VZO124" s="244"/>
      <c r="VZP124" s="244"/>
      <c r="VZQ124" s="244"/>
      <c r="VZR124" s="244"/>
      <c r="VZS124" s="244"/>
      <c r="VZT124" s="244"/>
      <c r="VZU124" s="244"/>
      <c r="VZV124" s="244"/>
      <c r="VZW124" s="244"/>
      <c r="VZX124" s="244"/>
      <c r="VZY124" s="244"/>
      <c r="VZZ124" s="244"/>
      <c r="WAA124" s="244"/>
      <c r="WAB124" s="244"/>
      <c r="WAC124" s="244"/>
      <c r="WAD124" s="244"/>
      <c r="WAE124" s="244"/>
      <c r="WAF124" s="244"/>
      <c r="WAG124" s="244"/>
      <c r="WAH124" s="244"/>
      <c r="WAI124" s="244"/>
      <c r="WAJ124" s="244"/>
      <c r="WAK124" s="244"/>
      <c r="WAL124" s="244"/>
      <c r="WAM124" s="244"/>
      <c r="WAN124" s="244"/>
      <c r="WAO124" s="244"/>
      <c r="WAP124" s="244"/>
      <c r="WAQ124" s="244"/>
      <c r="WAR124" s="244"/>
      <c r="WAS124" s="244"/>
      <c r="WAT124" s="244"/>
      <c r="WAU124" s="244"/>
      <c r="WAV124" s="244"/>
      <c r="WAW124" s="244"/>
      <c r="WAX124" s="244"/>
      <c r="WAY124" s="244"/>
      <c r="WAZ124" s="244"/>
      <c r="WBA124" s="244"/>
      <c r="WBB124" s="244"/>
      <c r="WBC124" s="244"/>
      <c r="WBD124" s="244"/>
      <c r="WBE124" s="244"/>
      <c r="WBF124" s="244"/>
      <c r="WBG124" s="244"/>
      <c r="WBH124" s="244"/>
      <c r="WBI124" s="244"/>
      <c r="WBJ124" s="244"/>
      <c r="WBK124" s="244"/>
      <c r="WBL124" s="244"/>
      <c r="WBM124" s="244"/>
      <c r="WBN124" s="244"/>
      <c r="WBO124" s="244"/>
      <c r="WBP124" s="244"/>
      <c r="WBQ124" s="244"/>
      <c r="WBR124" s="244"/>
      <c r="WBS124" s="244"/>
      <c r="WBT124" s="244"/>
      <c r="WBU124" s="244"/>
      <c r="WBV124" s="244"/>
      <c r="WBW124" s="244"/>
      <c r="WBX124" s="244"/>
      <c r="WBY124" s="244"/>
      <c r="WBZ124" s="244"/>
      <c r="WCA124" s="244"/>
      <c r="WCB124" s="244"/>
      <c r="WCC124" s="244"/>
      <c r="WCD124" s="244"/>
      <c r="WCE124" s="244"/>
      <c r="WCF124" s="244"/>
      <c r="WCG124" s="244"/>
      <c r="WCH124" s="244"/>
      <c r="WCI124" s="244"/>
      <c r="WCJ124" s="244"/>
      <c r="WCK124" s="244"/>
      <c r="WCL124" s="244"/>
      <c r="WCM124" s="244"/>
      <c r="WCN124" s="244"/>
      <c r="WCO124" s="244"/>
      <c r="WCP124" s="244"/>
      <c r="WCQ124" s="244"/>
      <c r="WCR124" s="244"/>
      <c r="WCS124" s="244"/>
      <c r="WCT124" s="244"/>
      <c r="WCU124" s="244"/>
      <c r="WCV124" s="244"/>
      <c r="WCW124" s="244"/>
      <c r="WCX124" s="244"/>
      <c r="WCY124" s="244"/>
      <c r="WCZ124" s="244"/>
      <c r="WDA124" s="244"/>
      <c r="WDB124" s="244"/>
      <c r="WDC124" s="244"/>
      <c r="WDD124" s="244"/>
      <c r="WDE124" s="244"/>
      <c r="WDF124" s="244"/>
      <c r="WDG124" s="244"/>
      <c r="WDH124" s="244"/>
      <c r="WDI124" s="244"/>
      <c r="WDJ124" s="244"/>
      <c r="WDK124" s="244"/>
      <c r="WDL124" s="244"/>
      <c r="WDM124" s="244"/>
      <c r="WDN124" s="244"/>
      <c r="WDO124" s="244"/>
      <c r="WDP124" s="244"/>
      <c r="WDQ124" s="244"/>
      <c r="WDR124" s="244"/>
      <c r="WDS124" s="244"/>
      <c r="WDT124" s="244"/>
      <c r="WDU124" s="244"/>
      <c r="WDV124" s="244"/>
      <c r="WDW124" s="244"/>
      <c r="WDX124" s="244"/>
      <c r="WDY124" s="244"/>
      <c r="WDZ124" s="244"/>
      <c r="WEA124" s="244"/>
      <c r="WEB124" s="244"/>
      <c r="WEC124" s="244"/>
      <c r="WED124" s="244"/>
      <c r="WEE124" s="244"/>
      <c r="WEF124" s="244"/>
      <c r="WEG124" s="244"/>
      <c r="WEH124" s="244"/>
      <c r="WEI124" s="244"/>
      <c r="WEJ124" s="244"/>
      <c r="WEK124" s="244"/>
      <c r="WEL124" s="244"/>
      <c r="WEM124" s="244"/>
      <c r="WEN124" s="244"/>
      <c r="WEO124" s="244"/>
      <c r="WEP124" s="244"/>
      <c r="WEQ124" s="244"/>
      <c r="WER124" s="244"/>
      <c r="WES124" s="244"/>
      <c r="WET124" s="244"/>
      <c r="WEU124" s="244"/>
      <c r="WEV124" s="244"/>
      <c r="WEW124" s="244"/>
      <c r="WEX124" s="244"/>
      <c r="WEY124" s="244"/>
      <c r="WEZ124" s="244"/>
      <c r="WFA124" s="244"/>
      <c r="WFB124" s="244"/>
      <c r="WFC124" s="244"/>
      <c r="WFD124" s="244"/>
      <c r="WFE124" s="244"/>
      <c r="WFF124" s="244"/>
      <c r="WFG124" s="244"/>
      <c r="WFH124" s="244"/>
      <c r="WFI124" s="244"/>
      <c r="WFJ124" s="244"/>
      <c r="WFK124" s="244"/>
      <c r="WFL124" s="244"/>
      <c r="WFM124" s="244"/>
      <c r="WFN124" s="244"/>
      <c r="WFO124" s="244"/>
      <c r="WFP124" s="244"/>
      <c r="WFQ124" s="244"/>
      <c r="WFR124" s="244"/>
      <c r="WFS124" s="244"/>
      <c r="WFT124" s="244"/>
      <c r="WFU124" s="244"/>
      <c r="WFV124" s="244"/>
      <c r="WFW124" s="244"/>
      <c r="WFX124" s="244"/>
      <c r="WFY124" s="244"/>
      <c r="WFZ124" s="244"/>
      <c r="WGA124" s="244"/>
      <c r="WGB124" s="244"/>
      <c r="WGC124" s="244"/>
      <c r="WGD124" s="244"/>
      <c r="WGE124" s="244"/>
      <c r="WGF124" s="244"/>
      <c r="WGG124" s="244"/>
      <c r="WGH124" s="244"/>
      <c r="WGI124" s="244"/>
      <c r="WGJ124" s="244"/>
      <c r="WGK124" s="244"/>
      <c r="WGL124" s="244"/>
      <c r="WGM124" s="244"/>
      <c r="WGN124" s="244"/>
      <c r="WGO124" s="244"/>
      <c r="WGP124" s="244"/>
      <c r="WGQ124" s="244"/>
      <c r="WGR124" s="244"/>
      <c r="WGS124" s="244"/>
      <c r="WGT124" s="244"/>
      <c r="WGU124" s="244"/>
      <c r="WGV124" s="244"/>
      <c r="WGW124" s="244"/>
      <c r="WGX124" s="244"/>
      <c r="WGY124" s="244"/>
      <c r="WGZ124" s="244"/>
      <c r="WHA124" s="244"/>
      <c r="WHB124" s="244"/>
      <c r="WHC124" s="244"/>
      <c r="WHD124" s="244"/>
      <c r="WHE124" s="244"/>
      <c r="WHF124" s="244"/>
      <c r="WHG124" s="244"/>
      <c r="WHH124" s="244"/>
      <c r="WHI124" s="244"/>
      <c r="WHJ124" s="244"/>
      <c r="WHK124" s="244"/>
      <c r="WHL124" s="244"/>
      <c r="WHM124" s="244"/>
      <c r="WHN124" s="244"/>
      <c r="WHO124" s="244"/>
      <c r="WHP124" s="244"/>
      <c r="WHQ124" s="244"/>
      <c r="WHR124" s="244"/>
      <c r="WHS124" s="244"/>
      <c r="WHT124" s="244"/>
      <c r="WHU124" s="244"/>
      <c r="WHV124" s="244"/>
      <c r="WHW124" s="244"/>
      <c r="WHX124" s="244"/>
      <c r="WHY124" s="244"/>
      <c r="WHZ124" s="244"/>
      <c r="WIA124" s="244"/>
      <c r="WIB124" s="244"/>
      <c r="WIC124" s="244"/>
      <c r="WID124" s="244"/>
      <c r="WIE124" s="244"/>
      <c r="WIF124" s="244"/>
      <c r="WIG124" s="244"/>
      <c r="WIH124" s="244"/>
      <c r="WII124" s="244"/>
      <c r="WIJ124" s="244"/>
      <c r="WIK124" s="244"/>
      <c r="WIL124" s="244"/>
      <c r="WIM124" s="244"/>
      <c r="WIN124" s="244"/>
      <c r="WIO124" s="244"/>
      <c r="WIP124" s="244"/>
      <c r="WIQ124" s="244"/>
      <c r="WIR124" s="244"/>
      <c r="WIS124" s="244"/>
      <c r="WIT124" s="244"/>
      <c r="WIU124" s="244"/>
      <c r="WIV124" s="244"/>
      <c r="WIW124" s="244"/>
      <c r="WIX124" s="244"/>
      <c r="WIY124" s="244"/>
      <c r="WIZ124" s="244"/>
      <c r="WJA124" s="244"/>
      <c r="WJB124" s="244"/>
      <c r="WJC124" s="244"/>
      <c r="WJD124" s="244"/>
      <c r="WJE124" s="244"/>
      <c r="WJF124" s="244"/>
      <c r="WJG124" s="244"/>
      <c r="WJH124" s="244"/>
      <c r="WJI124" s="244"/>
      <c r="WJJ124" s="244"/>
      <c r="WJK124" s="244"/>
      <c r="WJL124" s="244"/>
      <c r="WJM124" s="244"/>
      <c r="WJN124" s="244"/>
      <c r="WJO124" s="244"/>
      <c r="WJP124" s="244"/>
      <c r="WJQ124" s="244"/>
      <c r="WJR124" s="244"/>
      <c r="WJS124" s="244"/>
      <c r="WJT124" s="244"/>
      <c r="WJU124" s="244"/>
      <c r="WJV124" s="244"/>
      <c r="WJW124" s="244"/>
      <c r="WJX124" s="244"/>
      <c r="WJY124" s="244"/>
      <c r="WJZ124" s="244"/>
      <c r="WKA124" s="244"/>
      <c r="WKB124" s="244"/>
      <c r="WKC124" s="244"/>
      <c r="WKD124" s="244"/>
      <c r="WKE124" s="244"/>
      <c r="WKF124" s="244"/>
      <c r="WKG124" s="244"/>
      <c r="WKH124" s="244"/>
      <c r="WKI124" s="244"/>
      <c r="WKJ124" s="244"/>
      <c r="WKK124" s="244"/>
      <c r="WKL124" s="244"/>
      <c r="WKM124" s="244"/>
      <c r="WKN124" s="244"/>
      <c r="WKO124" s="244"/>
      <c r="WKP124" s="244"/>
      <c r="WKQ124" s="244"/>
      <c r="WKR124" s="244"/>
      <c r="WKS124" s="244"/>
      <c r="WKT124" s="244"/>
      <c r="WKU124" s="244"/>
      <c r="WKV124" s="244"/>
      <c r="WKW124" s="244"/>
      <c r="WKX124" s="244"/>
      <c r="WKY124" s="244"/>
      <c r="WKZ124" s="244"/>
      <c r="WLA124" s="244"/>
      <c r="WLB124" s="244"/>
      <c r="WLC124" s="244"/>
      <c r="WLD124" s="244"/>
      <c r="WLE124" s="244"/>
      <c r="WLF124" s="244"/>
      <c r="WLG124" s="244"/>
      <c r="WLH124" s="244"/>
      <c r="WLI124" s="244"/>
      <c r="WLJ124" s="244"/>
      <c r="WLK124" s="244"/>
      <c r="WLL124" s="244"/>
      <c r="WLM124" s="244"/>
      <c r="WLN124" s="244"/>
      <c r="WLO124" s="244"/>
      <c r="WLP124" s="244"/>
      <c r="WLQ124" s="244"/>
      <c r="WLR124" s="244"/>
      <c r="WLS124" s="244"/>
      <c r="WLT124" s="244"/>
      <c r="WLU124" s="244"/>
      <c r="WLV124" s="244"/>
      <c r="WLW124" s="244"/>
      <c r="WLX124" s="244"/>
      <c r="WLY124" s="244"/>
      <c r="WLZ124" s="244"/>
      <c r="WMA124" s="244"/>
      <c r="WMB124" s="244"/>
      <c r="WMC124" s="244"/>
      <c r="WMD124" s="244"/>
      <c r="WME124" s="244"/>
      <c r="WMF124" s="244"/>
      <c r="WMG124" s="244"/>
      <c r="WMH124" s="244"/>
      <c r="WMI124" s="244"/>
      <c r="WMJ124" s="244"/>
      <c r="WMK124" s="244"/>
      <c r="WML124" s="244"/>
      <c r="WMM124" s="244"/>
      <c r="WMN124" s="244"/>
      <c r="WMO124" s="244"/>
      <c r="WMP124" s="244"/>
      <c r="WMQ124" s="244"/>
      <c r="WMR124" s="244"/>
      <c r="WMS124" s="244"/>
      <c r="WMT124" s="244"/>
      <c r="WMU124" s="244"/>
      <c r="WMV124" s="244"/>
      <c r="WMW124" s="244"/>
      <c r="WMX124" s="244"/>
      <c r="WMY124" s="244"/>
      <c r="WMZ124" s="244"/>
      <c r="WNA124" s="244"/>
      <c r="WNB124" s="244"/>
      <c r="WNC124" s="244"/>
      <c r="WND124" s="244"/>
      <c r="WNE124" s="244"/>
      <c r="WNF124" s="244"/>
      <c r="WNG124" s="244"/>
      <c r="WNH124" s="244"/>
      <c r="WNI124" s="244"/>
      <c r="WNJ124" s="244"/>
      <c r="WNK124" s="244"/>
      <c r="WNL124" s="244"/>
      <c r="WNM124" s="244"/>
      <c r="WNN124" s="244"/>
      <c r="WNO124" s="244"/>
      <c r="WNP124" s="244"/>
      <c r="WNQ124" s="244"/>
      <c r="WNR124" s="244"/>
      <c r="WNS124" s="244"/>
      <c r="WNT124" s="244"/>
      <c r="WNU124" s="244"/>
      <c r="WNV124" s="244"/>
      <c r="WNW124" s="244"/>
      <c r="WNX124" s="244"/>
      <c r="WNY124" s="244"/>
      <c r="WNZ124" s="244"/>
      <c r="WOA124" s="244"/>
      <c r="WOB124" s="244"/>
      <c r="WOC124" s="244"/>
      <c r="WOD124" s="244"/>
      <c r="WOE124" s="244"/>
      <c r="WOF124" s="244"/>
      <c r="WOG124" s="244"/>
      <c r="WOH124" s="244"/>
      <c r="WOI124" s="244"/>
      <c r="WOJ124" s="244"/>
      <c r="WOK124" s="244"/>
      <c r="WOL124" s="244"/>
      <c r="WOM124" s="244"/>
      <c r="WON124" s="244"/>
      <c r="WOO124" s="244"/>
      <c r="WOP124" s="244"/>
      <c r="WOQ124" s="244"/>
      <c r="WOR124" s="244"/>
      <c r="WOS124" s="244"/>
      <c r="WOT124" s="244"/>
      <c r="WOU124" s="244"/>
      <c r="WOV124" s="244"/>
      <c r="WOW124" s="244"/>
      <c r="WOX124" s="244"/>
      <c r="WOY124" s="244"/>
      <c r="WOZ124" s="244"/>
      <c r="WPA124" s="244"/>
      <c r="WPB124" s="244"/>
      <c r="WPC124" s="244"/>
      <c r="WPD124" s="244"/>
      <c r="WPE124" s="244"/>
      <c r="WPF124" s="244"/>
      <c r="WPG124" s="244"/>
      <c r="WPH124" s="244"/>
      <c r="WPI124" s="244"/>
      <c r="WPJ124" s="244"/>
      <c r="WPK124" s="244"/>
      <c r="WPL124" s="244"/>
      <c r="WPM124" s="244"/>
      <c r="WPN124" s="244"/>
      <c r="WPO124" s="244"/>
      <c r="WPP124" s="244"/>
      <c r="WPQ124" s="244"/>
      <c r="WPR124" s="244"/>
      <c r="WPS124" s="244"/>
      <c r="WPT124" s="244"/>
      <c r="WPU124" s="244"/>
      <c r="WPV124" s="244"/>
      <c r="WPW124" s="244"/>
      <c r="WPX124" s="244"/>
      <c r="WPY124" s="244"/>
      <c r="WPZ124" s="244"/>
      <c r="WQA124" s="244"/>
      <c r="WQB124" s="244"/>
      <c r="WQC124" s="244"/>
      <c r="WQD124" s="244"/>
      <c r="WQE124" s="244"/>
      <c r="WQF124" s="244"/>
      <c r="WQG124" s="244"/>
      <c r="WQH124" s="244"/>
      <c r="WQI124" s="244"/>
      <c r="WQJ124" s="244"/>
      <c r="WQK124" s="244"/>
      <c r="WQL124" s="244"/>
      <c r="WQM124" s="244"/>
      <c r="WQN124" s="244"/>
      <c r="WQO124" s="244"/>
      <c r="WQP124" s="244"/>
      <c r="WQQ124" s="244"/>
      <c r="WQR124" s="244"/>
      <c r="WQS124" s="244"/>
      <c r="WQT124" s="244"/>
      <c r="WQU124" s="244"/>
      <c r="WQV124" s="244"/>
      <c r="WQW124" s="244"/>
      <c r="WQX124" s="244"/>
      <c r="WQY124" s="244"/>
      <c r="WQZ124" s="244"/>
      <c r="WRA124" s="244"/>
      <c r="WRB124" s="244"/>
      <c r="WRC124" s="244"/>
      <c r="WRD124" s="244"/>
      <c r="WRE124" s="244"/>
      <c r="WRF124" s="244"/>
      <c r="WRG124" s="244"/>
      <c r="WRH124" s="244"/>
      <c r="WRI124" s="244"/>
      <c r="WRJ124" s="244"/>
      <c r="WRK124" s="244"/>
      <c r="WRL124" s="244"/>
      <c r="WRM124" s="244"/>
      <c r="WRN124" s="244"/>
      <c r="WRO124" s="244"/>
      <c r="WRP124" s="244"/>
      <c r="WRQ124" s="244"/>
      <c r="WRR124" s="244"/>
      <c r="WRS124" s="244"/>
      <c r="WRT124" s="244"/>
      <c r="WRU124" s="244"/>
      <c r="WRV124" s="244"/>
      <c r="WRW124" s="244"/>
      <c r="WRX124" s="244"/>
      <c r="WRY124" s="244"/>
      <c r="WRZ124" s="244"/>
      <c r="WSA124" s="244"/>
      <c r="WSB124" s="244"/>
      <c r="WSC124" s="244"/>
      <c r="WSD124" s="244"/>
      <c r="WSE124" s="244"/>
      <c r="WSF124" s="244"/>
      <c r="WSG124" s="244"/>
      <c r="WSH124" s="244"/>
      <c r="WSI124" s="244"/>
      <c r="WSJ124" s="244"/>
      <c r="WSK124" s="244"/>
      <c r="WSL124" s="244"/>
      <c r="WSM124" s="244"/>
      <c r="WSN124" s="244"/>
      <c r="WSO124" s="244"/>
      <c r="WSP124" s="244"/>
      <c r="WSQ124" s="244"/>
      <c r="WSR124" s="244"/>
      <c r="WSS124" s="244"/>
      <c r="WST124" s="244"/>
      <c r="WSU124" s="244"/>
      <c r="WSV124" s="244"/>
      <c r="WSW124" s="244"/>
      <c r="WSX124" s="244"/>
      <c r="WSY124" s="244"/>
      <c r="WSZ124" s="244"/>
      <c r="WTA124" s="244"/>
      <c r="WTB124" s="244"/>
      <c r="WTC124" s="244"/>
      <c r="WTD124" s="244"/>
      <c r="WTE124" s="244"/>
      <c r="WTF124" s="244"/>
      <c r="WTG124" s="244"/>
      <c r="WTH124" s="244"/>
      <c r="WTI124" s="244"/>
      <c r="WTJ124" s="244"/>
      <c r="WTK124" s="244"/>
      <c r="WTL124" s="244"/>
      <c r="WTM124" s="244"/>
      <c r="WTN124" s="244"/>
      <c r="WTO124" s="244"/>
      <c r="WTP124" s="244"/>
      <c r="WTQ124" s="244"/>
      <c r="WTR124" s="244"/>
      <c r="WTS124" s="244"/>
      <c r="WTT124" s="244"/>
      <c r="WTU124" s="244"/>
      <c r="WTV124" s="244"/>
      <c r="WTW124" s="244"/>
      <c r="WTX124" s="244"/>
      <c r="WTY124" s="244"/>
      <c r="WTZ124" s="244"/>
      <c r="WUA124" s="244"/>
      <c r="WUB124" s="244"/>
      <c r="WUC124" s="244"/>
      <c r="WUD124" s="244"/>
      <c r="WUE124" s="244"/>
      <c r="WUF124" s="244"/>
      <c r="WUG124" s="244"/>
      <c r="WUH124" s="244"/>
      <c r="WUI124" s="244"/>
      <c r="WUJ124" s="244"/>
      <c r="WUK124" s="244"/>
      <c r="WUL124" s="244"/>
      <c r="WUM124" s="244"/>
      <c r="WUN124" s="244"/>
      <c r="WUO124" s="244"/>
      <c r="WUP124" s="244"/>
      <c r="WUQ124" s="244"/>
      <c r="WUR124" s="244"/>
      <c r="WUS124" s="244"/>
      <c r="WUT124" s="244"/>
      <c r="WUU124" s="244"/>
      <c r="WUV124" s="244"/>
      <c r="WUW124" s="244"/>
      <c r="WUX124" s="244"/>
      <c r="WUY124" s="244"/>
      <c r="WUZ124" s="244"/>
      <c r="WVA124" s="244"/>
      <c r="WVB124" s="244"/>
      <c r="WVC124" s="244"/>
      <c r="WVD124" s="244"/>
      <c r="WVE124" s="244"/>
      <c r="WVF124" s="244"/>
      <c r="WVG124" s="244"/>
      <c r="WVH124" s="244"/>
      <c r="WVI124" s="244"/>
      <c r="WVJ124" s="244"/>
      <c r="WVK124" s="244"/>
      <c r="WVL124" s="244"/>
      <c r="WVM124" s="244"/>
      <c r="WVN124" s="244"/>
      <c r="WVO124" s="244"/>
      <c r="WVP124" s="244"/>
      <c r="WVQ124" s="244"/>
      <c r="WVR124" s="244"/>
      <c r="WVS124" s="244"/>
      <c r="WVT124" s="244"/>
      <c r="WVU124" s="244"/>
      <c r="WVV124" s="244"/>
      <c r="WVW124" s="244"/>
      <c r="WVX124" s="244"/>
      <c r="WVY124" s="244"/>
      <c r="WVZ124" s="244"/>
      <c r="WWA124" s="244"/>
      <c r="WWB124" s="244"/>
      <c r="WWC124" s="244"/>
      <c r="WWD124" s="244"/>
      <c r="WWE124" s="244"/>
      <c r="WWF124" s="244"/>
      <c r="WWG124" s="244"/>
      <c r="WWH124" s="244"/>
      <c r="WWI124" s="244"/>
      <c r="WWJ124" s="244"/>
      <c r="WWK124" s="244"/>
      <c r="WWL124" s="244"/>
      <c r="WWM124" s="244"/>
      <c r="WWN124" s="244"/>
      <c r="WWO124" s="244"/>
      <c r="WWP124" s="244"/>
      <c r="WWQ124" s="244"/>
      <c r="WWR124" s="244"/>
      <c r="WWS124" s="244"/>
      <c r="WWT124" s="244"/>
      <c r="WWU124" s="244"/>
      <c r="WWV124" s="244"/>
      <c r="WWW124" s="244"/>
      <c r="WWX124" s="244"/>
      <c r="WWY124" s="244"/>
      <c r="WWZ124" s="244"/>
      <c r="WXA124" s="244"/>
      <c r="WXB124" s="244"/>
      <c r="WXC124" s="244"/>
      <c r="WXD124" s="244"/>
      <c r="WXE124" s="244"/>
      <c r="WXF124" s="244"/>
      <c r="WXG124" s="244"/>
      <c r="WXH124" s="244"/>
      <c r="WXI124" s="244"/>
      <c r="WXJ124" s="244"/>
      <c r="WXK124" s="244"/>
      <c r="WXL124" s="244"/>
      <c r="WXM124" s="244"/>
      <c r="WXN124" s="244"/>
      <c r="WXO124" s="244"/>
      <c r="WXP124" s="244"/>
      <c r="WXQ124" s="244"/>
      <c r="WXR124" s="244"/>
      <c r="WXS124" s="244"/>
      <c r="WXT124" s="244"/>
      <c r="WXU124" s="244"/>
      <c r="WXV124" s="244"/>
      <c r="WXW124" s="244"/>
      <c r="WXX124" s="244"/>
      <c r="WXY124" s="244"/>
      <c r="WXZ124" s="244"/>
      <c r="WYA124" s="244"/>
      <c r="WYB124" s="244"/>
      <c r="WYC124" s="244"/>
      <c r="WYD124" s="244"/>
      <c r="WYE124" s="244"/>
      <c r="WYF124" s="244"/>
      <c r="WYG124" s="244"/>
      <c r="WYH124" s="244"/>
      <c r="WYI124" s="244"/>
      <c r="WYJ124" s="244"/>
      <c r="WYK124" s="244"/>
      <c r="WYL124" s="244"/>
      <c r="WYM124" s="244"/>
      <c r="WYN124" s="244"/>
      <c r="WYO124" s="244"/>
      <c r="WYP124" s="244"/>
      <c r="WYQ124" s="244"/>
      <c r="WYR124" s="244"/>
      <c r="WYS124" s="244"/>
      <c r="WYT124" s="244"/>
      <c r="WYU124" s="244"/>
      <c r="WYV124" s="244"/>
      <c r="WYW124" s="244"/>
      <c r="WYX124" s="244"/>
      <c r="WYY124" s="244"/>
      <c r="WYZ124" s="244"/>
      <c r="WZA124" s="244"/>
      <c r="WZB124" s="244"/>
      <c r="WZC124" s="244"/>
      <c r="WZD124" s="244"/>
      <c r="WZE124" s="244"/>
      <c r="WZF124" s="244"/>
      <c r="WZG124" s="244"/>
      <c r="WZH124" s="244"/>
      <c r="WZI124" s="244"/>
      <c r="WZJ124" s="244"/>
      <c r="WZK124" s="244"/>
      <c r="WZL124" s="244"/>
      <c r="WZM124" s="244"/>
      <c r="WZN124" s="244"/>
      <c r="WZO124" s="244"/>
      <c r="WZP124" s="244"/>
      <c r="WZQ124" s="244"/>
      <c r="WZR124" s="244"/>
      <c r="WZS124" s="244"/>
      <c r="WZT124" s="244"/>
      <c r="WZU124" s="244"/>
      <c r="WZV124" s="244"/>
      <c r="WZW124" s="244"/>
      <c r="WZX124" s="244"/>
      <c r="WZY124" s="244"/>
      <c r="WZZ124" s="244"/>
      <c r="XAA124" s="244"/>
      <c r="XAB124" s="244"/>
      <c r="XAC124" s="244"/>
      <c r="XAD124" s="244"/>
      <c r="XAE124" s="244"/>
      <c r="XAF124" s="244"/>
      <c r="XAG124" s="244"/>
      <c r="XAH124" s="244"/>
      <c r="XAI124" s="244"/>
      <c r="XAJ124" s="244"/>
      <c r="XAK124" s="244"/>
      <c r="XAL124" s="244"/>
      <c r="XAM124" s="244"/>
      <c r="XAN124" s="244"/>
      <c r="XAO124" s="244"/>
      <c r="XAP124" s="244"/>
      <c r="XAQ124" s="244"/>
      <c r="XAR124" s="244"/>
      <c r="XAS124" s="244"/>
      <c r="XAT124" s="244"/>
      <c r="XAU124" s="244"/>
      <c r="XAV124" s="244"/>
      <c r="XAW124" s="244"/>
      <c r="XAX124" s="244"/>
      <c r="XAY124" s="244"/>
      <c r="XAZ124" s="244"/>
      <c r="XBA124" s="244"/>
      <c r="XBB124" s="244"/>
      <c r="XBC124" s="244"/>
      <c r="XBD124" s="244"/>
      <c r="XBE124" s="244"/>
      <c r="XBF124" s="244"/>
      <c r="XBG124" s="244"/>
      <c r="XBH124" s="244"/>
      <c r="XBI124" s="244"/>
      <c r="XBJ124" s="244"/>
      <c r="XBK124" s="244"/>
      <c r="XBL124" s="244"/>
      <c r="XBM124" s="244"/>
      <c r="XBN124" s="244"/>
      <c r="XBO124" s="244"/>
      <c r="XBP124" s="244"/>
      <c r="XBQ124" s="244"/>
      <c r="XBR124" s="244"/>
      <c r="XBS124" s="244"/>
      <c r="XBT124" s="244"/>
      <c r="XBU124" s="244"/>
      <c r="XBV124" s="244"/>
      <c r="XBW124" s="244"/>
      <c r="XBX124" s="244"/>
      <c r="XBY124" s="244"/>
      <c r="XBZ124" s="244"/>
      <c r="XCA124" s="244"/>
      <c r="XCB124" s="244"/>
      <c r="XCC124" s="244"/>
      <c r="XCD124" s="244"/>
      <c r="XCE124" s="244"/>
      <c r="XCF124" s="244"/>
      <c r="XCG124" s="244"/>
      <c r="XCH124" s="244"/>
      <c r="XCI124" s="244"/>
      <c r="XCJ124" s="244"/>
      <c r="XCK124" s="244"/>
      <c r="XCL124" s="244"/>
      <c r="XCM124" s="244"/>
      <c r="XCN124" s="244"/>
      <c r="XCO124" s="244"/>
      <c r="XCP124" s="244"/>
      <c r="XCQ124" s="244"/>
      <c r="XCR124" s="244"/>
      <c r="XCS124" s="244"/>
      <c r="XCT124" s="244"/>
      <c r="XCU124" s="244"/>
      <c r="XCV124" s="244"/>
      <c r="XCW124" s="244"/>
      <c r="XCX124" s="244"/>
      <c r="XCY124" s="244"/>
      <c r="XCZ124" s="244"/>
      <c r="XDA124" s="244"/>
      <c r="XDB124" s="244"/>
      <c r="XDC124" s="244"/>
      <c r="XDD124" s="244"/>
      <c r="XDE124" s="244"/>
      <c r="XDF124" s="244"/>
      <c r="XDG124" s="244"/>
      <c r="XDH124" s="244"/>
      <c r="XDI124" s="244"/>
      <c r="XDJ124" s="244"/>
      <c r="XDK124" s="244"/>
      <c r="XDL124" s="244"/>
      <c r="XDM124" s="244"/>
      <c r="XDN124" s="244"/>
      <c r="XDO124" s="244"/>
      <c r="XDP124" s="244"/>
      <c r="XDQ124" s="244"/>
      <c r="XDR124" s="244"/>
      <c r="XDS124" s="244"/>
      <c r="XDT124" s="244"/>
      <c r="XDU124" s="244"/>
      <c r="XDV124" s="244"/>
      <c r="XDW124" s="244"/>
      <c r="XDX124" s="244"/>
      <c r="XDY124" s="244"/>
      <c r="XDZ124" s="244"/>
      <c r="XEA124" s="244"/>
      <c r="XEB124" s="244"/>
      <c r="XEC124" s="244"/>
      <c r="XED124" s="244"/>
      <c r="XEE124" s="244"/>
      <c r="XEF124" s="244"/>
      <c r="XEG124" s="244"/>
      <c r="XEH124" s="244"/>
      <c r="XEI124" s="244"/>
      <c r="XEJ124" s="244"/>
      <c r="XEK124" s="244"/>
      <c r="XEL124" s="244"/>
      <c r="XEM124" s="244"/>
      <c r="XEN124" s="244"/>
      <c r="XEO124" s="244"/>
      <c r="XEP124" s="244"/>
      <c r="XEQ124" s="244"/>
      <c r="XER124" s="244"/>
      <c r="XES124" s="244"/>
      <c r="XET124" s="244"/>
      <c r="XEU124" s="244"/>
      <c r="XEV124" s="244"/>
      <c r="XEW124" s="244"/>
      <c r="XEX124" s="244"/>
      <c r="XEY124" s="244"/>
      <c r="XEZ124" s="244"/>
      <c r="XFA124" s="244"/>
      <c r="XFB124" s="244"/>
      <c r="XFC124" s="244"/>
      <c r="XFD124" s="244"/>
    </row>
    <row r="125" spans="1:16384" ht="32.25" customHeight="1" x14ac:dyDescent="0.2">
      <c r="Q125" s="244"/>
      <c r="R125" s="137"/>
      <c r="S125" s="138"/>
    </row>
    <row r="126" spans="1:16384" ht="32.25" customHeight="1" x14ac:dyDescent="0.2">
      <c r="A126" s="272" t="s">
        <v>4137</v>
      </c>
      <c r="B126" s="272" t="s">
        <v>4184</v>
      </c>
      <c r="C126" s="324" t="s">
        <v>4586</v>
      </c>
      <c r="D126" s="325"/>
      <c r="E126" s="325"/>
      <c r="F126" s="325"/>
      <c r="G126" s="325"/>
      <c r="H126" s="325"/>
      <c r="I126" s="325"/>
      <c r="J126" s="325"/>
      <c r="K126" s="325"/>
      <c r="L126" s="325"/>
      <c r="M126" s="325"/>
      <c r="N126" s="325"/>
      <c r="O126" s="325"/>
      <c r="P126" s="325"/>
      <c r="Q126" s="325"/>
      <c r="R126" s="325"/>
      <c r="S126" s="325"/>
    </row>
    <row r="127" spans="1:16384" ht="32.25" customHeight="1" x14ac:dyDescent="0.2">
      <c r="A127" s="276" t="s">
        <v>4071</v>
      </c>
      <c r="B127" s="278">
        <f>COUNTIF(E12:P123,"&lt;=5")</f>
        <v>26</v>
      </c>
      <c r="C127" s="324"/>
      <c r="D127" s="325"/>
      <c r="E127" s="325"/>
      <c r="F127" s="325"/>
      <c r="G127" s="325"/>
      <c r="H127" s="325"/>
      <c r="I127" s="325"/>
      <c r="J127" s="325"/>
      <c r="K127" s="325"/>
      <c r="L127" s="325"/>
      <c r="M127" s="325"/>
      <c r="N127" s="325"/>
      <c r="O127" s="325"/>
      <c r="P127" s="325"/>
      <c r="Q127" s="325"/>
      <c r="R127" s="325"/>
      <c r="S127" s="325"/>
    </row>
    <row r="128" spans="1:16384" ht="32.25" customHeight="1" x14ac:dyDescent="0.2">
      <c r="A128" s="263" t="s">
        <v>4072</v>
      </c>
      <c r="B128" s="275">
        <f>COUNTIFS(E12:P123,"&gt;5",E12:P123,"&lt;=14")</f>
        <v>1</v>
      </c>
      <c r="C128" s="114" t="s">
        <v>4585</v>
      </c>
      <c r="D128" s="299"/>
      <c r="E128" s="299"/>
      <c r="F128" s="299"/>
      <c r="G128" s="299"/>
      <c r="H128" s="299"/>
      <c r="I128" s="299"/>
      <c r="J128" s="299"/>
      <c r="K128" s="299"/>
      <c r="L128" s="299"/>
      <c r="M128" s="299"/>
      <c r="N128" s="299"/>
      <c r="O128" s="299"/>
      <c r="P128" s="299"/>
      <c r="Q128" s="299"/>
    </row>
    <row r="129" spans="1:17" ht="32.25" customHeight="1" x14ac:dyDescent="0.2">
      <c r="A129" s="264" t="s">
        <v>4073</v>
      </c>
      <c r="B129" s="270">
        <f>COUNTIFS(E12:P123,"&gt;14",E12:P123,"&lt;=35")</f>
        <v>12</v>
      </c>
      <c r="C129" s="1"/>
      <c r="D129" s="1"/>
      <c r="E129" s="4"/>
      <c r="F129" s="4"/>
      <c r="G129" s="4"/>
      <c r="H129" s="4"/>
      <c r="I129" s="4"/>
      <c r="J129" s="4"/>
      <c r="K129" s="4"/>
      <c r="L129" s="4"/>
      <c r="M129" s="4"/>
      <c r="N129" s="4"/>
      <c r="O129" s="4"/>
      <c r="P129" s="4"/>
      <c r="Q129" s="4"/>
    </row>
    <row r="130" spans="1:17" ht="32.25" customHeight="1" x14ac:dyDescent="0.2">
      <c r="A130" s="265" t="s">
        <v>4074</v>
      </c>
      <c r="B130" s="270">
        <f>COUNTIFS(E12:P123,"&gt;35",E12:P123,"&lt;=80")</f>
        <v>20</v>
      </c>
      <c r="F130" t="s">
        <v>1600</v>
      </c>
    </row>
    <row r="131" spans="1:17" ht="32.25" customHeight="1" x14ac:dyDescent="0.2">
      <c r="A131" s="266" t="s">
        <v>4075</v>
      </c>
      <c r="B131" s="270">
        <f>COUNTIFS(E12:P123,"&gt;80",E12:P123,"&lt;=100")</f>
        <v>112</v>
      </c>
    </row>
    <row r="132" spans="1:17" ht="32.25" customHeight="1" x14ac:dyDescent="0.2">
      <c r="A132" s="285" t="s">
        <v>4076</v>
      </c>
      <c r="B132" s="286">
        <f>COUNT(E12:P123)</f>
        <v>171</v>
      </c>
    </row>
    <row r="133" spans="1:17" ht="36" customHeight="1" x14ac:dyDescent="0.2">
      <c r="A133" s="269" t="s">
        <v>4078</v>
      </c>
      <c r="B133" s="271">
        <f>B132-B127</f>
        <v>145</v>
      </c>
    </row>
    <row r="134" spans="1:17" x14ac:dyDescent="0.2"/>
    <row r="135" spans="1:17" x14ac:dyDescent="0.2"/>
    <row r="136" spans="1:17" x14ac:dyDescent="0.2"/>
    <row r="137" spans="1:17" x14ac:dyDescent="0.2"/>
    <row r="138" spans="1:17" x14ac:dyDescent="0.2"/>
    <row r="139" spans="1:17" x14ac:dyDescent="0.2"/>
    <row r="140" spans="1:17" x14ac:dyDescent="0.2"/>
    <row r="141" spans="1:17" x14ac:dyDescent="0.2"/>
    <row r="142" spans="1:17" x14ac:dyDescent="0.2"/>
    <row r="143" spans="1:17" x14ac:dyDescent="0.2"/>
    <row r="144" spans="1:17"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x14ac:dyDescent="0.2"/>
    <row r="343" x14ac:dyDescent="0.2"/>
    <row r="344" x14ac:dyDescent="0.2"/>
    <row r="345" x14ac:dyDescent="0.2"/>
    <row r="346" x14ac:dyDescent="0.2"/>
    <row r="347" x14ac:dyDescent="0.2"/>
  </sheetData>
  <autoFilter ref="A11:W124">
    <sortState ref="A13:W122">
      <sortCondition ref="A11:A136"/>
    </sortState>
  </autoFilter>
  <customSheetViews>
    <customSheetView guid="{45C8AF51-29EC-46A5-AB7F-1F0634E55D82}" scale="60" hiddenRows="1" hiddenColumns="1">
      <pane xSplit="2.18957345971564" ySplit="11" topLeftCell="D12" activePane="bottomRight" state="frozenSplit"/>
      <selection pane="bottomRight" activeCell="C12" sqref="C12"/>
      <pageMargins left="0.28999999999999998" right="0.2" top="0.6692913385826772" bottom="0.9055118110236221" header="0.43" footer="0.59055118110236227"/>
      <printOptions horizontalCentered="1"/>
      <pageSetup paperSize="14" scale="75" orientation="landscape" r:id="rId1"/>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customSheetView>
    <customSheetView guid="{FCC3B493-4306-43B2-9C73-76324485DD47}" scale="60" hiddenRows="1" hiddenColumns="1">
      <pane xSplit="3" ySplit="11" topLeftCell="D107" activePane="bottomRight" state="frozenSplit"/>
      <selection pane="bottomRight" activeCell="A12" sqref="A12:A121"/>
      <pageMargins left="0.28999999999999998" right="0.2" top="0.6692913385826772" bottom="0.9055118110236221" header="0.43" footer="0.59055118110236227"/>
      <printOptions horizontalCentered="1"/>
      <pageSetup paperSize="14" scale="75" orientation="landscape" r:id="rId2"/>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customSheetView>
    <customSheetView guid="{AEDE1BDB-8710-4CDA-8488-31F49D423ACE}" scale="60" hiddenRows="1" hiddenColumns="1">
      <pane xSplit="3" ySplit="11" topLeftCell="D93" activePane="bottomRight" state="frozenSplit"/>
      <selection pane="bottomRight" activeCell="S150" sqref="S150"/>
      <pageMargins left="0.28999999999999998" right="0.2" top="0.6692913385826772" bottom="0.9055118110236221" header="0.43" footer="0.59055118110236227"/>
      <printOptions horizontalCentered="1"/>
      <pageSetup paperSize="14" scale="75" orientation="landscape" r:id="rId3"/>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customSheetView>
    <customSheetView guid="{75DD7674-E7DE-4BB1-A36D-76AA33452CB3}" scale="60" showAutoFilter="1" hiddenRows="1" hiddenColumns="1">
      <pane xSplit="3" ySplit="11" topLeftCell="G12" activePane="bottomRight" state="frozenSplit"/>
      <selection pane="bottomRight" activeCell="C21" sqref="C21"/>
      <pageMargins left="0.28999999999999998" right="0.2" top="0.6692913385826772" bottom="0.9055118110236221" header="0.43" footer="0.59055118110236227"/>
      <printOptions horizontalCentered="1"/>
      <pageSetup paperSize="14" scale="75" orientation="landscape" r:id="rId4"/>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11:W122">
        <sortState ref="A13:W122">
          <sortCondition ref="A11:A136"/>
        </sortState>
      </autoFilter>
    </customSheetView>
  </customSheetViews>
  <mergeCells count="21">
    <mergeCell ref="H5:J6"/>
    <mergeCell ref="K5:M6"/>
    <mergeCell ref="N5:P6"/>
    <mergeCell ref="Q5:R6"/>
    <mergeCell ref="S5:S6"/>
    <mergeCell ref="B1:D1"/>
    <mergeCell ref="B2:D2"/>
    <mergeCell ref="B3:D3"/>
    <mergeCell ref="B5:D5"/>
    <mergeCell ref="E5:G6"/>
    <mergeCell ref="A10:A11"/>
    <mergeCell ref="E10:P10"/>
    <mergeCell ref="Q10:Q11"/>
    <mergeCell ref="C126:S127"/>
    <mergeCell ref="S10:S11"/>
    <mergeCell ref="R10:R11"/>
    <mergeCell ref="B10:B11"/>
    <mergeCell ref="C10:C11"/>
    <mergeCell ref="D10:D11"/>
    <mergeCell ref="A8:B8"/>
    <mergeCell ref="A7:B7"/>
  </mergeCells>
  <phoneticPr fontId="2" type="noConversion"/>
  <conditionalFormatting sqref="E12:Q17 E19:Q63 Q123:Q125 E123:P124 E65:Q121">
    <cfRule type="containsBlanks" dxfId="3620" priority="2513" stopIfTrue="1">
      <formula>LEN(TRIM(E12))=0</formula>
    </cfRule>
    <cfRule type="cellIs" dxfId="3619" priority="2514" stopIfTrue="1" operator="between">
      <formula>80.1</formula>
      <formula>100</formula>
    </cfRule>
    <cfRule type="cellIs" dxfId="3618" priority="2515" stopIfTrue="1" operator="between">
      <formula>35.1</formula>
      <formula>80</formula>
    </cfRule>
    <cfRule type="cellIs" dxfId="3617" priority="2516" stopIfTrue="1" operator="between">
      <formula>14.1</formula>
      <formula>35</formula>
    </cfRule>
    <cfRule type="cellIs" dxfId="3616" priority="2517" stopIfTrue="1" operator="between">
      <formula>5.1</formula>
      <formula>14</formula>
    </cfRule>
    <cfRule type="cellIs" dxfId="3615" priority="2518" stopIfTrue="1" operator="between">
      <formula>0</formula>
      <formula>5</formula>
    </cfRule>
    <cfRule type="containsBlanks" dxfId="3614" priority="2519" stopIfTrue="1">
      <formula>LEN(TRIM(E12))=0</formula>
    </cfRule>
  </conditionalFormatting>
  <conditionalFormatting sqref="E53:P53 E82:J82 K82:P85 P86:P93 O88:O93 N86:N93 E107:P110 E75:P75">
    <cfRule type="containsBlanks" dxfId="3613" priority="883" stopIfTrue="1">
      <formula>LEN(TRIM(E53))=0</formula>
    </cfRule>
    <cfRule type="cellIs" dxfId="3612" priority="884" stopIfTrue="1" operator="between">
      <formula>79.1</formula>
      <formula>100</formula>
    </cfRule>
    <cfRule type="cellIs" dxfId="3611" priority="885" stopIfTrue="1" operator="between">
      <formula>34.1</formula>
      <formula>79</formula>
    </cfRule>
    <cfRule type="cellIs" dxfId="3610" priority="886" stopIfTrue="1" operator="between">
      <formula>13.1</formula>
      <formula>34</formula>
    </cfRule>
    <cfRule type="cellIs" dxfId="3609" priority="887" stopIfTrue="1" operator="between">
      <formula>5.1</formula>
      <formula>13</formula>
    </cfRule>
    <cfRule type="cellIs" dxfId="3608" priority="888" stopIfTrue="1" operator="between">
      <formula>0</formula>
      <formula>5</formula>
    </cfRule>
    <cfRule type="containsBlanks" dxfId="3607" priority="889" stopIfTrue="1">
      <formula>LEN(TRIM(E53))=0</formula>
    </cfRule>
  </conditionalFormatting>
  <conditionalFormatting sqref="F12:P12 F52:H52 K52:P52 G35:P35 O41:P41 F31:P32 N30:P30 F22:P23 O36 L25:P25 J24:P24 M38:P38 K33:P33 K30:L30 O29:P29 H28:P28 J40:P40 G27:P27 K26:P26">
    <cfRule type="containsBlanks" dxfId="3606" priority="918" stopIfTrue="1">
      <formula>LEN(TRIM(F12))=0</formula>
    </cfRule>
    <cfRule type="cellIs" dxfId="3605" priority="919" stopIfTrue="1" operator="between">
      <formula>80.1</formula>
      <formula>100</formula>
    </cfRule>
    <cfRule type="cellIs" dxfId="3604" priority="920" stopIfTrue="1" operator="between">
      <formula>35.1</formula>
      <formula>80</formula>
    </cfRule>
    <cfRule type="cellIs" dxfId="3603" priority="921" stopIfTrue="1" operator="between">
      <formula>14.1</formula>
      <formula>35</formula>
    </cfRule>
    <cfRule type="cellIs" dxfId="3602" priority="922" stopIfTrue="1" operator="between">
      <formula>5.1</formula>
      <formula>14</formula>
    </cfRule>
    <cfRule type="cellIs" dxfId="3601" priority="923" stopIfTrue="1" operator="between">
      <formula>0</formula>
      <formula>5</formula>
    </cfRule>
    <cfRule type="containsBlanks" dxfId="3600" priority="924" stopIfTrue="1">
      <formula>LEN(TRIM(F12))=0</formula>
    </cfRule>
  </conditionalFormatting>
  <conditionalFormatting sqref="G50:P50">
    <cfRule type="containsBlanks" dxfId="3599" priority="869" stopIfTrue="1">
      <formula>LEN(TRIM(G50))=0</formula>
    </cfRule>
    <cfRule type="cellIs" dxfId="3598" priority="870" stopIfTrue="1" operator="between">
      <formula>79.1</formula>
      <formula>100</formula>
    </cfRule>
    <cfRule type="cellIs" dxfId="3597" priority="871" stopIfTrue="1" operator="between">
      <formula>34.1</formula>
      <formula>79</formula>
    </cfRule>
    <cfRule type="cellIs" dxfId="3596" priority="872" stopIfTrue="1" operator="between">
      <formula>13.1</formula>
      <formula>34</formula>
    </cfRule>
    <cfRule type="cellIs" dxfId="3595" priority="873" stopIfTrue="1" operator="between">
      <formula>5.1</formula>
      <formula>13</formula>
    </cfRule>
    <cfRule type="cellIs" dxfId="3594" priority="874" stopIfTrue="1" operator="between">
      <formula>0</formula>
      <formula>5</formula>
    </cfRule>
    <cfRule type="containsBlanks" dxfId="3593" priority="875" stopIfTrue="1">
      <formula>LEN(TRIM(G50))=0</formula>
    </cfRule>
  </conditionalFormatting>
  <conditionalFormatting sqref="E21:P21">
    <cfRule type="containsBlanks" dxfId="3592" priority="890" stopIfTrue="1">
      <formula>LEN(TRIM(E21))=0</formula>
    </cfRule>
    <cfRule type="cellIs" dxfId="3591" priority="891" stopIfTrue="1" operator="between">
      <formula>79.1</formula>
      <formula>100</formula>
    </cfRule>
    <cfRule type="cellIs" dxfId="3590" priority="892" stopIfTrue="1" operator="between">
      <formula>34.1</formula>
      <formula>79</formula>
    </cfRule>
    <cfRule type="cellIs" dxfId="3589" priority="893" stopIfTrue="1" operator="between">
      <formula>13.1</formula>
      <formula>34</formula>
    </cfRule>
    <cfRule type="cellIs" dxfId="3588" priority="894" stopIfTrue="1" operator="between">
      <formula>5.1</formula>
      <formula>13</formula>
    </cfRule>
    <cfRule type="cellIs" dxfId="3587" priority="895" stopIfTrue="1" operator="between">
      <formula>0</formula>
      <formula>5</formula>
    </cfRule>
    <cfRule type="containsBlanks" dxfId="3586" priority="896" stopIfTrue="1">
      <formula>LEN(TRIM(E21))=0</formula>
    </cfRule>
  </conditionalFormatting>
  <conditionalFormatting sqref="J52">
    <cfRule type="containsBlanks" dxfId="3585" priority="862" stopIfTrue="1">
      <formula>LEN(TRIM(J52))=0</formula>
    </cfRule>
    <cfRule type="cellIs" dxfId="3584" priority="863" stopIfTrue="1" operator="between">
      <formula>79.1</formula>
      <formula>100</formula>
    </cfRule>
    <cfRule type="cellIs" dxfId="3583" priority="864" stopIfTrue="1" operator="between">
      <formula>34.1</formula>
      <formula>79</formula>
    </cfRule>
    <cfRule type="cellIs" dxfId="3582" priority="865" stopIfTrue="1" operator="between">
      <formula>13.1</formula>
      <formula>34</formula>
    </cfRule>
    <cfRule type="cellIs" dxfId="3581" priority="866" stopIfTrue="1" operator="between">
      <formula>5.1</formula>
      <formula>13</formula>
    </cfRule>
    <cfRule type="cellIs" dxfId="3580" priority="867" stopIfTrue="1" operator="between">
      <formula>0</formula>
      <formula>5</formula>
    </cfRule>
    <cfRule type="containsBlanks" dxfId="3579" priority="868" stopIfTrue="1">
      <formula>LEN(TRIM(J52))=0</formula>
    </cfRule>
  </conditionalFormatting>
  <conditionalFormatting sqref="E44:P44">
    <cfRule type="containsBlanks" dxfId="3578" priority="806" stopIfTrue="1">
      <formula>LEN(TRIM(E44))=0</formula>
    </cfRule>
    <cfRule type="cellIs" dxfId="3577" priority="807" stopIfTrue="1" operator="between">
      <formula>79.1</formula>
      <formula>100</formula>
    </cfRule>
    <cfRule type="cellIs" dxfId="3576" priority="808" stopIfTrue="1" operator="between">
      <formula>34.1</formula>
      <formula>79</formula>
    </cfRule>
    <cfRule type="cellIs" dxfId="3575" priority="809" stopIfTrue="1" operator="between">
      <formula>13.1</formula>
      <formula>34</formula>
    </cfRule>
    <cfRule type="cellIs" dxfId="3574" priority="810" stopIfTrue="1" operator="between">
      <formula>5.1</formula>
      <formula>13</formula>
    </cfRule>
    <cfRule type="cellIs" dxfId="3573" priority="811" stopIfTrue="1" operator="between">
      <formula>0</formula>
      <formula>5</formula>
    </cfRule>
    <cfRule type="containsBlanks" dxfId="3572" priority="812" stopIfTrue="1">
      <formula>LEN(TRIM(E44))=0</formula>
    </cfRule>
  </conditionalFormatting>
  <conditionalFormatting sqref="E45:P45">
    <cfRule type="containsBlanks" dxfId="3571" priority="841" stopIfTrue="1">
      <formula>LEN(TRIM(E45))=0</formula>
    </cfRule>
    <cfRule type="cellIs" dxfId="3570" priority="842" stopIfTrue="1" operator="between">
      <formula>79.1</formula>
      <formula>100</formula>
    </cfRule>
    <cfRule type="cellIs" dxfId="3569" priority="843" stopIfTrue="1" operator="between">
      <formula>34.1</formula>
      <formula>79</formula>
    </cfRule>
    <cfRule type="cellIs" dxfId="3568" priority="844" stopIfTrue="1" operator="between">
      <formula>13.1</formula>
      <formula>34</formula>
    </cfRule>
    <cfRule type="cellIs" dxfId="3567" priority="845" stopIfTrue="1" operator="between">
      <formula>5.1</formula>
      <formula>13</formula>
    </cfRule>
    <cfRule type="cellIs" dxfId="3566" priority="846" stopIfTrue="1" operator="between">
      <formula>0</formula>
      <formula>5</formula>
    </cfRule>
    <cfRule type="containsBlanks" dxfId="3565" priority="847" stopIfTrue="1">
      <formula>LEN(TRIM(E45))=0</formula>
    </cfRule>
  </conditionalFormatting>
  <conditionalFormatting sqref="E49:P49">
    <cfRule type="containsBlanks" dxfId="3564" priority="855" stopIfTrue="1">
      <formula>LEN(TRIM(E49))=0</formula>
    </cfRule>
    <cfRule type="cellIs" dxfId="3563" priority="856" stopIfTrue="1" operator="between">
      <formula>79.1</formula>
      <formula>100</formula>
    </cfRule>
    <cfRule type="cellIs" dxfId="3562" priority="857" stopIfTrue="1" operator="between">
      <formula>34.1</formula>
      <formula>79</formula>
    </cfRule>
    <cfRule type="cellIs" dxfId="3561" priority="858" stopIfTrue="1" operator="between">
      <formula>13.1</formula>
      <formula>34</formula>
    </cfRule>
    <cfRule type="cellIs" dxfId="3560" priority="859" stopIfTrue="1" operator="between">
      <formula>5.1</formula>
      <formula>13</formula>
    </cfRule>
    <cfRule type="cellIs" dxfId="3559" priority="860" stopIfTrue="1" operator="between">
      <formula>0</formula>
      <formula>5</formula>
    </cfRule>
    <cfRule type="containsBlanks" dxfId="3558" priority="861" stopIfTrue="1">
      <formula>LEN(TRIM(E49))=0</formula>
    </cfRule>
  </conditionalFormatting>
  <conditionalFormatting sqref="E48:P48">
    <cfRule type="containsBlanks" dxfId="3557" priority="792" stopIfTrue="1">
      <formula>LEN(TRIM(E48))=0</formula>
    </cfRule>
    <cfRule type="cellIs" dxfId="3556" priority="793" stopIfTrue="1" operator="between">
      <formula>79.1</formula>
      <formula>100</formula>
    </cfRule>
    <cfRule type="cellIs" dxfId="3555" priority="794" stopIfTrue="1" operator="between">
      <formula>34.1</formula>
      <formula>79</formula>
    </cfRule>
    <cfRule type="cellIs" dxfId="3554" priority="795" stopIfTrue="1" operator="between">
      <formula>13.1</formula>
      <formula>34</formula>
    </cfRule>
    <cfRule type="cellIs" dxfId="3553" priority="796" stopIfTrue="1" operator="between">
      <formula>5.1</formula>
      <formula>13</formula>
    </cfRule>
    <cfRule type="cellIs" dxfId="3552" priority="797" stopIfTrue="1" operator="between">
      <formula>0</formula>
      <formula>5</formula>
    </cfRule>
    <cfRule type="containsBlanks" dxfId="3551" priority="798" stopIfTrue="1">
      <formula>LEN(TRIM(E48))=0</formula>
    </cfRule>
  </conditionalFormatting>
  <conditionalFormatting sqref="N39:P39">
    <cfRule type="containsBlanks" dxfId="3550" priority="813" stopIfTrue="1">
      <formula>LEN(TRIM(N39))=0</formula>
    </cfRule>
    <cfRule type="cellIs" dxfId="3549" priority="814" stopIfTrue="1" operator="between">
      <formula>79.1</formula>
      <formula>100</formula>
    </cfRule>
    <cfRule type="cellIs" dxfId="3548" priority="815" stopIfTrue="1" operator="between">
      <formula>34.1</formula>
      <formula>79</formula>
    </cfRule>
    <cfRule type="cellIs" dxfId="3547" priority="816" stopIfTrue="1" operator="between">
      <formula>13.1</formula>
      <formula>34</formula>
    </cfRule>
    <cfRule type="cellIs" dxfId="3546" priority="817" stopIfTrue="1" operator="between">
      <formula>5.1</formula>
      <formula>13</formula>
    </cfRule>
    <cfRule type="cellIs" dxfId="3545" priority="818" stopIfTrue="1" operator="between">
      <formula>0</formula>
      <formula>5</formula>
    </cfRule>
    <cfRule type="containsBlanks" dxfId="3544" priority="819" stopIfTrue="1">
      <formula>LEN(TRIM(N39))=0</formula>
    </cfRule>
  </conditionalFormatting>
  <conditionalFormatting sqref="K36:N36 P36">
    <cfRule type="containsBlanks" dxfId="3543" priority="827" stopIfTrue="1">
      <formula>LEN(TRIM(K36))=0</formula>
    </cfRule>
    <cfRule type="cellIs" dxfId="3542" priority="828" stopIfTrue="1" operator="between">
      <formula>79.1</formula>
      <formula>100</formula>
    </cfRule>
    <cfRule type="cellIs" dxfId="3541" priority="829" stopIfTrue="1" operator="between">
      <formula>34.1</formula>
      <formula>79</formula>
    </cfRule>
    <cfRule type="cellIs" dxfId="3540" priority="830" stopIfTrue="1" operator="between">
      <formula>13.1</formula>
      <formula>34</formula>
    </cfRule>
    <cfRule type="cellIs" dxfId="3539" priority="831" stopIfTrue="1" operator="between">
      <formula>5.1</formula>
      <formula>13</formula>
    </cfRule>
    <cfRule type="cellIs" dxfId="3538" priority="832" stopIfTrue="1" operator="between">
      <formula>0</formula>
      <formula>5</formula>
    </cfRule>
    <cfRule type="containsBlanks" dxfId="3537" priority="833" stopIfTrue="1">
      <formula>LEN(TRIM(K36))=0</formula>
    </cfRule>
  </conditionalFormatting>
  <conditionalFormatting sqref="I34:P34">
    <cfRule type="containsBlanks" dxfId="3536" priority="820" stopIfTrue="1">
      <formula>LEN(TRIM(I34))=0</formula>
    </cfRule>
    <cfRule type="cellIs" dxfId="3535" priority="821" stopIfTrue="1" operator="between">
      <formula>79.1</formula>
      <formula>100</formula>
    </cfRule>
    <cfRule type="cellIs" dxfId="3534" priority="822" stopIfTrue="1" operator="between">
      <formula>34.1</formula>
      <formula>79</formula>
    </cfRule>
    <cfRule type="cellIs" dxfId="3533" priority="823" stopIfTrue="1" operator="between">
      <formula>13.1</formula>
      <formula>34</formula>
    </cfRule>
    <cfRule type="cellIs" dxfId="3532" priority="824" stopIfTrue="1" operator="between">
      <formula>5.1</formula>
      <formula>13</formula>
    </cfRule>
    <cfRule type="cellIs" dxfId="3531" priority="825" stopIfTrue="1" operator="between">
      <formula>0</formula>
      <formula>5</formula>
    </cfRule>
    <cfRule type="containsBlanks" dxfId="3530" priority="826" stopIfTrue="1">
      <formula>LEN(TRIM(I34))=0</formula>
    </cfRule>
  </conditionalFormatting>
  <conditionalFormatting sqref="I51:P51 I52">
    <cfRule type="containsBlanks" dxfId="3529" priority="799" stopIfTrue="1">
      <formula>LEN(TRIM(I51))=0</formula>
    </cfRule>
    <cfRule type="cellIs" dxfId="3528" priority="800" stopIfTrue="1" operator="between">
      <formula>79.1</formula>
      <formula>100</formula>
    </cfRule>
    <cfRule type="cellIs" dxfId="3527" priority="801" stopIfTrue="1" operator="between">
      <formula>34.1</formula>
      <formula>79</formula>
    </cfRule>
    <cfRule type="cellIs" dxfId="3526" priority="802" stopIfTrue="1" operator="between">
      <formula>13.1</formula>
      <formula>34</formula>
    </cfRule>
    <cfRule type="cellIs" dxfId="3525" priority="803" stopIfTrue="1" operator="between">
      <formula>5.1</formula>
      <formula>13</formula>
    </cfRule>
    <cfRule type="cellIs" dxfId="3524" priority="804" stopIfTrue="1" operator="between">
      <formula>0</formula>
      <formula>5</formula>
    </cfRule>
    <cfRule type="containsBlanks" dxfId="3523" priority="805" stopIfTrue="1">
      <formula>LEN(TRIM(I51))=0</formula>
    </cfRule>
  </conditionalFormatting>
  <conditionalFormatting sqref="E83:J83 J85 H84:J84">
    <cfRule type="containsBlanks" dxfId="3522" priority="771" stopIfTrue="1">
      <formula>LEN(TRIM(E83))=0</formula>
    </cfRule>
    <cfRule type="cellIs" dxfId="3521" priority="772" stopIfTrue="1" operator="between">
      <formula>79.1</formula>
      <formula>100</formula>
    </cfRule>
    <cfRule type="cellIs" dxfId="3520" priority="773" stopIfTrue="1" operator="between">
      <formula>34.1</formula>
      <formula>79</formula>
    </cfRule>
    <cfRule type="cellIs" dxfId="3519" priority="774" stopIfTrue="1" operator="between">
      <formula>13.1</formula>
      <formula>34</formula>
    </cfRule>
    <cfRule type="cellIs" dxfId="3518" priority="775" stopIfTrue="1" operator="between">
      <formula>5.1</formula>
      <formula>13</formula>
    </cfRule>
    <cfRule type="cellIs" dxfId="3517" priority="776" stopIfTrue="1" operator="between">
      <formula>0</formula>
      <formula>5</formula>
    </cfRule>
    <cfRule type="containsBlanks" dxfId="3516" priority="777" stopIfTrue="1">
      <formula>LEN(TRIM(E83))=0</formula>
    </cfRule>
  </conditionalFormatting>
  <conditionalFormatting sqref="M30">
    <cfRule type="containsBlanks" dxfId="3515" priority="701" stopIfTrue="1">
      <formula>LEN(TRIM(M30))=0</formula>
    </cfRule>
    <cfRule type="cellIs" dxfId="3514" priority="702" stopIfTrue="1" operator="between">
      <formula>79.1</formula>
      <formula>100</formula>
    </cfRule>
    <cfRule type="cellIs" dxfId="3513" priority="703" stopIfTrue="1" operator="between">
      <formula>34.1</formula>
      <formula>79</formula>
    </cfRule>
    <cfRule type="cellIs" dxfId="3512" priority="704" stopIfTrue="1" operator="between">
      <formula>13.1</formula>
      <formula>34</formula>
    </cfRule>
    <cfRule type="cellIs" dxfId="3511" priority="705" stopIfTrue="1" operator="between">
      <formula>5.1</formula>
      <formula>13</formula>
    </cfRule>
    <cfRule type="cellIs" dxfId="3510" priority="706" stopIfTrue="1" operator="between">
      <formula>0</formula>
      <formula>5</formula>
    </cfRule>
    <cfRule type="containsBlanks" dxfId="3509" priority="707" stopIfTrue="1">
      <formula>LEN(TRIM(M30))=0</formula>
    </cfRule>
  </conditionalFormatting>
  <conditionalFormatting sqref="E43:H43 K43 O43:P43">
    <cfRule type="containsBlanks" dxfId="3508" priority="729" stopIfTrue="1">
      <formula>LEN(TRIM(E43))=0</formula>
    </cfRule>
    <cfRule type="cellIs" dxfId="3507" priority="730" stopIfTrue="1" operator="between">
      <formula>79.1</formula>
      <formula>100</formula>
    </cfRule>
    <cfRule type="cellIs" dxfId="3506" priority="731" stopIfTrue="1" operator="between">
      <formula>34.1</formula>
      <formula>79</formula>
    </cfRule>
    <cfRule type="cellIs" dxfId="3505" priority="732" stopIfTrue="1" operator="between">
      <formula>13.1</formula>
      <formula>34</formula>
    </cfRule>
    <cfRule type="cellIs" dxfId="3504" priority="733" stopIfTrue="1" operator="between">
      <formula>5.1</formula>
      <formula>13</formula>
    </cfRule>
    <cfRule type="cellIs" dxfId="3503" priority="734" stopIfTrue="1" operator="between">
      <formula>0</formula>
      <formula>5</formula>
    </cfRule>
    <cfRule type="containsBlanks" dxfId="3502" priority="735" stopIfTrue="1">
      <formula>LEN(TRIM(E43))=0</formula>
    </cfRule>
  </conditionalFormatting>
  <conditionalFormatting sqref="I43:J43">
    <cfRule type="containsBlanks" dxfId="3501" priority="722" stopIfTrue="1">
      <formula>LEN(TRIM(I43))=0</formula>
    </cfRule>
    <cfRule type="cellIs" dxfId="3500" priority="723" stopIfTrue="1" operator="between">
      <formula>79.1</formula>
      <formula>100</formula>
    </cfRule>
    <cfRule type="cellIs" dxfId="3499" priority="724" stopIfTrue="1" operator="between">
      <formula>34.1</formula>
      <formula>79</formula>
    </cfRule>
    <cfRule type="cellIs" dxfId="3498" priority="725" stopIfTrue="1" operator="between">
      <formula>13.1</formula>
      <formula>34</formula>
    </cfRule>
    <cfRule type="cellIs" dxfId="3497" priority="726" stopIfTrue="1" operator="between">
      <formula>5.1</formula>
      <formula>13</formula>
    </cfRule>
    <cfRule type="cellIs" dxfId="3496" priority="727" stopIfTrue="1" operator="between">
      <formula>0</formula>
      <formula>5</formula>
    </cfRule>
    <cfRule type="containsBlanks" dxfId="3495" priority="728" stopIfTrue="1">
      <formula>LEN(TRIM(I43))=0</formula>
    </cfRule>
  </conditionalFormatting>
  <conditionalFormatting sqref="L43:N43">
    <cfRule type="containsBlanks" dxfId="3494" priority="715" stopIfTrue="1">
      <formula>LEN(TRIM(L43))=0</formula>
    </cfRule>
    <cfRule type="cellIs" dxfId="3493" priority="716" stopIfTrue="1" operator="between">
      <formula>79.1</formula>
      <formula>100</formula>
    </cfRule>
    <cfRule type="cellIs" dxfId="3492" priority="717" stopIfTrue="1" operator="between">
      <formula>34.1</formula>
      <formula>79</formula>
    </cfRule>
    <cfRule type="cellIs" dxfId="3491" priority="718" stopIfTrue="1" operator="between">
      <formula>13.1</formula>
      <formula>34</formula>
    </cfRule>
    <cfRule type="cellIs" dxfId="3490" priority="719" stopIfTrue="1" operator="between">
      <formula>5.1</formula>
      <formula>13</formula>
    </cfRule>
    <cfRule type="cellIs" dxfId="3489" priority="720" stopIfTrue="1" operator="between">
      <formula>0</formula>
      <formula>5</formula>
    </cfRule>
    <cfRule type="containsBlanks" dxfId="3488" priority="721" stopIfTrue="1">
      <formula>LEN(TRIM(L43))=0</formula>
    </cfRule>
  </conditionalFormatting>
  <conditionalFormatting sqref="G42:H42 J42:M42 O42:P42">
    <cfRule type="containsBlanks" dxfId="3487" priority="694" stopIfTrue="1">
      <formula>LEN(TRIM(G42))=0</formula>
    </cfRule>
    <cfRule type="cellIs" dxfId="3486" priority="695" stopIfTrue="1" operator="between">
      <formula>79.1</formula>
      <formula>100</formula>
    </cfRule>
    <cfRule type="cellIs" dxfId="3485" priority="696" stopIfTrue="1" operator="between">
      <formula>34.1</formula>
      <formula>79</formula>
    </cfRule>
    <cfRule type="cellIs" dxfId="3484" priority="697" stopIfTrue="1" operator="between">
      <formula>13.1</formula>
      <formula>34</formula>
    </cfRule>
    <cfRule type="cellIs" dxfId="3483" priority="698" stopIfTrue="1" operator="between">
      <formula>5.1</formula>
      <formula>13</formula>
    </cfRule>
    <cfRule type="cellIs" dxfId="3482" priority="699" stopIfTrue="1" operator="between">
      <formula>0</formula>
      <formula>5</formula>
    </cfRule>
    <cfRule type="containsBlanks" dxfId="3481" priority="700" stopIfTrue="1">
      <formula>LEN(TRIM(G42))=0</formula>
    </cfRule>
  </conditionalFormatting>
  <conditionalFormatting sqref="I42">
    <cfRule type="containsBlanks" dxfId="3480" priority="687" stopIfTrue="1">
      <formula>LEN(TRIM(I42))=0</formula>
    </cfRule>
    <cfRule type="cellIs" dxfId="3479" priority="688" stopIfTrue="1" operator="between">
      <formula>79.1</formula>
      <formula>100</formula>
    </cfRule>
    <cfRule type="cellIs" dxfId="3478" priority="689" stopIfTrue="1" operator="between">
      <formula>34.1</formula>
      <formula>79</formula>
    </cfRule>
    <cfRule type="cellIs" dxfId="3477" priority="690" stopIfTrue="1" operator="between">
      <formula>13.1</formula>
      <formula>34</formula>
    </cfRule>
    <cfRule type="cellIs" dxfId="3476" priority="691" stopIfTrue="1" operator="between">
      <formula>5.1</formula>
      <formula>13</formula>
    </cfRule>
    <cfRule type="cellIs" dxfId="3475" priority="692" stopIfTrue="1" operator="between">
      <formula>0</formula>
      <formula>5</formula>
    </cfRule>
    <cfRule type="containsBlanks" dxfId="3474" priority="693" stopIfTrue="1">
      <formula>LEN(TRIM(I42))=0</formula>
    </cfRule>
  </conditionalFormatting>
  <conditionalFormatting sqref="N42">
    <cfRule type="containsBlanks" dxfId="3473" priority="680" stopIfTrue="1">
      <formula>LEN(TRIM(N42))=0</formula>
    </cfRule>
    <cfRule type="cellIs" dxfId="3472" priority="681" stopIfTrue="1" operator="between">
      <formula>79.1</formula>
      <formula>100</formula>
    </cfRule>
    <cfRule type="cellIs" dxfId="3471" priority="682" stopIfTrue="1" operator="between">
      <formula>34.1</formula>
      <formula>79</formula>
    </cfRule>
    <cfRule type="cellIs" dxfId="3470" priority="683" stopIfTrue="1" operator="between">
      <formula>13.1</formula>
      <formula>34</formula>
    </cfRule>
    <cfRule type="cellIs" dxfId="3469" priority="684" stopIfTrue="1" operator="between">
      <formula>5.1</formula>
      <formula>13</formula>
    </cfRule>
    <cfRule type="cellIs" dxfId="3468" priority="685" stopIfTrue="1" operator="between">
      <formula>0</formula>
      <formula>5</formula>
    </cfRule>
    <cfRule type="containsBlanks" dxfId="3467" priority="686" stopIfTrue="1">
      <formula>LEN(TRIM(N42))=0</formula>
    </cfRule>
  </conditionalFormatting>
  <conditionalFormatting sqref="E54:P56 L70:P71 H57:P57 O58:P58">
    <cfRule type="containsBlanks" dxfId="3466" priority="673" stopIfTrue="1">
      <formula>LEN(TRIM(E54))=0</formula>
    </cfRule>
    <cfRule type="cellIs" dxfId="3465" priority="674" stopIfTrue="1" operator="between">
      <formula>79.1</formula>
      <formula>100</formula>
    </cfRule>
    <cfRule type="cellIs" dxfId="3464" priority="675" stopIfTrue="1" operator="between">
      <formula>34.1</formula>
      <formula>79</formula>
    </cfRule>
    <cfRule type="cellIs" dxfId="3463" priority="676" stopIfTrue="1" operator="between">
      <formula>13.1</formula>
      <formula>34</formula>
    </cfRule>
    <cfRule type="cellIs" dxfId="3462" priority="677" stopIfTrue="1" operator="between">
      <formula>5.1</formula>
      <formula>13</formula>
    </cfRule>
    <cfRule type="cellIs" dxfId="3461" priority="678" stopIfTrue="1" operator="between">
      <formula>0</formula>
      <formula>5</formula>
    </cfRule>
    <cfRule type="containsBlanks" dxfId="3460" priority="679" stopIfTrue="1">
      <formula>LEN(TRIM(E54))=0</formula>
    </cfRule>
  </conditionalFormatting>
  <conditionalFormatting sqref="K72:P72 P73:P74 O77:P77">
    <cfRule type="containsBlanks" dxfId="3459" priority="666" stopIfTrue="1">
      <formula>LEN(TRIM(K72))=0</formula>
    </cfRule>
    <cfRule type="cellIs" dxfId="3458" priority="667" stopIfTrue="1" operator="between">
      <formula>79.1</formula>
      <formula>100</formula>
    </cfRule>
    <cfRule type="cellIs" dxfId="3457" priority="668" stopIfTrue="1" operator="between">
      <formula>34.1</formula>
      <formula>79</formula>
    </cfRule>
    <cfRule type="cellIs" dxfId="3456" priority="669" stopIfTrue="1" operator="between">
      <formula>13.1</formula>
      <formula>34</formula>
    </cfRule>
    <cfRule type="cellIs" dxfId="3455" priority="670" stopIfTrue="1" operator="between">
      <formula>5.1</formula>
      <formula>13</formula>
    </cfRule>
    <cfRule type="cellIs" dxfId="3454" priority="671" stopIfTrue="1" operator="between">
      <formula>0</formula>
      <formula>5</formula>
    </cfRule>
    <cfRule type="containsBlanks" dxfId="3453" priority="672" stopIfTrue="1">
      <formula>LEN(TRIM(K72))=0</formula>
    </cfRule>
  </conditionalFormatting>
  <conditionalFormatting sqref="E100:P103 O99:P99">
    <cfRule type="containsBlanks" dxfId="3452" priority="631" stopIfTrue="1">
      <formula>LEN(TRIM(E99))=0</formula>
    </cfRule>
    <cfRule type="cellIs" dxfId="3451" priority="632" stopIfTrue="1" operator="between">
      <formula>79.1</formula>
      <formula>100</formula>
    </cfRule>
    <cfRule type="cellIs" dxfId="3450" priority="633" stopIfTrue="1" operator="between">
      <formula>34.1</formula>
      <formula>79</formula>
    </cfRule>
    <cfRule type="cellIs" dxfId="3449" priority="634" stopIfTrue="1" operator="between">
      <formula>13.1</formula>
      <formula>34</formula>
    </cfRule>
    <cfRule type="cellIs" dxfId="3448" priority="635" stopIfTrue="1" operator="between">
      <formula>5.1</formula>
      <formula>13</formula>
    </cfRule>
    <cfRule type="cellIs" dxfId="3447" priority="636" stopIfTrue="1" operator="between">
      <formula>0</formula>
      <formula>5</formula>
    </cfRule>
    <cfRule type="containsBlanks" dxfId="3446" priority="637" stopIfTrue="1">
      <formula>LEN(TRIM(E99))=0</formula>
    </cfRule>
  </conditionalFormatting>
  <conditionalFormatting sqref="E86:J88">
    <cfRule type="containsBlanks" dxfId="3445" priority="638" stopIfTrue="1">
      <formula>LEN(TRIM(E86))=0</formula>
    </cfRule>
    <cfRule type="cellIs" dxfId="3444" priority="639" stopIfTrue="1" operator="between">
      <formula>79.1</formula>
      <formula>100</formula>
    </cfRule>
    <cfRule type="cellIs" dxfId="3443" priority="640" stopIfTrue="1" operator="between">
      <formula>34.1</formula>
      <formula>79</formula>
    </cfRule>
    <cfRule type="cellIs" dxfId="3442" priority="641" stopIfTrue="1" operator="between">
      <formula>13.1</formula>
      <formula>34</formula>
    </cfRule>
    <cfRule type="cellIs" dxfId="3441" priority="642" stopIfTrue="1" operator="between">
      <formula>5.1</formula>
      <formula>13</formula>
    </cfRule>
    <cfRule type="cellIs" dxfId="3440" priority="643" stopIfTrue="1" operator="between">
      <formula>0</formula>
      <formula>5</formula>
    </cfRule>
    <cfRule type="containsBlanks" dxfId="3439" priority="644" stopIfTrue="1">
      <formula>LEN(TRIM(E86))=0</formula>
    </cfRule>
  </conditionalFormatting>
  <conditionalFormatting sqref="O86:O87 M88">
    <cfRule type="containsBlanks" dxfId="3438" priority="624" stopIfTrue="1">
      <formula>LEN(TRIM(M86))=0</formula>
    </cfRule>
    <cfRule type="cellIs" dxfId="3437" priority="625" stopIfTrue="1" operator="between">
      <formula>79.1</formula>
      <formula>100</formula>
    </cfRule>
    <cfRule type="cellIs" dxfId="3436" priority="626" stopIfTrue="1" operator="between">
      <formula>34.1</formula>
      <formula>79</formula>
    </cfRule>
    <cfRule type="cellIs" dxfId="3435" priority="627" stopIfTrue="1" operator="between">
      <formula>13.1</formula>
      <formula>34</formula>
    </cfRule>
    <cfRule type="cellIs" dxfId="3434" priority="628" stopIfTrue="1" operator="between">
      <formula>5.1</formula>
      <formula>13</formula>
    </cfRule>
    <cfRule type="cellIs" dxfId="3433" priority="629" stopIfTrue="1" operator="between">
      <formula>0</formula>
      <formula>5</formula>
    </cfRule>
    <cfRule type="containsBlanks" dxfId="3432" priority="630" stopIfTrue="1">
      <formula>LEN(TRIM(M86))=0</formula>
    </cfRule>
  </conditionalFormatting>
  <conditionalFormatting sqref="M86:M87">
    <cfRule type="containsBlanks" dxfId="3431" priority="596" stopIfTrue="1">
      <formula>LEN(TRIM(M86))=0</formula>
    </cfRule>
    <cfRule type="cellIs" dxfId="3430" priority="597" stopIfTrue="1" operator="between">
      <formula>79.1</formula>
      <formula>100</formula>
    </cfRule>
    <cfRule type="cellIs" dxfId="3429" priority="598" stopIfTrue="1" operator="between">
      <formula>34.1</formula>
      <formula>79</formula>
    </cfRule>
    <cfRule type="cellIs" dxfId="3428" priority="599" stopIfTrue="1" operator="between">
      <formula>13.1</formula>
      <formula>34</formula>
    </cfRule>
    <cfRule type="cellIs" dxfId="3427" priority="600" stopIfTrue="1" operator="between">
      <formula>5.1</formula>
      <formula>13</formula>
    </cfRule>
    <cfRule type="cellIs" dxfId="3426" priority="601" stopIfTrue="1" operator="between">
      <formula>0</formula>
      <formula>5</formula>
    </cfRule>
    <cfRule type="containsBlanks" dxfId="3425" priority="602" stopIfTrue="1">
      <formula>LEN(TRIM(M86))=0</formula>
    </cfRule>
  </conditionalFormatting>
  <conditionalFormatting sqref="L86:L88">
    <cfRule type="containsBlanks" dxfId="3424" priority="589" stopIfTrue="1">
      <formula>LEN(TRIM(L86))=0</formula>
    </cfRule>
    <cfRule type="cellIs" dxfId="3423" priority="590" stopIfTrue="1" operator="between">
      <formula>79.1</formula>
      <formula>100</formula>
    </cfRule>
    <cfRule type="cellIs" dxfId="3422" priority="591" stopIfTrue="1" operator="between">
      <formula>34.1</formula>
      <formula>79</formula>
    </cfRule>
    <cfRule type="cellIs" dxfId="3421" priority="592" stopIfTrue="1" operator="between">
      <formula>13.1</formula>
      <formula>34</formula>
    </cfRule>
    <cfRule type="cellIs" dxfId="3420" priority="593" stopIfTrue="1" operator="between">
      <formula>5.1</formula>
      <formula>13</formula>
    </cfRule>
    <cfRule type="cellIs" dxfId="3419" priority="594" stopIfTrue="1" operator="between">
      <formula>0</formula>
      <formula>5</formula>
    </cfRule>
    <cfRule type="containsBlanks" dxfId="3418" priority="595" stopIfTrue="1">
      <formula>LEN(TRIM(L86))=0</formula>
    </cfRule>
  </conditionalFormatting>
  <conditionalFormatting sqref="K86:K88">
    <cfRule type="containsBlanks" dxfId="3417" priority="575" stopIfTrue="1">
      <formula>LEN(TRIM(K86))=0</formula>
    </cfRule>
    <cfRule type="cellIs" dxfId="3416" priority="576" stopIfTrue="1" operator="between">
      <formula>79.1</formula>
      <formula>100</formula>
    </cfRule>
    <cfRule type="cellIs" dxfId="3415" priority="577" stopIfTrue="1" operator="between">
      <formula>34.1</formula>
      <formula>79</formula>
    </cfRule>
    <cfRule type="cellIs" dxfId="3414" priority="578" stopIfTrue="1" operator="between">
      <formula>13.1</formula>
      <formula>34</formula>
    </cfRule>
    <cfRule type="cellIs" dxfId="3413" priority="579" stopIfTrue="1" operator="between">
      <formula>5.1</formula>
      <formula>13</formula>
    </cfRule>
    <cfRule type="cellIs" dxfId="3412" priority="580" stopIfTrue="1" operator="between">
      <formula>0</formula>
      <formula>5</formula>
    </cfRule>
    <cfRule type="containsBlanks" dxfId="3411" priority="581" stopIfTrue="1">
      <formula>LEN(TRIM(K86))=0</formula>
    </cfRule>
  </conditionalFormatting>
  <conditionalFormatting sqref="R12:R17 R19:R63 R65:R121 R123:R125">
    <cfRule type="cellIs" dxfId="3410" priority="539" stopIfTrue="1" operator="equal">
      <formula>"NO"</formula>
    </cfRule>
  </conditionalFormatting>
  <conditionalFormatting sqref="S124:S125">
    <cfRule type="cellIs" dxfId="3409" priority="540" stopIfTrue="1" operator="equal">
      <formula>"INVIABLE SANITARIAMENTE"</formula>
    </cfRule>
  </conditionalFormatting>
  <conditionalFormatting sqref="S124:S125">
    <cfRule type="containsText" dxfId="3408" priority="527" stopIfTrue="1" operator="containsText" text="INVIABLE SANITARIAMENTE">
      <formula>NOT(ISERROR(SEARCH("INVIABLE SANITARIAMENTE",S124)))</formula>
    </cfRule>
    <cfRule type="containsText" dxfId="3407" priority="528" stopIfTrue="1" operator="containsText" text="ALTO">
      <formula>NOT(ISERROR(SEARCH("ALTO",S124)))</formula>
    </cfRule>
    <cfRule type="containsText" dxfId="3406" priority="529" stopIfTrue="1" operator="containsText" text="MEDIO">
      <formula>NOT(ISERROR(SEARCH("MEDIO",S124)))</formula>
    </cfRule>
    <cfRule type="containsText" dxfId="3405" priority="530" stopIfTrue="1" operator="containsText" text="BAJO">
      <formula>NOT(ISERROR(SEARCH("BAJO",S124)))</formula>
    </cfRule>
    <cfRule type="containsText" dxfId="3404" priority="531" stopIfTrue="1" operator="containsText" text="SIN RIESGO">
      <formula>NOT(ISERROR(SEARCH("SIN RIESGO",S124)))</formula>
    </cfRule>
  </conditionalFormatting>
  <conditionalFormatting sqref="S124:S125">
    <cfRule type="containsText" dxfId="3403" priority="526" stopIfTrue="1" operator="containsText" text="SIN RIESGO">
      <formula>NOT(ISERROR(SEARCH("SIN RIESGO",S124)))</formula>
    </cfRule>
  </conditionalFormatting>
  <conditionalFormatting sqref="E13:P13">
    <cfRule type="containsBlanks" dxfId="3402" priority="519" stopIfTrue="1">
      <formula>LEN(TRIM(E13))=0</formula>
    </cfRule>
    <cfRule type="cellIs" dxfId="3401" priority="520" stopIfTrue="1" operator="between">
      <formula>80.1</formula>
      <formula>100</formula>
    </cfRule>
    <cfRule type="cellIs" dxfId="3400" priority="521" stopIfTrue="1" operator="between">
      <formula>35.1</formula>
      <formula>80</formula>
    </cfRule>
    <cfRule type="cellIs" dxfId="3399" priority="522" stopIfTrue="1" operator="between">
      <formula>14.1</formula>
      <formula>35</formula>
    </cfRule>
    <cfRule type="cellIs" dxfId="3398" priority="523" stopIfTrue="1" operator="between">
      <formula>5.1</formula>
      <formula>14</formula>
    </cfRule>
    <cfRule type="cellIs" dxfId="3397" priority="524" stopIfTrue="1" operator="between">
      <formula>0</formula>
      <formula>5</formula>
    </cfRule>
    <cfRule type="containsBlanks" dxfId="3396" priority="525" stopIfTrue="1">
      <formula>LEN(TRIM(E13))=0</formula>
    </cfRule>
  </conditionalFormatting>
  <conditionalFormatting sqref="E57:G57">
    <cfRule type="containsBlanks" dxfId="3395" priority="385" stopIfTrue="1">
      <formula>LEN(TRIM(E57))=0</formula>
    </cfRule>
    <cfRule type="cellIs" dxfId="3394" priority="386" stopIfTrue="1" operator="between">
      <formula>79.1</formula>
      <formula>100</formula>
    </cfRule>
    <cfRule type="cellIs" dxfId="3393" priority="387" stopIfTrue="1" operator="between">
      <formula>34.1</formula>
      <formula>79</formula>
    </cfRule>
    <cfRule type="cellIs" dxfId="3392" priority="388" stopIfTrue="1" operator="between">
      <formula>13.1</formula>
      <formula>34</formula>
    </cfRule>
    <cfRule type="cellIs" dxfId="3391" priority="389" stopIfTrue="1" operator="between">
      <formula>5.1</formula>
      <formula>13</formula>
    </cfRule>
    <cfRule type="cellIs" dxfId="3390" priority="390" stopIfTrue="1" operator="between">
      <formula>0</formula>
      <formula>5</formula>
    </cfRule>
    <cfRule type="containsBlanks" dxfId="3389" priority="391" stopIfTrue="1">
      <formula>LEN(TRIM(E57))=0</formula>
    </cfRule>
  </conditionalFormatting>
  <conditionalFormatting sqref="E24:H24">
    <cfRule type="containsBlanks" dxfId="3388" priority="483" stopIfTrue="1">
      <formula>LEN(TRIM(E24))=0</formula>
    </cfRule>
    <cfRule type="cellIs" dxfId="3387" priority="484" stopIfTrue="1" operator="between">
      <formula>79.1</formula>
      <formula>100</formula>
    </cfRule>
    <cfRule type="cellIs" dxfId="3386" priority="485" stopIfTrue="1" operator="between">
      <formula>34.1</formula>
      <formula>79</formula>
    </cfRule>
    <cfRule type="cellIs" dxfId="3385" priority="486" stopIfTrue="1" operator="between">
      <formula>13.1</formula>
      <formula>34</formula>
    </cfRule>
    <cfRule type="cellIs" dxfId="3384" priority="487" stopIfTrue="1" operator="between">
      <formula>5.1</formula>
      <formula>13</formula>
    </cfRule>
    <cfRule type="cellIs" dxfId="3383" priority="488" stopIfTrue="1" operator="between">
      <formula>0</formula>
      <formula>5</formula>
    </cfRule>
    <cfRule type="containsBlanks" dxfId="3382" priority="489" stopIfTrue="1">
      <formula>LEN(TRIM(E24))=0</formula>
    </cfRule>
  </conditionalFormatting>
  <conditionalFormatting sqref="I24">
    <cfRule type="containsBlanks" dxfId="3381" priority="476" stopIfTrue="1">
      <formula>LEN(TRIM(I24))=0</formula>
    </cfRule>
    <cfRule type="cellIs" dxfId="3380" priority="477" stopIfTrue="1" operator="between">
      <formula>79.1</formula>
      <formula>100</formula>
    </cfRule>
    <cfRule type="cellIs" dxfId="3379" priority="478" stopIfTrue="1" operator="between">
      <formula>34.1</formula>
      <formula>79</formula>
    </cfRule>
    <cfRule type="cellIs" dxfId="3378" priority="479" stopIfTrue="1" operator="between">
      <formula>13.1</formula>
      <formula>34</formula>
    </cfRule>
    <cfRule type="cellIs" dxfId="3377" priority="480" stopIfTrue="1" operator="between">
      <formula>5.1</formula>
      <formula>13</formula>
    </cfRule>
    <cfRule type="cellIs" dxfId="3376" priority="481" stopIfTrue="1" operator="between">
      <formula>0</formula>
      <formula>5</formula>
    </cfRule>
    <cfRule type="containsBlanks" dxfId="3375" priority="482" stopIfTrue="1">
      <formula>LEN(TRIM(I24))=0</formula>
    </cfRule>
  </conditionalFormatting>
  <conditionalFormatting sqref="E46:H46 K46 O46:P46">
    <cfRule type="containsBlanks" dxfId="3374" priority="469" stopIfTrue="1">
      <formula>LEN(TRIM(E46))=0</formula>
    </cfRule>
    <cfRule type="cellIs" dxfId="3373" priority="470" stopIfTrue="1" operator="between">
      <formula>79.1</formula>
      <formula>100</formula>
    </cfRule>
    <cfRule type="cellIs" dxfId="3372" priority="471" stopIfTrue="1" operator="between">
      <formula>34.1</formula>
      <formula>79</formula>
    </cfRule>
    <cfRule type="cellIs" dxfId="3371" priority="472" stopIfTrue="1" operator="between">
      <formula>13.1</formula>
      <formula>34</formula>
    </cfRule>
    <cfRule type="cellIs" dxfId="3370" priority="473" stopIfTrue="1" operator="between">
      <formula>5.1</formula>
      <formula>13</formula>
    </cfRule>
    <cfRule type="cellIs" dxfId="3369" priority="474" stopIfTrue="1" operator="between">
      <formula>0</formula>
      <formula>5</formula>
    </cfRule>
    <cfRule type="containsBlanks" dxfId="3368" priority="475" stopIfTrue="1">
      <formula>LEN(TRIM(E46))=0</formula>
    </cfRule>
  </conditionalFormatting>
  <conditionalFormatting sqref="I46:J46">
    <cfRule type="containsBlanks" dxfId="3367" priority="462" stopIfTrue="1">
      <formula>LEN(TRIM(I46))=0</formula>
    </cfRule>
    <cfRule type="cellIs" dxfId="3366" priority="463" stopIfTrue="1" operator="between">
      <formula>79.1</formula>
      <formula>100</formula>
    </cfRule>
    <cfRule type="cellIs" dxfId="3365" priority="464" stopIfTrue="1" operator="between">
      <formula>34.1</formula>
      <formula>79</formula>
    </cfRule>
    <cfRule type="cellIs" dxfId="3364" priority="465" stopIfTrue="1" operator="between">
      <formula>13.1</formula>
      <formula>34</formula>
    </cfRule>
    <cfRule type="cellIs" dxfId="3363" priority="466" stopIfTrue="1" operator="between">
      <formula>5.1</formula>
      <formula>13</formula>
    </cfRule>
    <cfRule type="cellIs" dxfId="3362" priority="467" stopIfTrue="1" operator="between">
      <formula>0</formula>
      <formula>5</formula>
    </cfRule>
    <cfRule type="containsBlanks" dxfId="3361" priority="468" stopIfTrue="1">
      <formula>LEN(TRIM(I46))=0</formula>
    </cfRule>
  </conditionalFormatting>
  <conditionalFormatting sqref="L46:N46">
    <cfRule type="containsBlanks" dxfId="3360" priority="455" stopIfTrue="1">
      <formula>LEN(TRIM(L46))=0</formula>
    </cfRule>
    <cfRule type="cellIs" dxfId="3359" priority="456" stopIfTrue="1" operator="between">
      <formula>79.1</formula>
      <formula>100</formula>
    </cfRule>
    <cfRule type="cellIs" dxfId="3358" priority="457" stopIfTrue="1" operator="between">
      <formula>34.1</formula>
      <formula>79</formula>
    </cfRule>
    <cfRule type="cellIs" dxfId="3357" priority="458" stopIfTrue="1" operator="between">
      <formula>13.1</formula>
      <formula>34</formula>
    </cfRule>
    <cfRule type="cellIs" dxfId="3356" priority="459" stopIfTrue="1" operator="between">
      <formula>5.1</formula>
      <formula>13</formula>
    </cfRule>
    <cfRule type="cellIs" dxfId="3355" priority="460" stopIfTrue="1" operator="between">
      <formula>0</formula>
      <formula>5</formula>
    </cfRule>
    <cfRule type="containsBlanks" dxfId="3354" priority="461" stopIfTrue="1">
      <formula>LEN(TRIM(L46))=0</formula>
    </cfRule>
  </conditionalFormatting>
  <conditionalFormatting sqref="E47:H47 K47 O47:P47">
    <cfRule type="containsBlanks" dxfId="3353" priority="448" stopIfTrue="1">
      <formula>LEN(TRIM(E47))=0</formula>
    </cfRule>
    <cfRule type="cellIs" dxfId="3352" priority="449" stopIfTrue="1" operator="between">
      <formula>79.1</formula>
      <formula>100</formula>
    </cfRule>
    <cfRule type="cellIs" dxfId="3351" priority="450" stopIfTrue="1" operator="between">
      <formula>34.1</formula>
      <formula>79</formula>
    </cfRule>
    <cfRule type="cellIs" dxfId="3350" priority="451" stopIfTrue="1" operator="between">
      <formula>13.1</formula>
      <formula>34</formula>
    </cfRule>
    <cfRule type="cellIs" dxfId="3349" priority="452" stopIfTrue="1" operator="between">
      <formula>5.1</formula>
      <formula>13</formula>
    </cfRule>
    <cfRule type="cellIs" dxfId="3348" priority="453" stopIfTrue="1" operator="between">
      <formula>0</formula>
      <formula>5</formula>
    </cfRule>
    <cfRule type="containsBlanks" dxfId="3347" priority="454" stopIfTrue="1">
      <formula>LEN(TRIM(E47))=0</formula>
    </cfRule>
  </conditionalFormatting>
  <conditionalFormatting sqref="I47:J47">
    <cfRule type="containsBlanks" dxfId="3346" priority="441" stopIfTrue="1">
      <formula>LEN(TRIM(I47))=0</formula>
    </cfRule>
    <cfRule type="cellIs" dxfId="3345" priority="442" stopIfTrue="1" operator="between">
      <formula>79.1</formula>
      <formula>100</formula>
    </cfRule>
    <cfRule type="cellIs" dxfId="3344" priority="443" stopIfTrue="1" operator="between">
      <formula>34.1</formula>
      <formula>79</formula>
    </cfRule>
    <cfRule type="cellIs" dxfId="3343" priority="444" stopIfTrue="1" operator="between">
      <formula>13.1</formula>
      <formula>34</formula>
    </cfRule>
    <cfRule type="cellIs" dxfId="3342" priority="445" stopIfTrue="1" operator="between">
      <formula>5.1</formula>
      <formula>13</formula>
    </cfRule>
    <cfRule type="cellIs" dxfId="3341" priority="446" stopIfTrue="1" operator="between">
      <formula>0</formula>
      <formula>5</formula>
    </cfRule>
    <cfRule type="containsBlanks" dxfId="3340" priority="447" stopIfTrue="1">
      <formula>LEN(TRIM(I47))=0</formula>
    </cfRule>
  </conditionalFormatting>
  <conditionalFormatting sqref="L47:N47">
    <cfRule type="containsBlanks" dxfId="3339" priority="434" stopIfTrue="1">
      <formula>LEN(TRIM(L47))=0</formula>
    </cfRule>
    <cfRule type="cellIs" dxfId="3338" priority="435" stopIfTrue="1" operator="between">
      <formula>79.1</formula>
      <formula>100</formula>
    </cfRule>
    <cfRule type="cellIs" dxfId="3337" priority="436" stopIfTrue="1" operator="between">
      <formula>34.1</formula>
      <formula>79</formula>
    </cfRule>
    <cfRule type="cellIs" dxfId="3336" priority="437" stopIfTrue="1" operator="between">
      <formula>13.1</formula>
      <formula>34</formula>
    </cfRule>
    <cfRule type="cellIs" dxfId="3335" priority="438" stopIfTrue="1" operator="between">
      <formula>5.1</formula>
      <formula>13</formula>
    </cfRule>
    <cfRule type="cellIs" dxfId="3334" priority="439" stopIfTrue="1" operator="between">
      <formula>0</formula>
      <formula>5</formula>
    </cfRule>
    <cfRule type="containsBlanks" dxfId="3333" priority="440" stopIfTrue="1">
      <formula>LEN(TRIM(L47))=0</formula>
    </cfRule>
  </conditionalFormatting>
  <conditionalFormatting sqref="E37:P37">
    <cfRule type="containsBlanks" dxfId="3332" priority="427" stopIfTrue="1">
      <formula>LEN(TRIM(E37))=0</formula>
    </cfRule>
    <cfRule type="cellIs" dxfId="3331" priority="428" stopIfTrue="1" operator="between">
      <formula>79.1</formula>
      <formula>100</formula>
    </cfRule>
    <cfRule type="cellIs" dxfId="3330" priority="429" stopIfTrue="1" operator="between">
      <formula>34.1</formula>
      <formula>79</formula>
    </cfRule>
    <cfRule type="cellIs" dxfId="3329" priority="430" stopIfTrue="1" operator="between">
      <formula>13.1</formula>
      <formula>34</formula>
    </cfRule>
    <cfRule type="cellIs" dxfId="3328" priority="431" stopIfTrue="1" operator="between">
      <formula>5.1</formula>
      <formula>13</formula>
    </cfRule>
    <cfRule type="cellIs" dxfId="3327" priority="432" stopIfTrue="1" operator="between">
      <formula>0</formula>
      <formula>5</formula>
    </cfRule>
    <cfRule type="containsBlanks" dxfId="3326" priority="433" stopIfTrue="1">
      <formula>LEN(TRIM(E37))=0</formula>
    </cfRule>
  </conditionalFormatting>
  <conditionalFormatting sqref="E34:H34">
    <cfRule type="containsBlanks" dxfId="3325" priority="420" stopIfTrue="1">
      <formula>LEN(TRIM(E34))=0</formula>
    </cfRule>
    <cfRule type="cellIs" dxfId="3324" priority="421" stopIfTrue="1" operator="between">
      <formula>79.1</formula>
      <formula>100</formula>
    </cfRule>
    <cfRule type="cellIs" dxfId="3323" priority="422" stopIfTrue="1" operator="between">
      <formula>34.1</formula>
      <formula>79</formula>
    </cfRule>
    <cfRule type="cellIs" dxfId="3322" priority="423" stopIfTrue="1" operator="between">
      <formula>13.1</formula>
      <formula>34</formula>
    </cfRule>
    <cfRule type="cellIs" dxfId="3321" priority="424" stopIfTrue="1" operator="between">
      <formula>5.1</formula>
      <formula>13</formula>
    </cfRule>
    <cfRule type="cellIs" dxfId="3320" priority="425" stopIfTrue="1" operator="between">
      <formula>0</formula>
      <formula>5</formula>
    </cfRule>
    <cfRule type="containsBlanks" dxfId="3319" priority="426" stopIfTrue="1">
      <formula>LEN(TRIM(E34))=0</formula>
    </cfRule>
  </conditionalFormatting>
  <conditionalFormatting sqref="E33:J33">
    <cfRule type="containsBlanks" dxfId="3318" priority="413" stopIfTrue="1">
      <formula>LEN(TRIM(E33))=0</formula>
    </cfRule>
    <cfRule type="cellIs" dxfId="3317" priority="414" stopIfTrue="1" operator="between">
      <formula>79.1</formula>
      <formula>100</formula>
    </cfRule>
    <cfRule type="cellIs" dxfId="3316" priority="415" stopIfTrue="1" operator="between">
      <formula>34.1</formula>
      <formula>79</formula>
    </cfRule>
    <cfRule type="cellIs" dxfId="3315" priority="416" stopIfTrue="1" operator="between">
      <formula>13.1</formula>
      <formula>34</formula>
    </cfRule>
    <cfRule type="cellIs" dxfId="3314" priority="417" stopIfTrue="1" operator="between">
      <formula>5.1</formula>
      <formula>13</formula>
    </cfRule>
    <cfRule type="cellIs" dxfId="3313" priority="418" stopIfTrue="1" operator="between">
      <formula>0</formula>
      <formula>5</formula>
    </cfRule>
    <cfRule type="containsBlanks" dxfId="3312" priority="419" stopIfTrue="1">
      <formula>LEN(TRIM(E33))=0</formula>
    </cfRule>
  </conditionalFormatting>
  <conditionalFormatting sqref="E36:J36">
    <cfRule type="containsBlanks" dxfId="3311" priority="406" stopIfTrue="1">
      <formula>LEN(TRIM(E36))=0</formula>
    </cfRule>
    <cfRule type="cellIs" dxfId="3310" priority="407" stopIfTrue="1" operator="between">
      <formula>79.1</formula>
      <formula>100</formula>
    </cfRule>
    <cfRule type="cellIs" dxfId="3309" priority="408" stopIfTrue="1" operator="between">
      <formula>34.1</formula>
      <formula>79</formula>
    </cfRule>
    <cfRule type="cellIs" dxfId="3308" priority="409" stopIfTrue="1" operator="between">
      <formula>13.1</formula>
      <formula>34</formula>
    </cfRule>
    <cfRule type="cellIs" dxfId="3307" priority="410" stopIfTrue="1" operator="between">
      <formula>5.1</formula>
      <formula>13</formula>
    </cfRule>
    <cfRule type="cellIs" dxfId="3306" priority="411" stopIfTrue="1" operator="between">
      <formula>0</formula>
      <formula>5</formula>
    </cfRule>
    <cfRule type="containsBlanks" dxfId="3305" priority="412" stopIfTrue="1">
      <formula>LEN(TRIM(E36))=0</formula>
    </cfRule>
  </conditionalFormatting>
  <conditionalFormatting sqref="E35:F35">
    <cfRule type="containsBlanks" dxfId="3304" priority="399" stopIfTrue="1">
      <formula>LEN(TRIM(E35))=0</formula>
    </cfRule>
    <cfRule type="cellIs" dxfId="3303" priority="400" stopIfTrue="1" operator="between">
      <formula>79.1</formula>
      <formula>100</formula>
    </cfRule>
    <cfRule type="cellIs" dxfId="3302" priority="401" stopIfTrue="1" operator="between">
      <formula>34.1</formula>
      <formula>79</formula>
    </cfRule>
    <cfRule type="cellIs" dxfId="3301" priority="402" stopIfTrue="1" operator="between">
      <formula>13.1</formula>
      <formula>34</formula>
    </cfRule>
    <cfRule type="cellIs" dxfId="3300" priority="403" stopIfTrue="1" operator="between">
      <formula>5.1</formula>
      <formula>13</formula>
    </cfRule>
    <cfRule type="cellIs" dxfId="3299" priority="404" stopIfTrue="1" operator="between">
      <formula>0</formula>
      <formula>5</formula>
    </cfRule>
    <cfRule type="containsBlanks" dxfId="3298" priority="405" stopIfTrue="1">
      <formula>LEN(TRIM(E35))=0</formula>
    </cfRule>
  </conditionalFormatting>
  <conditionalFormatting sqref="E42:F42">
    <cfRule type="containsBlanks" dxfId="3297" priority="392" stopIfTrue="1">
      <formula>LEN(TRIM(E42))=0</formula>
    </cfRule>
    <cfRule type="cellIs" dxfId="3296" priority="393" stopIfTrue="1" operator="between">
      <formula>79.1</formula>
      <formula>100</formula>
    </cfRule>
    <cfRule type="cellIs" dxfId="3295" priority="394" stopIfTrue="1" operator="between">
      <formula>34.1</formula>
      <formula>79</formula>
    </cfRule>
    <cfRule type="cellIs" dxfId="3294" priority="395" stopIfTrue="1" operator="between">
      <formula>13.1</formula>
      <formula>34</formula>
    </cfRule>
    <cfRule type="cellIs" dxfId="3293" priority="396" stopIfTrue="1" operator="between">
      <formula>5.1</formula>
      <formula>13</formula>
    </cfRule>
    <cfRule type="cellIs" dxfId="3292" priority="397" stopIfTrue="1" operator="between">
      <formula>0</formula>
      <formula>5</formula>
    </cfRule>
    <cfRule type="containsBlanks" dxfId="3291" priority="398" stopIfTrue="1">
      <formula>LEN(TRIM(E42))=0</formula>
    </cfRule>
  </conditionalFormatting>
  <conditionalFormatting sqref="E30:H30 J30">
    <cfRule type="containsBlanks" dxfId="3290" priority="378" stopIfTrue="1">
      <formula>LEN(TRIM(E30))=0</formula>
    </cfRule>
    <cfRule type="cellIs" dxfId="3289" priority="379" stopIfTrue="1" operator="between">
      <formula>79.1</formula>
      <formula>100</formula>
    </cfRule>
    <cfRule type="cellIs" dxfId="3288" priority="380" stopIfTrue="1" operator="between">
      <formula>34.1</formula>
      <formula>79</formula>
    </cfRule>
    <cfRule type="cellIs" dxfId="3287" priority="381" stopIfTrue="1" operator="between">
      <formula>13.1</formula>
      <formula>34</formula>
    </cfRule>
    <cfRule type="cellIs" dxfId="3286" priority="382" stopIfTrue="1" operator="between">
      <formula>5.1</formula>
      <formula>13</formula>
    </cfRule>
    <cfRule type="cellIs" dxfId="3285" priority="383" stopIfTrue="1" operator="between">
      <formula>0</formula>
      <formula>5</formula>
    </cfRule>
    <cfRule type="containsBlanks" dxfId="3284" priority="384" stopIfTrue="1">
      <formula>LEN(TRIM(E30))=0</formula>
    </cfRule>
  </conditionalFormatting>
  <conditionalFormatting sqref="I30">
    <cfRule type="containsBlanks" dxfId="3283" priority="371" stopIfTrue="1">
      <formula>LEN(TRIM(I30))=0</formula>
    </cfRule>
    <cfRule type="cellIs" dxfId="3282" priority="372" stopIfTrue="1" operator="between">
      <formula>79.1</formula>
      <formula>100</formula>
    </cfRule>
    <cfRule type="cellIs" dxfId="3281" priority="373" stopIfTrue="1" operator="between">
      <formula>34.1</formula>
      <formula>79</formula>
    </cfRule>
    <cfRule type="cellIs" dxfId="3280" priority="374" stopIfTrue="1" operator="between">
      <formula>13.1</formula>
      <formula>34</formula>
    </cfRule>
    <cfRule type="cellIs" dxfId="3279" priority="375" stopIfTrue="1" operator="between">
      <formula>5.1</formula>
      <formula>13</formula>
    </cfRule>
    <cfRule type="cellIs" dxfId="3278" priority="376" stopIfTrue="1" operator="between">
      <formula>0</formula>
      <formula>5</formula>
    </cfRule>
    <cfRule type="containsBlanks" dxfId="3277" priority="377" stopIfTrue="1">
      <formula>LEN(TRIM(I30))=0</formula>
    </cfRule>
  </conditionalFormatting>
  <conditionalFormatting sqref="E39:H39 J39:M39">
    <cfRule type="containsBlanks" dxfId="3276" priority="364" stopIfTrue="1">
      <formula>LEN(TRIM(E39))=0</formula>
    </cfRule>
    <cfRule type="cellIs" dxfId="3275" priority="365" stopIfTrue="1" operator="between">
      <formula>79.1</formula>
      <formula>100</formula>
    </cfRule>
    <cfRule type="cellIs" dxfId="3274" priority="366" stopIfTrue="1" operator="between">
      <formula>34.1</formula>
      <formula>79</formula>
    </cfRule>
    <cfRule type="cellIs" dxfId="3273" priority="367" stopIfTrue="1" operator="between">
      <formula>13.1</formula>
      <formula>34</formula>
    </cfRule>
    <cfRule type="cellIs" dxfId="3272" priority="368" stopIfTrue="1" operator="between">
      <formula>5.1</formula>
      <formula>13</formula>
    </cfRule>
    <cfRule type="cellIs" dxfId="3271" priority="369" stopIfTrue="1" operator="between">
      <formula>0</formula>
      <formula>5</formula>
    </cfRule>
    <cfRule type="containsBlanks" dxfId="3270" priority="370" stopIfTrue="1">
      <formula>LEN(TRIM(E39))=0</formula>
    </cfRule>
  </conditionalFormatting>
  <conditionalFormatting sqref="I39">
    <cfRule type="containsBlanks" dxfId="3269" priority="357" stopIfTrue="1">
      <formula>LEN(TRIM(I39))=0</formula>
    </cfRule>
    <cfRule type="cellIs" dxfId="3268" priority="358" stopIfTrue="1" operator="between">
      <formula>79.1</formula>
      <formula>100</formula>
    </cfRule>
    <cfRule type="cellIs" dxfId="3267" priority="359" stopIfTrue="1" operator="between">
      <formula>34.1</formula>
      <formula>79</formula>
    </cfRule>
    <cfRule type="cellIs" dxfId="3266" priority="360" stopIfTrue="1" operator="between">
      <formula>13.1</formula>
      <formula>34</formula>
    </cfRule>
    <cfRule type="cellIs" dxfId="3265" priority="361" stopIfTrue="1" operator="between">
      <formula>5.1</formula>
      <formula>13</formula>
    </cfRule>
    <cfRule type="cellIs" dxfId="3264" priority="362" stopIfTrue="1" operator="between">
      <formula>0</formula>
      <formula>5</formula>
    </cfRule>
    <cfRule type="containsBlanks" dxfId="3263" priority="363" stopIfTrue="1">
      <formula>LEN(TRIM(I39))=0</formula>
    </cfRule>
  </conditionalFormatting>
  <conditionalFormatting sqref="E29:L29 N29">
    <cfRule type="containsBlanks" dxfId="3262" priority="350" stopIfTrue="1">
      <formula>LEN(TRIM(E29))=0</formula>
    </cfRule>
    <cfRule type="cellIs" dxfId="3261" priority="351" stopIfTrue="1" operator="between">
      <formula>79.1</formula>
      <formula>100</formula>
    </cfRule>
    <cfRule type="cellIs" dxfId="3260" priority="352" stopIfTrue="1" operator="between">
      <formula>34.1</formula>
      <formula>79</formula>
    </cfRule>
    <cfRule type="cellIs" dxfId="3259" priority="353" stopIfTrue="1" operator="between">
      <formula>13.1</formula>
      <formula>34</formula>
    </cfRule>
    <cfRule type="cellIs" dxfId="3258" priority="354" stopIfTrue="1" operator="between">
      <formula>5.1</formula>
      <formula>13</formula>
    </cfRule>
    <cfRule type="cellIs" dxfId="3257" priority="355" stopIfTrue="1" operator="between">
      <formula>0</formula>
      <formula>5</formula>
    </cfRule>
    <cfRule type="containsBlanks" dxfId="3256" priority="356" stopIfTrue="1">
      <formula>LEN(TRIM(E29))=0</formula>
    </cfRule>
  </conditionalFormatting>
  <conditionalFormatting sqref="M29">
    <cfRule type="containsBlanks" dxfId="3255" priority="343" stopIfTrue="1">
      <formula>LEN(TRIM(M29))=0</formula>
    </cfRule>
    <cfRule type="cellIs" dxfId="3254" priority="344" stopIfTrue="1" operator="between">
      <formula>79.1</formula>
      <formula>100</formula>
    </cfRule>
    <cfRule type="cellIs" dxfId="3253" priority="345" stopIfTrue="1" operator="between">
      <formula>34.1</formula>
      <formula>79</formula>
    </cfRule>
    <cfRule type="cellIs" dxfId="3252" priority="346" stopIfTrue="1" operator="between">
      <formula>13.1</formula>
      <formula>34</formula>
    </cfRule>
    <cfRule type="cellIs" dxfId="3251" priority="347" stopIfTrue="1" operator="between">
      <formula>5.1</formula>
      <formula>13</formula>
    </cfRule>
    <cfRule type="cellIs" dxfId="3250" priority="348" stopIfTrue="1" operator="between">
      <formula>0</formula>
      <formula>5</formula>
    </cfRule>
    <cfRule type="containsBlanks" dxfId="3249" priority="349" stopIfTrue="1">
      <formula>LEN(TRIM(M29))=0</formula>
    </cfRule>
  </conditionalFormatting>
  <conditionalFormatting sqref="E38:L38">
    <cfRule type="containsBlanks" dxfId="3248" priority="336" stopIfTrue="1">
      <formula>LEN(TRIM(E38))=0</formula>
    </cfRule>
    <cfRule type="cellIs" dxfId="3247" priority="337" stopIfTrue="1" operator="between">
      <formula>79.1</formula>
      <formula>100</formula>
    </cfRule>
    <cfRule type="cellIs" dxfId="3246" priority="338" stopIfTrue="1" operator="between">
      <formula>34.1</formula>
      <formula>79</formula>
    </cfRule>
    <cfRule type="cellIs" dxfId="3245" priority="339" stopIfTrue="1" operator="between">
      <formula>13.1</formula>
      <formula>34</formula>
    </cfRule>
    <cfRule type="cellIs" dxfId="3244" priority="340" stopIfTrue="1" operator="between">
      <formula>5.1</formula>
      <formula>13</formula>
    </cfRule>
    <cfRule type="cellIs" dxfId="3243" priority="341" stopIfTrue="1" operator="between">
      <formula>0</formula>
      <formula>5</formula>
    </cfRule>
    <cfRule type="containsBlanks" dxfId="3242" priority="342" stopIfTrue="1">
      <formula>LEN(TRIM(E38))=0</formula>
    </cfRule>
  </conditionalFormatting>
  <conditionalFormatting sqref="E28:G28">
    <cfRule type="containsBlanks" dxfId="3241" priority="329" stopIfTrue="1">
      <formula>LEN(TRIM(E28))=0</formula>
    </cfRule>
    <cfRule type="cellIs" dxfId="3240" priority="330" stopIfTrue="1" operator="between">
      <formula>79.1</formula>
      <formula>100</formula>
    </cfRule>
    <cfRule type="cellIs" dxfId="3239" priority="331" stopIfTrue="1" operator="between">
      <formula>34.1</formula>
      <formula>79</formula>
    </cfRule>
    <cfRule type="cellIs" dxfId="3238" priority="332" stopIfTrue="1" operator="between">
      <formula>13.1</formula>
      <formula>34</formula>
    </cfRule>
    <cfRule type="cellIs" dxfId="3237" priority="333" stopIfTrue="1" operator="between">
      <formula>5.1</formula>
      <formula>13</formula>
    </cfRule>
    <cfRule type="cellIs" dxfId="3236" priority="334" stopIfTrue="1" operator="between">
      <formula>0</formula>
      <formula>5</formula>
    </cfRule>
    <cfRule type="containsBlanks" dxfId="3235" priority="335" stopIfTrue="1">
      <formula>LEN(TRIM(E28))=0</formula>
    </cfRule>
  </conditionalFormatting>
  <conditionalFormatting sqref="E40:H40">
    <cfRule type="containsBlanks" dxfId="3234" priority="322" stopIfTrue="1">
      <formula>LEN(TRIM(E40))=0</formula>
    </cfRule>
    <cfRule type="cellIs" dxfId="3233" priority="323" stopIfTrue="1" operator="between">
      <formula>79.1</formula>
      <formula>100</formula>
    </cfRule>
    <cfRule type="cellIs" dxfId="3232" priority="324" stopIfTrue="1" operator="between">
      <formula>34.1</formula>
      <formula>79</formula>
    </cfRule>
    <cfRule type="cellIs" dxfId="3231" priority="325" stopIfTrue="1" operator="between">
      <formula>13.1</formula>
      <formula>34</formula>
    </cfRule>
    <cfRule type="cellIs" dxfId="3230" priority="326" stopIfTrue="1" operator="between">
      <formula>5.1</formula>
      <formula>13</formula>
    </cfRule>
    <cfRule type="cellIs" dxfId="3229" priority="327" stopIfTrue="1" operator="between">
      <formula>0</formula>
      <formula>5</formula>
    </cfRule>
    <cfRule type="containsBlanks" dxfId="3228" priority="328" stopIfTrue="1">
      <formula>LEN(TRIM(E40))=0</formula>
    </cfRule>
  </conditionalFormatting>
  <conditionalFormatting sqref="I40">
    <cfRule type="containsBlanks" dxfId="3227" priority="315" stopIfTrue="1">
      <formula>LEN(TRIM(I40))=0</formula>
    </cfRule>
    <cfRule type="cellIs" dxfId="3226" priority="316" stopIfTrue="1" operator="between">
      <formula>79.1</formula>
      <formula>100</formula>
    </cfRule>
    <cfRule type="cellIs" dxfId="3225" priority="317" stopIfTrue="1" operator="between">
      <formula>34.1</formula>
      <formula>79</formula>
    </cfRule>
    <cfRule type="cellIs" dxfId="3224" priority="318" stopIfTrue="1" operator="between">
      <formula>13.1</formula>
      <formula>34</formula>
    </cfRule>
    <cfRule type="cellIs" dxfId="3223" priority="319" stopIfTrue="1" operator="between">
      <formula>5.1</formula>
      <formula>13</formula>
    </cfRule>
    <cfRule type="cellIs" dxfId="3222" priority="320" stopIfTrue="1" operator="between">
      <formula>0</formula>
      <formula>5</formula>
    </cfRule>
    <cfRule type="containsBlanks" dxfId="3221" priority="321" stopIfTrue="1">
      <formula>LEN(TRIM(I40))=0</formula>
    </cfRule>
  </conditionalFormatting>
  <conditionalFormatting sqref="E41:H41 J41:N41">
    <cfRule type="containsBlanks" dxfId="3220" priority="308" stopIfTrue="1">
      <formula>LEN(TRIM(E41))=0</formula>
    </cfRule>
    <cfRule type="cellIs" dxfId="3219" priority="309" stopIfTrue="1" operator="between">
      <formula>79.1</formula>
      <formula>100</formula>
    </cfRule>
    <cfRule type="cellIs" dxfId="3218" priority="310" stopIfTrue="1" operator="between">
      <formula>34.1</formula>
      <formula>79</formula>
    </cfRule>
    <cfRule type="cellIs" dxfId="3217" priority="311" stopIfTrue="1" operator="between">
      <formula>13.1</formula>
      <formula>34</formula>
    </cfRule>
    <cfRule type="cellIs" dxfId="3216" priority="312" stopIfTrue="1" operator="between">
      <formula>5.1</formula>
      <formula>13</formula>
    </cfRule>
    <cfRule type="cellIs" dxfId="3215" priority="313" stopIfTrue="1" operator="between">
      <formula>0</formula>
      <formula>5</formula>
    </cfRule>
    <cfRule type="containsBlanks" dxfId="3214" priority="314" stopIfTrue="1">
      <formula>LEN(TRIM(E41))=0</formula>
    </cfRule>
  </conditionalFormatting>
  <conditionalFormatting sqref="I41">
    <cfRule type="containsBlanks" dxfId="3213" priority="301" stopIfTrue="1">
      <formula>LEN(TRIM(I41))=0</formula>
    </cfRule>
    <cfRule type="cellIs" dxfId="3212" priority="302" stopIfTrue="1" operator="between">
      <formula>79.1</formula>
      <formula>100</formula>
    </cfRule>
    <cfRule type="cellIs" dxfId="3211" priority="303" stopIfTrue="1" operator="between">
      <formula>34.1</formula>
      <formula>79</formula>
    </cfRule>
    <cfRule type="cellIs" dxfId="3210" priority="304" stopIfTrue="1" operator="between">
      <formula>13.1</formula>
      <formula>34</formula>
    </cfRule>
    <cfRule type="cellIs" dxfId="3209" priority="305" stopIfTrue="1" operator="between">
      <formula>5.1</formula>
      <formula>13</formula>
    </cfRule>
    <cfRule type="cellIs" dxfId="3208" priority="306" stopIfTrue="1" operator="between">
      <formula>0</formula>
      <formula>5</formula>
    </cfRule>
    <cfRule type="containsBlanks" dxfId="3207" priority="307" stopIfTrue="1">
      <formula>LEN(TRIM(I41))=0</formula>
    </cfRule>
  </conditionalFormatting>
  <conditionalFormatting sqref="E27:F27">
    <cfRule type="containsBlanks" dxfId="3206" priority="294" stopIfTrue="1">
      <formula>LEN(TRIM(E27))=0</formula>
    </cfRule>
    <cfRule type="cellIs" dxfId="3205" priority="295" stopIfTrue="1" operator="between">
      <formula>79.1</formula>
      <formula>100</formula>
    </cfRule>
    <cfRule type="cellIs" dxfId="3204" priority="296" stopIfTrue="1" operator="between">
      <formula>34.1</formula>
      <formula>79</formula>
    </cfRule>
    <cfRule type="cellIs" dxfId="3203" priority="297" stopIfTrue="1" operator="between">
      <formula>13.1</formula>
      <formula>34</formula>
    </cfRule>
    <cfRule type="cellIs" dxfId="3202" priority="298" stopIfTrue="1" operator="between">
      <formula>5.1</formula>
      <formula>13</formula>
    </cfRule>
    <cfRule type="cellIs" dxfId="3201" priority="299" stopIfTrue="1" operator="between">
      <formula>0</formula>
      <formula>5</formula>
    </cfRule>
    <cfRule type="containsBlanks" dxfId="3200" priority="300" stopIfTrue="1">
      <formula>LEN(TRIM(E27))=0</formula>
    </cfRule>
  </conditionalFormatting>
  <conditionalFormatting sqref="E51:H51">
    <cfRule type="containsBlanks" dxfId="3199" priority="287" stopIfTrue="1">
      <formula>LEN(TRIM(E51))=0</formula>
    </cfRule>
    <cfRule type="cellIs" dxfId="3198" priority="288" stopIfTrue="1" operator="between">
      <formula>79.1</formula>
      <formula>100</formula>
    </cfRule>
    <cfRule type="cellIs" dxfId="3197" priority="289" stopIfTrue="1" operator="between">
      <formula>34.1</formula>
      <formula>79</formula>
    </cfRule>
    <cfRule type="cellIs" dxfId="3196" priority="290" stopIfTrue="1" operator="between">
      <formula>13.1</formula>
      <formula>34</formula>
    </cfRule>
    <cfRule type="cellIs" dxfId="3195" priority="291" stopIfTrue="1" operator="between">
      <formula>5.1</formula>
      <formula>13</formula>
    </cfRule>
    <cfRule type="cellIs" dxfId="3194" priority="292" stopIfTrue="1" operator="between">
      <formula>0</formula>
      <formula>5</formula>
    </cfRule>
    <cfRule type="containsBlanks" dxfId="3193" priority="293" stopIfTrue="1">
      <formula>LEN(TRIM(E51))=0</formula>
    </cfRule>
  </conditionalFormatting>
  <conditionalFormatting sqref="E26:H26 J26">
    <cfRule type="containsBlanks" dxfId="3192" priority="280" stopIfTrue="1">
      <formula>LEN(TRIM(E26))=0</formula>
    </cfRule>
    <cfRule type="cellIs" dxfId="3191" priority="281" stopIfTrue="1" operator="between">
      <formula>79.1</formula>
      <formula>100</formula>
    </cfRule>
    <cfRule type="cellIs" dxfId="3190" priority="282" stopIfTrue="1" operator="between">
      <formula>34.1</formula>
      <formula>79</formula>
    </cfRule>
    <cfRule type="cellIs" dxfId="3189" priority="283" stopIfTrue="1" operator="between">
      <formula>13.1</formula>
      <formula>34</formula>
    </cfRule>
    <cfRule type="cellIs" dxfId="3188" priority="284" stopIfTrue="1" operator="between">
      <formula>5.1</formula>
      <formula>13</formula>
    </cfRule>
    <cfRule type="cellIs" dxfId="3187" priority="285" stopIfTrue="1" operator="between">
      <formula>0</formula>
      <formula>5</formula>
    </cfRule>
    <cfRule type="containsBlanks" dxfId="3186" priority="286" stopIfTrue="1">
      <formula>LEN(TRIM(E26))=0</formula>
    </cfRule>
  </conditionalFormatting>
  <conditionalFormatting sqref="I26">
    <cfRule type="containsBlanks" dxfId="3185" priority="273" stopIfTrue="1">
      <formula>LEN(TRIM(I26))=0</formula>
    </cfRule>
    <cfRule type="cellIs" dxfId="3184" priority="274" stopIfTrue="1" operator="between">
      <formula>79.1</formula>
      <formula>100</formula>
    </cfRule>
    <cfRule type="cellIs" dxfId="3183" priority="275" stopIfTrue="1" operator="between">
      <formula>34.1</formula>
      <formula>79</formula>
    </cfRule>
    <cfRule type="cellIs" dxfId="3182" priority="276" stopIfTrue="1" operator="between">
      <formula>13.1</formula>
      <formula>34</formula>
    </cfRule>
    <cfRule type="cellIs" dxfId="3181" priority="277" stopIfTrue="1" operator="between">
      <formula>5.1</formula>
      <formula>13</formula>
    </cfRule>
    <cfRule type="cellIs" dxfId="3180" priority="278" stopIfTrue="1" operator="between">
      <formula>0</formula>
      <formula>5</formula>
    </cfRule>
    <cfRule type="containsBlanks" dxfId="3179" priority="279" stopIfTrue="1">
      <formula>LEN(TRIM(I26))=0</formula>
    </cfRule>
  </conditionalFormatting>
  <conditionalFormatting sqref="E50:F50">
    <cfRule type="containsBlanks" dxfId="3178" priority="266" stopIfTrue="1">
      <formula>LEN(TRIM(E50))=0</formula>
    </cfRule>
    <cfRule type="cellIs" dxfId="3177" priority="267" stopIfTrue="1" operator="between">
      <formula>79.1</formula>
      <formula>100</formula>
    </cfRule>
    <cfRule type="cellIs" dxfId="3176" priority="268" stopIfTrue="1" operator="between">
      <formula>34.1</formula>
      <formula>79</formula>
    </cfRule>
    <cfRule type="cellIs" dxfId="3175" priority="269" stopIfTrue="1" operator="between">
      <formula>13.1</formula>
      <formula>34</formula>
    </cfRule>
    <cfRule type="cellIs" dxfId="3174" priority="270" stopIfTrue="1" operator="between">
      <formula>5.1</formula>
      <formula>13</formula>
    </cfRule>
    <cfRule type="cellIs" dxfId="3173" priority="271" stopIfTrue="1" operator="between">
      <formula>0</formula>
      <formula>5</formula>
    </cfRule>
    <cfRule type="containsBlanks" dxfId="3172" priority="272" stopIfTrue="1">
      <formula>LEN(TRIM(E50))=0</formula>
    </cfRule>
  </conditionalFormatting>
  <conditionalFormatting sqref="E25:H25 J25:K25">
    <cfRule type="containsBlanks" dxfId="3171" priority="259" stopIfTrue="1">
      <formula>LEN(TRIM(E25))=0</formula>
    </cfRule>
    <cfRule type="cellIs" dxfId="3170" priority="260" stopIfTrue="1" operator="between">
      <formula>79.1</formula>
      <formula>100</formula>
    </cfRule>
    <cfRule type="cellIs" dxfId="3169" priority="261" stopIfTrue="1" operator="between">
      <formula>34.1</formula>
      <formula>79</formula>
    </cfRule>
    <cfRule type="cellIs" dxfId="3168" priority="262" stopIfTrue="1" operator="between">
      <formula>13.1</formula>
      <formula>34</formula>
    </cfRule>
    <cfRule type="cellIs" dxfId="3167" priority="263" stopIfTrue="1" operator="between">
      <formula>5.1</formula>
      <formula>13</formula>
    </cfRule>
    <cfRule type="cellIs" dxfId="3166" priority="264" stopIfTrue="1" operator="between">
      <formula>0</formula>
      <formula>5</formula>
    </cfRule>
    <cfRule type="containsBlanks" dxfId="3165" priority="265" stopIfTrue="1">
      <formula>LEN(TRIM(E25))=0</formula>
    </cfRule>
  </conditionalFormatting>
  <conditionalFormatting sqref="I25">
    <cfRule type="containsBlanks" dxfId="3164" priority="252" stopIfTrue="1">
      <formula>LEN(TRIM(I25))=0</formula>
    </cfRule>
    <cfRule type="cellIs" dxfId="3163" priority="253" stopIfTrue="1" operator="between">
      <formula>79.1</formula>
      <formula>100</formula>
    </cfRule>
    <cfRule type="cellIs" dxfId="3162" priority="254" stopIfTrue="1" operator="between">
      <formula>34.1</formula>
      <formula>79</formula>
    </cfRule>
    <cfRule type="cellIs" dxfId="3161" priority="255" stopIfTrue="1" operator="between">
      <formula>13.1</formula>
      <formula>34</formula>
    </cfRule>
    <cfRule type="cellIs" dxfId="3160" priority="256" stopIfTrue="1" operator="between">
      <formula>5.1</formula>
      <formula>13</formula>
    </cfRule>
    <cfRule type="cellIs" dxfId="3159" priority="257" stopIfTrue="1" operator="between">
      <formula>0</formula>
      <formula>5</formula>
    </cfRule>
    <cfRule type="containsBlanks" dxfId="3158" priority="258" stopIfTrue="1">
      <formula>LEN(TRIM(I25))=0</formula>
    </cfRule>
  </conditionalFormatting>
  <conditionalFormatting sqref="E58:N58">
    <cfRule type="containsBlanks" dxfId="3157" priority="245" stopIfTrue="1">
      <formula>LEN(TRIM(E58))=0</formula>
    </cfRule>
    <cfRule type="cellIs" dxfId="3156" priority="246" stopIfTrue="1" operator="between">
      <formula>79.1</formula>
      <formula>100</formula>
    </cfRule>
    <cfRule type="cellIs" dxfId="3155" priority="247" stopIfTrue="1" operator="between">
      <formula>34.1</formula>
      <formula>79</formula>
    </cfRule>
    <cfRule type="cellIs" dxfId="3154" priority="248" stopIfTrue="1" operator="between">
      <formula>13.1</formula>
      <formula>34</formula>
    </cfRule>
    <cfRule type="cellIs" dxfId="3153" priority="249" stopIfTrue="1" operator="between">
      <formula>5.1</formula>
      <formula>13</formula>
    </cfRule>
    <cfRule type="cellIs" dxfId="3152" priority="250" stopIfTrue="1" operator="between">
      <formula>0</formula>
      <formula>5</formula>
    </cfRule>
    <cfRule type="containsBlanks" dxfId="3151" priority="251" stopIfTrue="1">
      <formula>LEN(TRIM(E58))=0</formula>
    </cfRule>
  </conditionalFormatting>
  <conditionalFormatting sqref="E59:P63">
    <cfRule type="containsBlanks" dxfId="3150" priority="238" stopIfTrue="1">
      <formula>LEN(TRIM(E59))=0</formula>
    </cfRule>
    <cfRule type="cellIs" dxfId="3149" priority="239" stopIfTrue="1" operator="between">
      <formula>79.1</formula>
      <formula>100</formula>
    </cfRule>
    <cfRule type="cellIs" dxfId="3148" priority="240" stopIfTrue="1" operator="between">
      <formula>34.1</formula>
      <formula>79</formula>
    </cfRule>
    <cfRule type="cellIs" dxfId="3147" priority="241" stopIfTrue="1" operator="between">
      <formula>13.1</formula>
      <formula>34</formula>
    </cfRule>
    <cfRule type="cellIs" dxfId="3146" priority="242" stopIfTrue="1" operator="between">
      <formula>5.1</formula>
      <formula>13</formula>
    </cfRule>
    <cfRule type="cellIs" dxfId="3145" priority="243" stopIfTrue="1" operator="between">
      <formula>0</formula>
      <formula>5</formula>
    </cfRule>
    <cfRule type="containsBlanks" dxfId="3144" priority="244" stopIfTrue="1">
      <formula>LEN(TRIM(E59))=0</formula>
    </cfRule>
  </conditionalFormatting>
  <conditionalFormatting sqref="E65:P69">
    <cfRule type="containsBlanks" dxfId="3143" priority="231" stopIfTrue="1">
      <formula>LEN(TRIM(E65))=0</formula>
    </cfRule>
    <cfRule type="cellIs" dxfId="3142" priority="232" stopIfTrue="1" operator="between">
      <formula>79.1</formula>
      <formula>100</formula>
    </cfRule>
    <cfRule type="cellIs" dxfId="3141" priority="233" stopIfTrue="1" operator="between">
      <formula>34.1</formula>
      <formula>79</formula>
    </cfRule>
    <cfRule type="cellIs" dxfId="3140" priority="234" stopIfTrue="1" operator="between">
      <formula>13.1</formula>
      <formula>34</formula>
    </cfRule>
    <cfRule type="cellIs" dxfId="3139" priority="235" stopIfTrue="1" operator="between">
      <formula>5.1</formula>
      <formula>13</formula>
    </cfRule>
    <cfRule type="cellIs" dxfId="3138" priority="236" stopIfTrue="1" operator="between">
      <formula>0</formula>
      <formula>5</formula>
    </cfRule>
    <cfRule type="containsBlanks" dxfId="3137" priority="237" stopIfTrue="1">
      <formula>LEN(TRIM(E65))=0</formula>
    </cfRule>
  </conditionalFormatting>
  <conditionalFormatting sqref="K70:K71">
    <cfRule type="containsBlanks" dxfId="3136" priority="224" stopIfTrue="1">
      <formula>LEN(TRIM(K70))=0</formula>
    </cfRule>
    <cfRule type="cellIs" dxfId="3135" priority="225" stopIfTrue="1" operator="between">
      <formula>79.1</formula>
      <formula>100</formula>
    </cfRule>
    <cfRule type="cellIs" dxfId="3134" priority="226" stopIfTrue="1" operator="between">
      <formula>34.1</formula>
      <formula>79</formula>
    </cfRule>
    <cfRule type="cellIs" dxfId="3133" priority="227" stopIfTrue="1" operator="between">
      <formula>13.1</formula>
      <formula>34</formula>
    </cfRule>
    <cfRule type="cellIs" dxfId="3132" priority="228" stopIfTrue="1" operator="between">
      <formula>5.1</formula>
      <formula>13</formula>
    </cfRule>
    <cfRule type="cellIs" dxfId="3131" priority="229" stopIfTrue="1" operator="between">
      <formula>0</formula>
      <formula>5</formula>
    </cfRule>
    <cfRule type="containsBlanks" dxfId="3130" priority="230" stopIfTrue="1">
      <formula>LEN(TRIM(K70))=0</formula>
    </cfRule>
  </conditionalFormatting>
  <conditionalFormatting sqref="E70:J71">
    <cfRule type="containsBlanks" dxfId="3129" priority="217" stopIfTrue="1">
      <formula>LEN(TRIM(E70))=0</formula>
    </cfRule>
    <cfRule type="cellIs" dxfId="3128" priority="218" stopIfTrue="1" operator="between">
      <formula>79.1</formula>
      <formula>100</formula>
    </cfRule>
    <cfRule type="cellIs" dxfId="3127" priority="219" stopIfTrue="1" operator="between">
      <formula>34.1</formula>
      <formula>79</formula>
    </cfRule>
    <cfRule type="cellIs" dxfId="3126" priority="220" stopIfTrue="1" operator="between">
      <formula>13.1</formula>
      <formula>34</formula>
    </cfRule>
    <cfRule type="cellIs" dxfId="3125" priority="221" stopIfTrue="1" operator="between">
      <formula>5.1</formula>
      <formula>13</formula>
    </cfRule>
    <cfRule type="cellIs" dxfId="3124" priority="222" stopIfTrue="1" operator="between">
      <formula>0</formula>
      <formula>5</formula>
    </cfRule>
    <cfRule type="containsBlanks" dxfId="3123" priority="223" stopIfTrue="1">
      <formula>LEN(TRIM(E70))=0</formula>
    </cfRule>
  </conditionalFormatting>
  <conditionalFormatting sqref="E72:J72">
    <cfRule type="containsBlanks" dxfId="3122" priority="210" stopIfTrue="1">
      <formula>LEN(TRIM(E72))=0</formula>
    </cfRule>
    <cfRule type="cellIs" dxfId="3121" priority="211" stopIfTrue="1" operator="between">
      <formula>79.1</formula>
      <formula>100</formula>
    </cfRule>
    <cfRule type="cellIs" dxfId="3120" priority="212" stopIfTrue="1" operator="between">
      <formula>34.1</formula>
      <formula>79</formula>
    </cfRule>
    <cfRule type="cellIs" dxfId="3119" priority="213" stopIfTrue="1" operator="between">
      <formula>13.1</formula>
      <formula>34</formula>
    </cfRule>
    <cfRule type="cellIs" dxfId="3118" priority="214" stopIfTrue="1" operator="between">
      <formula>5.1</formula>
      <formula>13</formula>
    </cfRule>
    <cfRule type="cellIs" dxfId="3117" priority="215" stopIfTrue="1" operator="between">
      <formula>0</formula>
      <formula>5</formula>
    </cfRule>
    <cfRule type="containsBlanks" dxfId="3116" priority="216" stopIfTrue="1">
      <formula>LEN(TRIM(E72))=0</formula>
    </cfRule>
  </conditionalFormatting>
  <conditionalFormatting sqref="E73:O74">
    <cfRule type="containsBlanks" dxfId="3115" priority="203" stopIfTrue="1">
      <formula>LEN(TRIM(E73))=0</formula>
    </cfRule>
    <cfRule type="cellIs" dxfId="3114" priority="204" stopIfTrue="1" operator="between">
      <formula>79.1</formula>
      <formula>100</formula>
    </cfRule>
    <cfRule type="cellIs" dxfId="3113" priority="205" stopIfTrue="1" operator="between">
      <formula>34.1</formula>
      <formula>79</formula>
    </cfRule>
    <cfRule type="cellIs" dxfId="3112" priority="206" stopIfTrue="1" operator="between">
      <formula>13.1</formula>
      <formula>34</formula>
    </cfRule>
    <cfRule type="cellIs" dxfId="3111" priority="207" stopIfTrue="1" operator="between">
      <formula>5.1</formula>
      <formula>13</formula>
    </cfRule>
    <cfRule type="cellIs" dxfId="3110" priority="208" stopIfTrue="1" operator="between">
      <formula>0</formula>
      <formula>5</formula>
    </cfRule>
    <cfRule type="containsBlanks" dxfId="3109" priority="209" stopIfTrue="1">
      <formula>LEN(TRIM(E73))=0</formula>
    </cfRule>
  </conditionalFormatting>
  <conditionalFormatting sqref="E76:P76">
    <cfRule type="containsBlanks" dxfId="3108" priority="196" stopIfTrue="1">
      <formula>LEN(TRIM(E76))=0</formula>
    </cfRule>
    <cfRule type="cellIs" dxfId="3107" priority="197" stopIfTrue="1" operator="between">
      <formula>80.1</formula>
      <formula>100</formula>
    </cfRule>
    <cfRule type="cellIs" dxfId="3106" priority="198" stopIfTrue="1" operator="between">
      <formula>35.1</formula>
      <formula>80</formula>
    </cfRule>
    <cfRule type="cellIs" dxfId="3105" priority="199" stopIfTrue="1" operator="between">
      <formula>14.1</formula>
      <formula>35</formula>
    </cfRule>
    <cfRule type="cellIs" dxfId="3104" priority="200" stopIfTrue="1" operator="between">
      <formula>5.1</formula>
      <formula>14</formula>
    </cfRule>
    <cfRule type="cellIs" dxfId="3103" priority="201" stopIfTrue="1" operator="between">
      <formula>0</formula>
      <formula>5</formula>
    </cfRule>
    <cfRule type="containsBlanks" dxfId="3102" priority="202" stopIfTrue="1">
      <formula>LEN(TRIM(E76))=0</formula>
    </cfRule>
  </conditionalFormatting>
  <conditionalFormatting sqref="E77:N77">
    <cfRule type="containsBlanks" dxfId="3101" priority="189" stopIfTrue="1">
      <formula>LEN(TRIM(E77))=0</formula>
    </cfRule>
    <cfRule type="cellIs" dxfId="3100" priority="190" stopIfTrue="1" operator="between">
      <formula>80.1</formula>
      <formula>100</formula>
    </cfRule>
    <cfRule type="cellIs" dxfId="3099" priority="191" stopIfTrue="1" operator="between">
      <formula>35.1</formula>
      <formula>80</formula>
    </cfRule>
    <cfRule type="cellIs" dxfId="3098" priority="192" stopIfTrue="1" operator="between">
      <formula>14.1</formula>
      <formula>35</formula>
    </cfRule>
    <cfRule type="cellIs" dxfId="3097" priority="193" stopIfTrue="1" operator="between">
      <formula>5.1</formula>
      <formula>14</formula>
    </cfRule>
    <cfRule type="cellIs" dxfId="3096" priority="194" stopIfTrue="1" operator="between">
      <formula>0</formula>
      <formula>5</formula>
    </cfRule>
    <cfRule type="containsBlanks" dxfId="3095" priority="195" stopIfTrue="1">
      <formula>LEN(TRIM(E77))=0</formula>
    </cfRule>
  </conditionalFormatting>
  <conditionalFormatting sqref="E78:P81">
    <cfRule type="containsBlanks" dxfId="3094" priority="182" stopIfTrue="1">
      <formula>LEN(TRIM(E78))=0</formula>
    </cfRule>
    <cfRule type="cellIs" dxfId="3093" priority="183" stopIfTrue="1" operator="between">
      <formula>80.1</formula>
      <formula>100</formula>
    </cfRule>
    <cfRule type="cellIs" dxfId="3092" priority="184" stopIfTrue="1" operator="between">
      <formula>35.1</formula>
      <formula>80</formula>
    </cfRule>
    <cfRule type="cellIs" dxfId="3091" priority="185" stopIfTrue="1" operator="between">
      <formula>14.1</formula>
      <formula>35</formula>
    </cfRule>
    <cfRule type="cellIs" dxfId="3090" priority="186" stopIfTrue="1" operator="between">
      <formula>5.1</formula>
      <formula>14</formula>
    </cfRule>
    <cfRule type="cellIs" dxfId="3089" priority="187" stopIfTrue="1" operator="between">
      <formula>0</formula>
      <formula>5</formula>
    </cfRule>
    <cfRule type="containsBlanks" dxfId="3088" priority="188" stopIfTrue="1">
      <formula>LEN(TRIM(E78))=0</formula>
    </cfRule>
  </conditionalFormatting>
  <conditionalFormatting sqref="E84:G84">
    <cfRule type="containsBlanks" dxfId="3087" priority="175" stopIfTrue="1">
      <formula>LEN(TRIM(E84))=0</formula>
    </cfRule>
    <cfRule type="cellIs" dxfId="3086" priority="176" stopIfTrue="1" operator="between">
      <formula>80.1</formula>
      <formula>100</formula>
    </cfRule>
    <cfRule type="cellIs" dxfId="3085" priority="177" stopIfTrue="1" operator="between">
      <formula>35.1</formula>
      <formula>80</formula>
    </cfRule>
    <cfRule type="cellIs" dxfId="3084" priority="178" stopIfTrue="1" operator="between">
      <formula>14.1</formula>
      <formula>35</formula>
    </cfRule>
    <cfRule type="cellIs" dxfId="3083" priority="179" stopIfTrue="1" operator="between">
      <formula>5.1</formula>
      <formula>14</formula>
    </cfRule>
    <cfRule type="cellIs" dxfId="3082" priority="180" stopIfTrue="1" operator="between">
      <formula>0</formula>
      <formula>5</formula>
    </cfRule>
    <cfRule type="containsBlanks" dxfId="3081" priority="181" stopIfTrue="1">
      <formula>LEN(TRIM(E84))=0</formula>
    </cfRule>
  </conditionalFormatting>
  <conditionalFormatting sqref="E85:I85">
    <cfRule type="containsBlanks" dxfId="3080" priority="168" stopIfTrue="1">
      <formula>LEN(TRIM(E85))=0</formula>
    </cfRule>
    <cfRule type="cellIs" dxfId="3079" priority="169" stopIfTrue="1" operator="between">
      <formula>79.1</formula>
      <formula>100</formula>
    </cfRule>
    <cfRule type="cellIs" dxfId="3078" priority="170" stopIfTrue="1" operator="between">
      <formula>34.1</formula>
      <formula>79</formula>
    </cfRule>
    <cfRule type="cellIs" dxfId="3077" priority="171" stopIfTrue="1" operator="between">
      <formula>13.1</formula>
      <formula>34</formula>
    </cfRule>
    <cfRule type="cellIs" dxfId="3076" priority="172" stopIfTrue="1" operator="between">
      <formula>5.1</formula>
      <formula>13</formula>
    </cfRule>
    <cfRule type="cellIs" dxfId="3075" priority="173" stopIfTrue="1" operator="between">
      <formula>0</formula>
      <formula>5</formula>
    </cfRule>
    <cfRule type="containsBlanks" dxfId="3074" priority="174" stopIfTrue="1">
      <formula>LEN(TRIM(E85))=0</formula>
    </cfRule>
  </conditionalFormatting>
  <conditionalFormatting sqref="E89:M93">
    <cfRule type="containsBlanks" dxfId="3073" priority="161" stopIfTrue="1">
      <formula>LEN(TRIM(E89))=0</formula>
    </cfRule>
    <cfRule type="cellIs" dxfId="3072" priority="162" stopIfTrue="1" operator="between">
      <formula>79.1</formula>
      <formula>100</formula>
    </cfRule>
    <cfRule type="cellIs" dxfId="3071" priority="163" stopIfTrue="1" operator="between">
      <formula>34.1</formula>
      <formula>79</formula>
    </cfRule>
    <cfRule type="cellIs" dxfId="3070" priority="164" stopIfTrue="1" operator="between">
      <formula>13.1</formula>
      <formula>34</formula>
    </cfRule>
    <cfRule type="cellIs" dxfId="3069" priority="165" stopIfTrue="1" operator="between">
      <formula>5.1</formula>
      <formula>13</formula>
    </cfRule>
    <cfRule type="cellIs" dxfId="3068" priority="166" stopIfTrue="1" operator="between">
      <formula>0</formula>
      <formula>5</formula>
    </cfRule>
    <cfRule type="containsBlanks" dxfId="3067" priority="167" stopIfTrue="1">
      <formula>LEN(TRIM(E89))=0</formula>
    </cfRule>
  </conditionalFormatting>
  <conditionalFormatting sqref="E94:P98">
    <cfRule type="containsBlanks" dxfId="3066" priority="154" stopIfTrue="1">
      <formula>LEN(TRIM(E94))=0</formula>
    </cfRule>
    <cfRule type="cellIs" dxfId="3065" priority="155" stopIfTrue="1" operator="between">
      <formula>79.1</formula>
      <formula>100</formula>
    </cfRule>
    <cfRule type="cellIs" dxfId="3064" priority="156" stopIfTrue="1" operator="between">
      <formula>34.1</formula>
      <formula>79</formula>
    </cfRule>
    <cfRule type="cellIs" dxfId="3063" priority="157" stopIfTrue="1" operator="between">
      <formula>13.1</formula>
      <formula>34</formula>
    </cfRule>
    <cfRule type="cellIs" dxfId="3062" priority="158" stopIfTrue="1" operator="between">
      <formula>5.1</formula>
      <formula>13</formula>
    </cfRule>
    <cfRule type="cellIs" dxfId="3061" priority="159" stopIfTrue="1" operator="between">
      <formula>0</formula>
      <formula>5</formula>
    </cfRule>
    <cfRule type="containsBlanks" dxfId="3060" priority="160" stopIfTrue="1">
      <formula>LEN(TRIM(E94))=0</formula>
    </cfRule>
  </conditionalFormatting>
  <conditionalFormatting sqref="E99:N99">
    <cfRule type="containsBlanks" dxfId="3059" priority="147" stopIfTrue="1">
      <formula>LEN(TRIM(E99))=0</formula>
    </cfRule>
    <cfRule type="cellIs" dxfId="3058" priority="148" stopIfTrue="1" operator="between">
      <formula>79.1</formula>
      <formula>100</formula>
    </cfRule>
    <cfRule type="cellIs" dxfId="3057" priority="149" stopIfTrue="1" operator="between">
      <formula>34.1</formula>
      <formula>79</formula>
    </cfRule>
    <cfRule type="cellIs" dxfId="3056" priority="150" stopIfTrue="1" operator="between">
      <formula>13.1</formula>
      <formula>34</formula>
    </cfRule>
    <cfRule type="cellIs" dxfId="3055" priority="151" stopIfTrue="1" operator="between">
      <formula>5.1</formula>
      <formula>13</formula>
    </cfRule>
    <cfRule type="cellIs" dxfId="3054" priority="152" stopIfTrue="1" operator="between">
      <formula>0</formula>
      <formula>5</formula>
    </cfRule>
    <cfRule type="containsBlanks" dxfId="3053" priority="153" stopIfTrue="1">
      <formula>LEN(TRIM(E99))=0</formula>
    </cfRule>
  </conditionalFormatting>
  <conditionalFormatting sqref="E104:P106">
    <cfRule type="containsBlanks" dxfId="3052" priority="140" stopIfTrue="1">
      <formula>LEN(TRIM(E104))=0</formula>
    </cfRule>
    <cfRule type="cellIs" dxfId="3051" priority="141" stopIfTrue="1" operator="between">
      <formula>79.1</formula>
      <formula>100</formula>
    </cfRule>
    <cfRule type="cellIs" dxfId="3050" priority="142" stopIfTrue="1" operator="between">
      <formula>34.1</formula>
      <formula>79</formula>
    </cfRule>
    <cfRule type="cellIs" dxfId="3049" priority="143" stopIfTrue="1" operator="between">
      <formula>13.1</formula>
      <formula>34</formula>
    </cfRule>
    <cfRule type="cellIs" dxfId="3048" priority="144" stopIfTrue="1" operator="between">
      <formula>5.1</formula>
      <formula>13</formula>
    </cfRule>
    <cfRule type="cellIs" dxfId="3047" priority="145" stopIfTrue="1" operator="between">
      <formula>0</formula>
      <formula>5</formula>
    </cfRule>
    <cfRule type="containsBlanks" dxfId="3046" priority="146" stopIfTrue="1">
      <formula>LEN(TRIM(E104))=0</formula>
    </cfRule>
  </conditionalFormatting>
  <conditionalFormatting sqref="Q111">
    <cfRule type="containsBlanks" dxfId="3045" priority="124" stopIfTrue="1">
      <formula>LEN(TRIM(Q111))=0</formula>
    </cfRule>
    <cfRule type="cellIs" dxfId="3044" priority="125" stopIfTrue="1" operator="between">
      <formula>80.1</formula>
      <formula>100</formula>
    </cfRule>
    <cfRule type="cellIs" dxfId="3043" priority="126" stopIfTrue="1" operator="between">
      <formula>35.1</formula>
      <formula>80</formula>
    </cfRule>
    <cfRule type="cellIs" dxfId="3042" priority="127" stopIfTrue="1" operator="between">
      <formula>14.1</formula>
      <formula>35</formula>
    </cfRule>
    <cfRule type="cellIs" dxfId="3041" priority="128" stopIfTrue="1" operator="between">
      <formula>5.1</formula>
      <formula>14</formula>
    </cfRule>
    <cfRule type="cellIs" dxfId="3040" priority="129" stopIfTrue="1" operator="between">
      <formula>0</formula>
      <formula>5</formula>
    </cfRule>
    <cfRule type="containsBlanks" dxfId="3039" priority="130" stopIfTrue="1">
      <formula>LEN(TRIM(Q111))=0</formula>
    </cfRule>
  </conditionalFormatting>
  <conditionalFormatting sqref="E111:M111">
    <cfRule type="containsBlanks" dxfId="3038" priority="111" stopIfTrue="1">
      <formula>LEN(TRIM(E111))=0</formula>
    </cfRule>
    <cfRule type="cellIs" dxfId="3037" priority="112" stopIfTrue="1" operator="between">
      <formula>79.1</formula>
      <formula>100</formula>
    </cfRule>
    <cfRule type="cellIs" dxfId="3036" priority="113" stopIfTrue="1" operator="between">
      <formula>34.1</formula>
      <formula>79</formula>
    </cfRule>
    <cfRule type="cellIs" dxfId="3035" priority="114" stopIfTrue="1" operator="between">
      <formula>13.1</formula>
      <formula>34</formula>
    </cfRule>
    <cfRule type="cellIs" dxfId="3034" priority="115" stopIfTrue="1" operator="between">
      <formula>5.1</formula>
      <formula>13</formula>
    </cfRule>
    <cfRule type="cellIs" dxfId="3033" priority="116" stopIfTrue="1" operator="between">
      <formula>0</formula>
      <formula>5</formula>
    </cfRule>
    <cfRule type="containsBlanks" dxfId="3032" priority="117" stopIfTrue="1">
      <formula>LEN(TRIM(E111))=0</formula>
    </cfRule>
  </conditionalFormatting>
  <conditionalFormatting sqref="S124:S125">
    <cfRule type="containsText" dxfId="3031" priority="97" stopIfTrue="1" operator="containsText" text="INVIABLE SANITARIAMENTE">
      <formula>NOT(ISERROR(SEARCH("INVIABLE SANITARIAMENTE",S124)))</formula>
    </cfRule>
    <cfRule type="containsText" dxfId="3030" priority="98" stopIfTrue="1" operator="containsText" text="ALTO">
      <formula>NOT(ISERROR(SEARCH("ALTO",S124)))</formula>
    </cfRule>
    <cfRule type="containsText" dxfId="3029" priority="99" stopIfTrue="1" operator="containsText" text="MEDIO">
      <formula>NOT(ISERROR(SEARCH("MEDIO",S124)))</formula>
    </cfRule>
    <cfRule type="containsText" dxfId="3028" priority="100" stopIfTrue="1" operator="containsText" text="BAJO">
      <formula>NOT(ISERROR(SEARCH("BAJO",S124)))</formula>
    </cfRule>
    <cfRule type="containsText" dxfId="3027" priority="101" stopIfTrue="1" operator="containsText" text="SIN RIESGO">
      <formula>NOT(ISERROR(SEARCH("SIN RIESGO",S124)))</formula>
    </cfRule>
  </conditionalFormatting>
  <conditionalFormatting sqref="R124:S125 R111:R121 R123">
    <cfRule type="containsBlanks" dxfId="3026" priority="89" stopIfTrue="1">
      <formula>LEN(TRIM(R111))=0</formula>
    </cfRule>
    <cfRule type="cellIs" dxfId="3025" priority="90" stopIfTrue="1" operator="between">
      <formula>80.1</formula>
      <formula>100</formula>
    </cfRule>
    <cfRule type="cellIs" dxfId="3024" priority="91" stopIfTrue="1" operator="between">
      <formula>35.1</formula>
      <formula>80</formula>
    </cfRule>
    <cfRule type="cellIs" dxfId="3023" priority="92" stopIfTrue="1" operator="between">
      <formula>14.1</formula>
      <formula>35</formula>
    </cfRule>
    <cfRule type="cellIs" dxfId="3022" priority="93" stopIfTrue="1" operator="between">
      <formula>5.1</formula>
      <formula>14</formula>
    </cfRule>
    <cfRule type="cellIs" dxfId="3021" priority="94" stopIfTrue="1" operator="between">
      <formula>0</formula>
      <formula>5</formula>
    </cfRule>
    <cfRule type="containsBlanks" dxfId="3020" priority="95" stopIfTrue="1">
      <formula>LEN(TRIM(R111))=0</formula>
    </cfRule>
  </conditionalFormatting>
  <conditionalFormatting sqref="R112">
    <cfRule type="containsBlanks" dxfId="3019" priority="82" stopIfTrue="1">
      <formula>LEN(TRIM(R112))=0</formula>
    </cfRule>
    <cfRule type="cellIs" dxfId="3018" priority="83" stopIfTrue="1" operator="between">
      <formula>80.1</formula>
      <formula>100</formula>
    </cfRule>
    <cfRule type="cellIs" dxfId="3017" priority="84" stopIfTrue="1" operator="between">
      <formula>35.1</formula>
      <formula>80</formula>
    </cfRule>
    <cfRule type="cellIs" dxfId="3016" priority="85" stopIfTrue="1" operator="between">
      <formula>14.1</formula>
      <formula>35</formula>
    </cfRule>
    <cfRule type="cellIs" dxfId="3015" priority="86" stopIfTrue="1" operator="between">
      <formula>5.1</formula>
      <formula>14</formula>
    </cfRule>
    <cfRule type="cellIs" dxfId="3014" priority="87" stopIfTrue="1" operator="between">
      <formula>0</formula>
      <formula>5</formula>
    </cfRule>
    <cfRule type="containsBlanks" dxfId="3013" priority="88" stopIfTrue="1">
      <formula>LEN(TRIM(R112))=0</formula>
    </cfRule>
  </conditionalFormatting>
  <conditionalFormatting sqref="R18">
    <cfRule type="cellIs" dxfId="3012" priority="66" stopIfTrue="1" operator="equal">
      <formula>"NO"</formula>
    </cfRule>
  </conditionalFormatting>
  <conditionalFormatting sqref="E18:Q18">
    <cfRule type="containsBlanks" dxfId="3011" priority="58" stopIfTrue="1">
      <formula>LEN(TRIM(E18))=0</formula>
    </cfRule>
    <cfRule type="cellIs" dxfId="3010" priority="59" stopIfTrue="1" operator="between">
      <formula>80.1</formula>
      <formula>100</formula>
    </cfRule>
    <cfRule type="cellIs" dxfId="3009" priority="60" stopIfTrue="1" operator="between">
      <formula>35.1</formula>
      <formula>80</formula>
    </cfRule>
    <cfRule type="cellIs" dxfId="3008" priority="61" stopIfTrue="1" operator="between">
      <formula>14.1</formula>
      <formula>35</formula>
    </cfRule>
    <cfRule type="cellIs" dxfId="3007" priority="62" stopIfTrue="1" operator="between">
      <formula>5.1</formula>
      <formula>14</formula>
    </cfRule>
    <cfRule type="cellIs" dxfId="3006" priority="63" stopIfTrue="1" operator="between">
      <formula>0</formula>
      <formula>5</formula>
    </cfRule>
    <cfRule type="containsBlanks" dxfId="3005" priority="64" stopIfTrue="1">
      <formula>LEN(TRIM(E18))=0</formula>
    </cfRule>
  </conditionalFormatting>
  <conditionalFormatting sqref="S12:S63 S65:S121 S123">
    <cfRule type="cellIs" dxfId="3004" priority="51" stopIfTrue="1" operator="equal">
      <formula>"INVIABLE SANITARIAMENTE"</formula>
    </cfRule>
  </conditionalFormatting>
  <conditionalFormatting sqref="S12:S63 S65:S121 S123">
    <cfRule type="containsText" dxfId="3003" priority="46" stopIfTrue="1" operator="containsText" text="INVIABLE SANITARIAMENTE">
      <formula>NOT(ISERROR(SEARCH("INVIABLE SANITARIAMENTE",S12)))</formula>
    </cfRule>
    <cfRule type="containsText" dxfId="3002" priority="47" stopIfTrue="1" operator="containsText" text="ALTO">
      <formula>NOT(ISERROR(SEARCH("ALTO",S12)))</formula>
    </cfRule>
    <cfRule type="containsText" dxfId="3001" priority="48" stopIfTrue="1" operator="containsText" text="MEDIO">
      <formula>NOT(ISERROR(SEARCH("MEDIO",S12)))</formula>
    </cfRule>
    <cfRule type="containsText" dxfId="3000" priority="49" stopIfTrue="1" operator="containsText" text="BAJO">
      <formula>NOT(ISERROR(SEARCH("BAJO",S12)))</formula>
    </cfRule>
    <cfRule type="containsText" dxfId="2999" priority="50" stopIfTrue="1" operator="containsText" text="SIN RIESGO">
      <formula>NOT(ISERROR(SEARCH("SIN RIESGO",S12)))</formula>
    </cfRule>
  </conditionalFormatting>
  <conditionalFormatting sqref="S12:S63 S65:S121 S123">
    <cfRule type="containsText" dxfId="2998" priority="45" stopIfTrue="1" operator="containsText" text="SIN RIESGO">
      <formula>NOT(ISERROR(SEARCH("SIN RIESGO",S12)))</formula>
    </cfRule>
  </conditionalFormatting>
  <conditionalFormatting sqref="E64:Q64">
    <cfRule type="containsBlanks" dxfId="2997" priority="38" stopIfTrue="1">
      <formula>LEN(TRIM(E64))=0</formula>
    </cfRule>
    <cfRule type="cellIs" dxfId="2996" priority="39" stopIfTrue="1" operator="between">
      <formula>80.1</formula>
      <formula>100</formula>
    </cfRule>
    <cfRule type="cellIs" dxfId="2995" priority="40" stopIfTrue="1" operator="between">
      <formula>35.1</formula>
      <formula>80</formula>
    </cfRule>
    <cfRule type="cellIs" dxfId="2994" priority="41" stopIfTrue="1" operator="between">
      <formula>14.1</formula>
      <formula>35</formula>
    </cfRule>
    <cfRule type="cellIs" dxfId="2993" priority="42" stopIfTrue="1" operator="between">
      <formula>5.1</formula>
      <formula>14</formula>
    </cfRule>
    <cfRule type="cellIs" dxfId="2992" priority="43" stopIfTrue="1" operator="between">
      <formula>0</formula>
      <formula>5</formula>
    </cfRule>
    <cfRule type="containsBlanks" dxfId="2991" priority="44" stopIfTrue="1">
      <formula>LEN(TRIM(E64))=0</formula>
    </cfRule>
  </conditionalFormatting>
  <conditionalFormatting sqref="R64">
    <cfRule type="cellIs" dxfId="2990" priority="37" stopIfTrue="1" operator="equal">
      <formula>"NO"</formula>
    </cfRule>
  </conditionalFormatting>
  <conditionalFormatting sqref="E64:P64">
    <cfRule type="containsBlanks" dxfId="2989" priority="30" stopIfTrue="1">
      <formula>LEN(TRIM(E64))=0</formula>
    </cfRule>
    <cfRule type="cellIs" dxfId="2988" priority="31" stopIfTrue="1" operator="between">
      <formula>79.1</formula>
      <formula>100</formula>
    </cfRule>
    <cfRule type="cellIs" dxfId="2987" priority="32" stopIfTrue="1" operator="between">
      <formula>34.1</formula>
      <formula>79</formula>
    </cfRule>
    <cfRule type="cellIs" dxfId="2986" priority="33" stopIfTrue="1" operator="between">
      <formula>13.1</formula>
      <formula>34</formula>
    </cfRule>
    <cfRule type="cellIs" dxfId="2985" priority="34" stopIfTrue="1" operator="between">
      <formula>5.1</formula>
      <formula>13</formula>
    </cfRule>
    <cfRule type="cellIs" dxfId="2984" priority="35" stopIfTrue="1" operator="between">
      <formula>0</formula>
      <formula>5</formula>
    </cfRule>
    <cfRule type="containsBlanks" dxfId="2983" priority="36" stopIfTrue="1">
      <formula>LEN(TRIM(E64))=0</formula>
    </cfRule>
  </conditionalFormatting>
  <conditionalFormatting sqref="S64">
    <cfRule type="cellIs" dxfId="2982" priority="29" stopIfTrue="1" operator="equal">
      <formula>"INVIABLE SANITARIAMENTE"</formula>
    </cfRule>
  </conditionalFormatting>
  <conditionalFormatting sqref="S64">
    <cfRule type="containsText" dxfId="2981" priority="24" stopIfTrue="1" operator="containsText" text="INVIABLE SANITARIAMENTE">
      <formula>NOT(ISERROR(SEARCH("INVIABLE SANITARIAMENTE",S64)))</formula>
    </cfRule>
    <cfRule type="containsText" dxfId="2980" priority="25" stopIfTrue="1" operator="containsText" text="ALTO">
      <formula>NOT(ISERROR(SEARCH("ALTO",S64)))</formula>
    </cfRule>
    <cfRule type="containsText" dxfId="2979" priority="26" stopIfTrue="1" operator="containsText" text="MEDIO">
      <formula>NOT(ISERROR(SEARCH("MEDIO",S64)))</formula>
    </cfRule>
    <cfRule type="containsText" dxfId="2978" priority="27" stopIfTrue="1" operator="containsText" text="BAJO">
      <formula>NOT(ISERROR(SEARCH("BAJO",S64)))</formula>
    </cfRule>
    <cfRule type="containsText" dxfId="2977" priority="28" stopIfTrue="1" operator="containsText" text="SIN RIESGO">
      <formula>NOT(ISERROR(SEARCH("SIN RIESGO",S64)))</formula>
    </cfRule>
  </conditionalFormatting>
  <conditionalFormatting sqref="S64">
    <cfRule type="containsText" dxfId="2976" priority="23" stopIfTrue="1" operator="containsText" text="SIN RIESGO">
      <formula>NOT(ISERROR(SEARCH("SIN RIESGO",S64)))</formula>
    </cfRule>
  </conditionalFormatting>
  <conditionalFormatting sqref="E122:Q122">
    <cfRule type="containsBlanks" dxfId="2975" priority="16" stopIfTrue="1">
      <formula>LEN(TRIM(E122))=0</formula>
    </cfRule>
    <cfRule type="cellIs" dxfId="2974" priority="17" stopIfTrue="1" operator="between">
      <formula>80.1</formula>
      <formula>100</formula>
    </cfRule>
    <cfRule type="cellIs" dxfId="2973" priority="18" stopIfTrue="1" operator="between">
      <formula>35.1</formula>
      <formula>80</formula>
    </cfRule>
    <cfRule type="cellIs" dxfId="2972" priority="19" stopIfTrue="1" operator="between">
      <formula>14.1</formula>
      <formula>35</formula>
    </cfRule>
    <cfRule type="cellIs" dxfId="2971" priority="20" stopIfTrue="1" operator="between">
      <formula>5.1</formula>
      <formula>14</formula>
    </cfRule>
    <cfRule type="cellIs" dxfId="2970" priority="21" stopIfTrue="1" operator="between">
      <formula>0</formula>
      <formula>5</formula>
    </cfRule>
    <cfRule type="containsBlanks" dxfId="2969" priority="22" stopIfTrue="1">
      <formula>LEN(TRIM(E122))=0</formula>
    </cfRule>
  </conditionalFormatting>
  <conditionalFormatting sqref="R122">
    <cfRule type="cellIs" dxfId="2968" priority="15" stopIfTrue="1" operator="equal">
      <formula>"NO"</formula>
    </cfRule>
  </conditionalFormatting>
  <conditionalFormatting sqref="R122">
    <cfRule type="containsBlanks" dxfId="2967" priority="8" stopIfTrue="1">
      <formula>LEN(TRIM(R122))=0</formula>
    </cfRule>
    <cfRule type="cellIs" dxfId="2966" priority="9" stopIfTrue="1" operator="between">
      <formula>80.1</formula>
      <formula>100</formula>
    </cfRule>
    <cfRule type="cellIs" dxfId="2965" priority="10" stopIfTrue="1" operator="between">
      <formula>35.1</formula>
      <formula>80</formula>
    </cfRule>
    <cfRule type="cellIs" dxfId="2964" priority="11" stopIfTrue="1" operator="between">
      <formula>14.1</formula>
      <formula>35</formula>
    </cfRule>
    <cfRule type="cellIs" dxfId="2963" priority="12" stopIfTrue="1" operator="between">
      <formula>5.1</formula>
      <formula>14</formula>
    </cfRule>
    <cfRule type="cellIs" dxfId="2962" priority="13" stopIfTrue="1" operator="between">
      <formula>0</formula>
      <formula>5</formula>
    </cfRule>
    <cfRule type="containsBlanks" dxfId="2961" priority="14" stopIfTrue="1">
      <formula>LEN(TRIM(R122))=0</formula>
    </cfRule>
  </conditionalFormatting>
  <conditionalFormatting sqref="S122">
    <cfRule type="cellIs" dxfId="2960" priority="7" stopIfTrue="1" operator="equal">
      <formula>"INVIABLE SANITARIAMENTE"</formula>
    </cfRule>
  </conditionalFormatting>
  <conditionalFormatting sqref="S122">
    <cfRule type="containsText" dxfId="2959" priority="2" stopIfTrue="1" operator="containsText" text="INVIABLE SANITARIAMENTE">
      <formula>NOT(ISERROR(SEARCH("INVIABLE SANITARIAMENTE",S122)))</formula>
    </cfRule>
    <cfRule type="containsText" dxfId="2958" priority="3" stopIfTrue="1" operator="containsText" text="ALTO">
      <formula>NOT(ISERROR(SEARCH("ALTO",S122)))</formula>
    </cfRule>
    <cfRule type="containsText" dxfId="2957" priority="4" stopIfTrue="1" operator="containsText" text="MEDIO">
      <formula>NOT(ISERROR(SEARCH("MEDIO",S122)))</formula>
    </cfRule>
    <cfRule type="containsText" dxfId="2956" priority="5" stopIfTrue="1" operator="containsText" text="BAJO">
      <formula>NOT(ISERROR(SEARCH("BAJO",S122)))</formula>
    </cfRule>
    <cfRule type="containsText" dxfId="2955" priority="6" stopIfTrue="1" operator="containsText" text="SIN RIESGO">
      <formula>NOT(ISERROR(SEARCH("SIN RIESGO",S122)))</formula>
    </cfRule>
  </conditionalFormatting>
  <conditionalFormatting sqref="S122">
    <cfRule type="containsText" dxfId="2954" priority="1" stopIfTrue="1" operator="containsText" text="SIN RIESGO">
      <formula>NOT(ISERROR(SEARCH("SIN RIESGO",S122)))</formula>
    </cfRule>
  </conditionalFormatting>
  <printOptions horizontalCentered="1"/>
  <pageMargins left="0.28999999999999998" right="0.2" top="0.6692913385826772" bottom="0.9055118110236221" header="0.43" footer="0.59055118110236227"/>
  <pageSetup paperSize="14" scale="75" orientation="landscape" r:id="rId5"/>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drawing r:id="rId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W723"/>
  <sheetViews>
    <sheetView zoomScale="70" zoomScaleNormal="70" workbookViewId="0">
      <pane xSplit="3" ySplit="11" topLeftCell="D12" activePane="bottomRight" state="frozenSplit"/>
      <selection pane="topRight" activeCell="D1" sqref="D1"/>
      <selection pane="bottomLeft" activeCell="A12" sqref="A12"/>
      <selection pane="bottomRight" activeCell="A12" sqref="A12"/>
    </sheetView>
  </sheetViews>
  <sheetFormatPr baseColWidth="10" defaultColWidth="0" defaultRowHeight="0" customHeight="1" zeroHeight="1" x14ac:dyDescent="0.2"/>
  <cols>
    <col min="1" max="1" width="34" style="112" customWidth="1"/>
    <col min="2" max="2" width="40.28515625" style="124" customWidth="1"/>
    <col min="3" max="3" width="60" style="124" customWidth="1"/>
    <col min="4" max="4" width="21.85546875" style="125" customWidth="1"/>
    <col min="5" max="18" width="10.7109375" style="115" customWidth="1"/>
    <col min="19" max="19" width="42.28515625" style="115" bestFit="1" customWidth="1"/>
    <col min="20" max="20" width="9.85546875" style="115" hidden="1" customWidth="1"/>
    <col min="21" max="16384" width="11.42578125" style="115" hidden="1"/>
  </cols>
  <sheetData>
    <row r="1" spans="1:23" s="7" customFormat="1" ht="18" customHeight="1" x14ac:dyDescent="0.2">
      <c r="A1" s="108"/>
      <c r="B1" s="326" t="s">
        <v>254</v>
      </c>
      <c r="C1" s="326"/>
      <c r="D1" s="326"/>
      <c r="E1" s="86"/>
      <c r="F1" s="86"/>
      <c r="G1" s="86"/>
      <c r="H1" s="86"/>
      <c r="I1" s="86"/>
      <c r="J1" s="86"/>
      <c r="K1" s="86"/>
      <c r="L1" s="86"/>
      <c r="M1" s="86"/>
      <c r="N1" s="86"/>
      <c r="O1" s="86"/>
      <c r="P1" s="86"/>
      <c r="Q1" s="86"/>
      <c r="R1" s="87"/>
      <c r="S1" s="39" t="s">
        <v>492</v>
      </c>
      <c r="T1" s="3"/>
      <c r="U1" s="5"/>
      <c r="V1" s="6"/>
      <c r="W1" s="6"/>
    </row>
    <row r="2" spans="1:23" s="9" customFormat="1" ht="18" customHeight="1" x14ac:dyDescent="0.2">
      <c r="A2" s="108"/>
      <c r="B2" s="326" t="s">
        <v>4587</v>
      </c>
      <c r="C2" s="326"/>
      <c r="D2" s="326"/>
      <c r="E2" s="310"/>
      <c r="F2" s="310"/>
      <c r="G2" s="310"/>
      <c r="H2" s="310"/>
      <c r="I2" s="310"/>
      <c r="J2" s="310"/>
      <c r="K2" s="310"/>
      <c r="L2" s="310"/>
      <c r="M2" s="310"/>
      <c r="N2" s="310"/>
      <c r="O2" s="310"/>
      <c r="P2" s="310"/>
      <c r="Q2" s="310"/>
      <c r="R2" s="88"/>
      <c r="S2" s="40" t="s">
        <v>255</v>
      </c>
      <c r="T2" s="3"/>
      <c r="U2" s="8"/>
      <c r="V2" s="6"/>
      <c r="W2" s="6"/>
    </row>
    <row r="3" spans="1:23" s="7" customFormat="1" ht="18" customHeight="1" x14ac:dyDescent="0.2">
      <c r="A3" s="108"/>
      <c r="B3" s="327" t="s">
        <v>4588</v>
      </c>
      <c r="C3" s="327"/>
      <c r="D3" s="327"/>
      <c r="E3" s="309"/>
      <c r="F3" s="309"/>
      <c r="G3" s="309"/>
      <c r="H3" s="309"/>
      <c r="I3" s="309"/>
      <c r="J3" s="309"/>
      <c r="K3" s="309"/>
      <c r="L3" s="309"/>
      <c r="M3" s="309"/>
      <c r="N3" s="309"/>
      <c r="O3" s="309"/>
      <c r="P3" s="309"/>
      <c r="Q3" s="309"/>
      <c r="R3" s="89"/>
      <c r="S3" s="40" t="s">
        <v>493</v>
      </c>
      <c r="T3" s="3"/>
      <c r="U3" s="5"/>
      <c r="V3" s="6"/>
      <c r="W3" s="6"/>
    </row>
    <row r="4" spans="1:23" s="7" customFormat="1" ht="18" customHeight="1" x14ac:dyDescent="0.25">
      <c r="A4" s="108"/>
      <c r="B4" s="60" t="s">
        <v>4119</v>
      </c>
      <c r="C4" s="309"/>
      <c r="D4" s="309"/>
      <c r="E4" s="37"/>
      <c r="F4" s="37"/>
      <c r="G4" s="37"/>
      <c r="H4" s="37"/>
      <c r="I4" s="37"/>
      <c r="J4" s="37"/>
      <c r="K4" s="37"/>
      <c r="L4" s="37"/>
      <c r="M4" s="37"/>
      <c r="N4" s="37"/>
      <c r="O4" s="37"/>
      <c r="P4" s="37"/>
      <c r="Q4" s="37"/>
      <c r="R4" s="38"/>
      <c r="S4" s="40" t="s">
        <v>256</v>
      </c>
      <c r="T4" s="3"/>
      <c r="U4" s="5"/>
      <c r="V4" s="6"/>
      <c r="W4" s="6"/>
    </row>
    <row r="5" spans="1:23" s="32" customFormat="1" ht="15" customHeight="1" x14ac:dyDescent="0.2">
      <c r="A5" s="109"/>
      <c r="B5" s="326" t="s">
        <v>4291</v>
      </c>
      <c r="C5" s="326"/>
      <c r="D5" s="326"/>
      <c r="E5" s="319" t="s">
        <v>251</v>
      </c>
      <c r="F5" s="319"/>
      <c r="G5" s="319"/>
      <c r="H5" s="314" t="s">
        <v>258</v>
      </c>
      <c r="I5" s="314"/>
      <c r="J5" s="314"/>
      <c r="K5" s="321" t="s">
        <v>491</v>
      </c>
      <c r="L5" s="321"/>
      <c r="M5" s="321"/>
      <c r="N5" s="318" t="s">
        <v>422</v>
      </c>
      <c r="O5" s="318"/>
      <c r="P5" s="318"/>
      <c r="Q5" s="334" t="s">
        <v>259</v>
      </c>
      <c r="R5" s="334"/>
      <c r="S5" s="313" t="s">
        <v>261</v>
      </c>
    </row>
    <row r="6" spans="1:23" s="32" customFormat="1" ht="16.5" customHeight="1" x14ac:dyDescent="0.2">
      <c r="A6" s="109"/>
      <c r="B6" s="174"/>
      <c r="C6" s="360"/>
      <c r="D6" s="359" t="s">
        <v>260</v>
      </c>
      <c r="E6" s="319"/>
      <c r="F6" s="319"/>
      <c r="G6" s="319"/>
      <c r="H6" s="314"/>
      <c r="I6" s="314"/>
      <c r="J6" s="314"/>
      <c r="K6" s="321"/>
      <c r="L6" s="321"/>
      <c r="M6" s="321"/>
      <c r="N6" s="318"/>
      <c r="O6" s="318"/>
      <c r="P6" s="318"/>
      <c r="Q6" s="334"/>
      <c r="R6" s="334"/>
      <c r="S6" s="313"/>
    </row>
    <row r="7" spans="1:23" s="118" customFormat="1" ht="9.75" customHeight="1" x14ac:dyDescent="0.2">
      <c r="A7" s="346"/>
      <c r="B7" s="346"/>
      <c r="C7" s="126"/>
      <c r="D7" s="106"/>
      <c r="E7" s="110"/>
      <c r="F7" s="110"/>
      <c r="G7" s="110"/>
      <c r="H7" s="110"/>
      <c r="I7" s="110"/>
      <c r="J7" s="110"/>
      <c r="K7" s="110"/>
      <c r="L7" s="110"/>
      <c r="M7" s="110"/>
      <c r="N7" s="110"/>
      <c r="O7" s="110"/>
      <c r="P7" s="110"/>
      <c r="Q7" s="110"/>
      <c r="R7" s="110"/>
      <c r="S7" s="119"/>
    </row>
    <row r="8" spans="1:23" s="118" customFormat="1" ht="5.25" customHeight="1" x14ac:dyDescent="0.2">
      <c r="A8" s="345"/>
      <c r="B8" s="345"/>
      <c r="C8" s="126"/>
      <c r="D8" s="106"/>
      <c r="E8" s="110"/>
      <c r="F8" s="110"/>
      <c r="G8" s="110"/>
      <c r="H8" s="110"/>
      <c r="I8" s="110"/>
      <c r="J8" s="110"/>
      <c r="K8" s="110"/>
      <c r="L8" s="110"/>
      <c r="M8" s="110"/>
      <c r="N8" s="110"/>
      <c r="O8" s="110"/>
      <c r="P8" s="110"/>
      <c r="Q8" s="110"/>
      <c r="R8" s="110"/>
      <c r="S8" s="119"/>
    </row>
    <row r="9" spans="1:23" s="118" customFormat="1" ht="19.5" customHeight="1" x14ac:dyDescent="0.2">
      <c r="A9" s="503" t="s">
        <v>4619</v>
      </c>
      <c r="B9" s="102"/>
      <c r="C9" s="127"/>
      <c r="D9" s="107"/>
      <c r="E9" s="98"/>
      <c r="F9" s="98"/>
      <c r="G9" s="98"/>
      <c r="H9" s="98"/>
      <c r="I9" s="98"/>
      <c r="J9" s="98"/>
      <c r="K9" s="98"/>
      <c r="L9" s="98"/>
      <c r="M9" s="98"/>
      <c r="N9" s="98"/>
      <c r="O9" s="98"/>
      <c r="P9" s="98"/>
      <c r="Q9" s="98"/>
      <c r="R9" s="98"/>
      <c r="S9" s="103"/>
    </row>
    <row r="10" spans="1:23" ht="18" customHeight="1" x14ac:dyDescent="0.2">
      <c r="A10" s="330" t="s">
        <v>37</v>
      </c>
      <c r="B10" s="328" t="s">
        <v>38</v>
      </c>
      <c r="C10" s="328" t="s">
        <v>257</v>
      </c>
      <c r="D10" s="337" t="s">
        <v>419</v>
      </c>
      <c r="E10" s="315" t="s">
        <v>33</v>
      </c>
      <c r="F10" s="315"/>
      <c r="G10" s="315"/>
      <c r="H10" s="315"/>
      <c r="I10" s="315"/>
      <c r="J10" s="315"/>
      <c r="K10" s="315"/>
      <c r="L10" s="315"/>
      <c r="M10" s="315"/>
      <c r="N10" s="315"/>
      <c r="O10" s="315"/>
      <c r="P10" s="315"/>
      <c r="Q10" s="333" t="s">
        <v>34</v>
      </c>
      <c r="R10" s="333" t="s">
        <v>36</v>
      </c>
      <c r="S10" s="328" t="s">
        <v>35</v>
      </c>
      <c r="T10" s="111"/>
    </row>
    <row r="11" spans="1:23" ht="24" customHeight="1" x14ac:dyDescent="0.2">
      <c r="A11" s="340"/>
      <c r="B11" s="337"/>
      <c r="C11" s="337"/>
      <c r="D11" s="338"/>
      <c r="E11" s="238" t="s">
        <v>21</v>
      </c>
      <c r="F11" s="238" t="s">
        <v>22</v>
      </c>
      <c r="G11" s="238" t="s">
        <v>23</v>
      </c>
      <c r="H11" s="238" t="s">
        <v>24</v>
      </c>
      <c r="I11" s="238" t="s">
        <v>25</v>
      </c>
      <c r="J11" s="238" t="s">
        <v>26</v>
      </c>
      <c r="K11" s="238" t="s">
        <v>27</v>
      </c>
      <c r="L11" s="238" t="s">
        <v>28</v>
      </c>
      <c r="M11" s="238" t="s">
        <v>29</v>
      </c>
      <c r="N11" s="238" t="s">
        <v>30</v>
      </c>
      <c r="O11" s="238" t="s">
        <v>31</v>
      </c>
      <c r="P11" s="238" t="s">
        <v>32</v>
      </c>
      <c r="Q11" s="339"/>
      <c r="R11" s="344"/>
      <c r="S11" s="339"/>
      <c r="T11" s="111"/>
    </row>
    <row r="12" spans="1:23" s="120" customFormat="1" ht="32.1" customHeight="1" x14ac:dyDescent="0.2">
      <c r="A12" s="361" t="s">
        <v>204</v>
      </c>
      <c r="B12" s="406" t="s">
        <v>441</v>
      </c>
      <c r="C12" s="477" t="s">
        <v>494</v>
      </c>
      <c r="D12" s="364">
        <v>19</v>
      </c>
      <c r="E12" s="47">
        <v>97.35</v>
      </c>
      <c r="F12" s="47"/>
      <c r="G12" s="47"/>
      <c r="H12" s="47"/>
      <c r="I12" s="47"/>
      <c r="J12" s="47"/>
      <c r="K12" s="47"/>
      <c r="L12" s="47"/>
      <c r="M12" s="47"/>
      <c r="N12" s="47"/>
      <c r="O12" s="47">
        <v>97.35</v>
      </c>
      <c r="P12" s="47"/>
      <c r="Q12" s="374">
        <f t="shared" ref="Q12:Q78" si="0">AVERAGE(E12:P12)</f>
        <v>97.35</v>
      </c>
      <c r="R12" s="375" t="str">
        <f t="shared" ref="R12:R78" si="1">IF(Q12&lt;5,"SI","NO")</f>
        <v>NO</v>
      </c>
      <c r="S12" s="376" t="str">
        <f t="shared" ref="S12:S43" si="2">IF(Q12&lt;=5,"Sin Riesgo",IF(Q12 &lt;=14,"Bajo",IF(Q12&lt;=35,"Medio",IF(Q12&lt;=80,"Alto","Inviable Sanitariamente"))))</f>
        <v>Inviable Sanitariamente</v>
      </c>
    </row>
    <row r="13" spans="1:23" s="120" customFormat="1" ht="32.1" customHeight="1" x14ac:dyDescent="0.2">
      <c r="A13" s="361" t="s">
        <v>204</v>
      </c>
      <c r="B13" s="406" t="s">
        <v>495</v>
      </c>
      <c r="C13" s="477" t="s">
        <v>496</v>
      </c>
      <c r="D13" s="364">
        <v>37</v>
      </c>
      <c r="E13" s="47"/>
      <c r="F13" s="47"/>
      <c r="G13" s="47"/>
      <c r="H13" s="47"/>
      <c r="I13" s="47"/>
      <c r="J13" s="47">
        <v>97.35</v>
      </c>
      <c r="K13" s="47"/>
      <c r="L13" s="47"/>
      <c r="M13" s="47"/>
      <c r="N13" s="47"/>
      <c r="O13" s="47"/>
      <c r="P13" s="47"/>
      <c r="Q13" s="374">
        <f t="shared" si="0"/>
        <v>97.35</v>
      </c>
      <c r="R13" s="375" t="str">
        <f t="shared" si="1"/>
        <v>NO</v>
      </c>
      <c r="S13" s="376" t="str">
        <f t="shared" si="2"/>
        <v>Inviable Sanitariamente</v>
      </c>
    </row>
    <row r="14" spans="1:23" s="120" customFormat="1" ht="32.1" customHeight="1" x14ac:dyDescent="0.2">
      <c r="A14" s="361" t="s">
        <v>204</v>
      </c>
      <c r="B14" s="406" t="s">
        <v>0</v>
      </c>
      <c r="C14" s="477" t="s">
        <v>388</v>
      </c>
      <c r="D14" s="364">
        <v>40</v>
      </c>
      <c r="E14" s="47"/>
      <c r="F14" s="47"/>
      <c r="G14" s="47"/>
      <c r="H14" s="47"/>
      <c r="I14" s="47"/>
      <c r="J14" s="47">
        <v>97.34</v>
      </c>
      <c r="K14" s="47"/>
      <c r="L14" s="47"/>
      <c r="M14" s="47"/>
      <c r="N14" s="47"/>
      <c r="O14" s="47"/>
      <c r="P14" s="47"/>
      <c r="Q14" s="374">
        <f t="shared" si="0"/>
        <v>97.34</v>
      </c>
      <c r="R14" s="375" t="str">
        <f t="shared" si="1"/>
        <v>NO</v>
      </c>
      <c r="S14" s="376" t="str">
        <f t="shared" si="2"/>
        <v>Inviable Sanitariamente</v>
      </c>
    </row>
    <row r="15" spans="1:23" s="120" customFormat="1" ht="32.1" customHeight="1" x14ac:dyDescent="0.2">
      <c r="A15" s="361" t="s">
        <v>204</v>
      </c>
      <c r="B15" s="406" t="s">
        <v>497</v>
      </c>
      <c r="C15" s="478" t="s">
        <v>498</v>
      </c>
      <c r="D15" s="364"/>
      <c r="E15" s="47"/>
      <c r="F15" s="47"/>
      <c r="G15" s="47"/>
      <c r="H15" s="47"/>
      <c r="I15" s="47"/>
      <c r="J15" s="47"/>
      <c r="K15" s="47"/>
      <c r="L15" s="47"/>
      <c r="M15" s="47"/>
      <c r="N15" s="47"/>
      <c r="O15" s="47"/>
      <c r="P15" s="47"/>
      <c r="Q15" s="374" t="e">
        <f t="shared" si="0"/>
        <v>#DIV/0!</v>
      </c>
      <c r="R15" s="375" t="e">
        <f t="shared" si="1"/>
        <v>#DIV/0!</v>
      </c>
      <c r="S15" s="376" t="e">
        <f t="shared" si="2"/>
        <v>#DIV/0!</v>
      </c>
    </row>
    <row r="16" spans="1:23" s="120" customFormat="1" ht="32.1" customHeight="1" x14ac:dyDescent="0.2">
      <c r="A16" s="361" t="s">
        <v>204</v>
      </c>
      <c r="B16" s="406" t="s">
        <v>2</v>
      </c>
      <c r="C16" s="477" t="s">
        <v>377</v>
      </c>
      <c r="D16" s="364">
        <v>27</v>
      </c>
      <c r="E16" s="47"/>
      <c r="F16" s="47"/>
      <c r="G16" s="47"/>
      <c r="H16" s="47"/>
      <c r="I16" s="47"/>
      <c r="J16" s="47"/>
      <c r="K16" s="47"/>
      <c r="L16" s="47"/>
      <c r="M16" s="47">
        <v>97.35</v>
      </c>
      <c r="N16" s="47"/>
      <c r="O16" s="47"/>
      <c r="P16" s="47"/>
      <c r="Q16" s="374">
        <f t="shared" si="0"/>
        <v>97.35</v>
      </c>
      <c r="R16" s="375" t="str">
        <f t="shared" si="1"/>
        <v>NO</v>
      </c>
      <c r="S16" s="376" t="str">
        <f t="shared" si="2"/>
        <v>Inviable Sanitariamente</v>
      </c>
    </row>
    <row r="17" spans="1:19" s="120" customFormat="1" ht="32.1" customHeight="1" x14ac:dyDescent="0.2">
      <c r="A17" s="361" t="s">
        <v>204</v>
      </c>
      <c r="B17" s="406" t="s">
        <v>432</v>
      </c>
      <c r="C17" s="477" t="s">
        <v>390</v>
      </c>
      <c r="D17" s="364"/>
      <c r="E17" s="47"/>
      <c r="F17" s="47"/>
      <c r="G17" s="47"/>
      <c r="H17" s="47"/>
      <c r="I17" s="47"/>
      <c r="J17" s="47"/>
      <c r="K17" s="47"/>
      <c r="L17" s="47"/>
      <c r="M17" s="47"/>
      <c r="N17" s="47"/>
      <c r="O17" s="47"/>
      <c r="P17" s="47"/>
      <c r="Q17" s="374" t="e">
        <f t="shared" si="0"/>
        <v>#DIV/0!</v>
      </c>
      <c r="R17" s="375" t="e">
        <f t="shared" si="1"/>
        <v>#DIV/0!</v>
      </c>
      <c r="S17" s="376" t="e">
        <f t="shared" si="2"/>
        <v>#DIV/0!</v>
      </c>
    </row>
    <row r="18" spans="1:19" s="120" customFormat="1" ht="32.1" customHeight="1" x14ac:dyDescent="0.2">
      <c r="A18" s="361" t="s">
        <v>204</v>
      </c>
      <c r="B18" s="406" t="s">
        <v>433</v>
      </c>
      <c r="C18" s="477" t="s">
        <v>391</v>
      </c>
      <c r="D18" s="364"/>
      <c r="E18" s="47"/>
      <c r="F18" s="47"/>
      <c r="G18" s="47"/>
      <c r="H18" s="47"/>
      <c r="I18" s="47"/>
      <c r="J18" s="47"/>
      <c r="K18" s="47"/>
      <c r="L18" s="47"/>
      <c r="M18" s="47"/>
      <c r="N18" s="47"/>
      <c r="O18" s="47"/>
      <c r="P18" s="47"/>
      <c r="Q18" s="374" t="e">
        <f t="shared" si="0"/>
        <v>#DIV/0!</v>
      </c>
      <c r="R18" s="375" t="e">
        <f t="shared" si="1"/>
        <v>#DIV/0!</v>
      </c>
      <c r="S18" s="376" t="e">
        <f t="shared" si="2"/>
        <v>#DIV/0!</v>
      </c>
    </row>
    <row r="19" spans="1:19" s="120" customFormat="1" ht="32.1" customHeight="1" x14ac:dyDescent="0.2">
      <c r="A19" s="361" t="s">
        <v>204</v>
      </c>
      <c r="B19" s="406" t="s">
        <v>235</v>
      </c>
      <c r="C19" s="477" t="s">
        <v>499</v>
      </c>
      <c r="D19" s="364">
        <v>26</v>
      </c>
      <c r="E19" s="47"/>
      <c r="F19" s="47"/>
      <c r="G19" s="47"/>
      <c r="H19" s="47"/>
      <c r="I19" s="47"/>
      <c r="J19" s="47"/>
      <c r="K19" s="47">
        <v>97.35</v>
      </c>
      <c r="L19" s="47"/>
      <c r="M19" s="47"/>
      <c r="N19" s="47"/>
      <c r="O19" s="47"/>
      <c r="P19" s="47"/>
      <c r="Q19" s="374">
        <f t="shared" si="0"/>
        <v>97.35</v>
      </c>
      <c r="R19" s="375" t="str">
        <f t="shared" si="1"/>
        <v>NO</v>
      </c>
      <c r="S19" s="376" t="str">
        <f t="shared" si="2"/>
        <v>Inviable Sanitariamente</v>
      </c>
    </row>
    <row r="20" spans="1:19" s="120" customFormat="1" ht="32.1" customHeight="1" x14ac:dyDescent="0.2">
      <c r="A20" s="361" t="s">
        <v>204</v>
      </c>
      <c r="B20" s="406" t="s">
        <v>47</v>
      </c>
      <c r="C20" s="477" t="s">
        <v>393</v>
      </c>
      <c r="D20" s="364">
        <v>46</v>
      </c>
      <c r="E20" s="47"/>
      <c r="F20" s="47"/>
      <c r="G20" s="47"/>
      <c r="H20" s="47"/>
      <c r="I20" s="47"/>
      <c r="J20" s="47"/>
      <c r="K20" s="47"/>
      <c r="L20" s="47"/>
      <c r="M20" s="47">
        <v>97.35</v>
      </c>
      <c r="N20" s="47"/>
      <c r="O20" s="47"/>
      <c r="P20" s="47"/>
      <c r="Q20" s="374">
        <f t="shared" si="0"/>
        <v>97.35</v>
      </c>
      <c r="R20" s="375" t="str">
        <f t="shared" si="1"/>
        <v>NO</v>
      </c>
      <c r="S20" s="376" t="str">
        <f t="shared" si="2"/>
        <v>Inviable Sanitariamente</v>
      </c>
    </row>
    <row r="21" spans="1:19" s="120" customFormat="1" ht="32.1" customHeight="1" x14ac:dyDescent="0.2">
      <c r="A21" s="361" t="s">
        <v>204</v>
      </c>
      <c r="B21" s="406" t="s">
        <v>500</v>
      </c>
      <c r="C21" s="477" t="s">
        <v>394</v>
      </c>
      <c r="D21" s="364">
        <v>110</v>
      </c>
      <c r="E21" s="47"/>
      <c r="F21" s="47"/>
      <c r="G21" s="47"/>
      <c r="H21" s="47"/>
      <c r="I21" s="47"/>
      <c r="J21" s="47"/>
      <c r="K21" s="47"/>
      <c r="L21" s="47"/>
      <c r="M21" s="47"/>
      <c r="N21" s="47"/>
      <c r="O21" s="47">
        <v>97.35</v>
      </c>
      <c r="P21" s="47"/>
      <c r="Q21" s="374">
        <f t="shared" si="0"/>
        <v>97.35</v>
      </c>
      <c r="R21" s="375" t="str">
        <f t="shared" si="1"/>
        <v>NO</v>
      </c>
      <c r="S21" s="376" t="str">
        <f t="shared" si="2"/>
        <v>Inviable Sanitariamente</v>
      </c>
    </row>
    <row r="22" spans="1:19" s="120" customFormat="1" ht="32.1" customHeight="1" x14ac:dyDescent="0.2">
      <c r="A22" s="361" t="s">
        <v>204</v>
      </c>
      <c r="B22" s="406" t="s">
        <v>434</v>
      </c>
      <c r="C22" s="477" t="s">
        <v>395</v>
      </c>
      <c r="D22" s="364">
        <v>57</v>
      </c>
      <c r="E22" s="47"/>
      <c r="F22" s="47"/>
      <c r="G22" s="47"/>
      <c r="H22" s="47"/>
      <c r="I22" s="47"/>
      <c r="J22" s="47"/>
      <c r="K22" s="47"/>
      <c r="L22" s="47"/>
      <c r="M22" s="47"/>
      <c r="N22" s="47"/>
      <c r="O22" s="47">
        <v>97.35</v>
      </c>
      <c r="P22" s="47"/>
      <c r="Q22" s="374">
        <f t="shared" si="0"/>
        <v>97.35</v>
      </c>
      <c r="R22" s="375" t="str">
        <f t="shared" si="1"/>
        <v>NO</v>
      </c>
      <c r="S22" s="376" t="str">
        <f t="shared" si="2"/>
        <v>Inviable Sanitariamente</v>
      </c>
    </row>
    <row r="23" spans="1:19" s="120" customFormat="1" ht="32.1" customHeight="1" x14ac:dyDescent="0.2">
      <c r="A23" s="361" t="s">
        <v>204</v>
      </c>
      <c r="B23" s="406" t="s">
        <v>501</v>
      </c>
      <c r="C23" s="477" t="s">
        <v>502</v>
      </c>
      <c r="D23" s="364">
        <v>60</v>
      </c>
      <c r="E23" s="47"/>
      <c r="F23" s="47"/>
      <c r="G23" s="47"/>
      <c r="H23" s="47"/>
      <c r="I23" s="47">
        <v>100</v>
      </c>
      <c r="J23" s="47"/>
      <c r="K23" s="47"/>
      <c r="L23" s="47"/>
      <c r="M23" s="47"/>
      <c r="N23" s="47"/>
      <c r="O23" s="47"/>
      <c r="P23" s="47"/>
      <c r="Q23" s="374">
        <f t="shared" si="0"/>
        <v>100</v>
      </c>
      <c r="R23" s="375" t="str">
        <f t="shared" si="1"/>
        <v>NO</v>
      </c>
      <c r="S23" s="376" t="str">
        <f t="shared" si="2"/>
        <v>Inviable Sanitariamente</v>
      </c>
    </row>
    <row r="24" spans="1:19" s="120" customFormat="1" ht="32.1" customHeight="1" x14ac:dyDescent="0.2">
      <c r="A24" s="361" t="s">
        <v>204</v>
      </c>
      <c r="B24" s="406" t="s">
        <v>503</v>
      </c>
      <c r="C24" s="477" t="s">
        <v>406</v>
      </c>
      <c r="D24" s="364">
        <v>23</v>
      </c>
      <c r="E24" s="47"/>
      <c r="F24" s="47"/>
      <c r="G24" s="47"/>
      <c r="H24" s="47"/>
      <c r="I24" s="47">
        <v>97.35</v>
      </c>
      <c r="J24" s="47"/>
      <c r="K24" s="47"/>
      <c r="L24" s="47"/>
      <c r="M24" s="47">
        <v>97.35</v>
      </c>
      <c r="N24" s="47"/>
      <c r="O24" s="47"/>
      <c r="P24" s="47"/>
      <c r="Q24" s="374">
        <f t="shared" si="0"/>
        <v>97.35</v>
      </c>
      <c r="R24" s="375" t="str">
        <f t="shared" si="1"/>
        <v>NO</v>
      </c>
      <c r="S24" s="376" t="str">
        <f t="shared" si="2"/>
        <v>Inviable Sanitariamente</v>
      </c>
    </row>
    <row r="25" spans="1:19" s="120" customFormat="1" ht="32.1" customHeight="1" x14ac:dyDescent="0.2">
      <c r="A25" s="361" t="s">
        <v>204</v>
      </c>
      <c r="B25" s="406" t="s">
        <v>504</v>
      </c>
      <c r="C25" s="477" t="s">
        <v>392</v>
      </c>
      <c r="D25" s="364"/>
      <c r="E25" s="47"/>
      <c r="F25" s="47"/>
      <c r="G25" s="47"/>
      <c r="H25" s="47"/>
      <c r="I25" s="47"/>
      <c r="J25" s="47"/>
      <c r="K25" s="47"/>
      <c r="L25" s="47"/>
      <c r="M25" s="47"/>
      <c r="N25" s="47"/>
      <c r="O25" s="47"/>
      <c r="P25" s="47"/>
      <c r="Q25" s="374" t="e">
        <f t="shared" si="0"/>
        <v>#DIV/0!</v>
      </c>
      <c r="R25" s="375" t="e">
        <f t="shared" si="1"/>
        <v>#DIV/0!</v>
      </c>
      <c r="S25" s="376" t="e">
        <f t="shared" si="2"/>
        <v>#DIV/0!</v>
      </c>
    </row>
    <row r="26" spans="1:19" s="120" customFormat="1" ht="32.1" customHeight="1" x14ac:dyDescent="0.2">
      <c r="A26" s="361" t="s">
        <v>204</v>
      </c>
      <c r="B26" s="406" t="s">
        <v>6</v>
      </c>
      <c r="C26" s="477" t="s">
        <v>396</v>
      </c>
      <c r="D26" s="364">
        <v>44</v>
      </c>
      <c r="E26" s="47">
        <v>97.35</v>
      </c>
      <c r="F26" s="47">
        <v>26.55</v>
      </c>
      <c r="G26" s="47"/>
      <c r="H26" s="47"/>
      <c r="I26" s="47">
        <v>97.35</v>
      </c>
      <c r="J26" s="47"/>
      <c r="K26" s="47"/>
      <c r="L26" s="47">
        <v>97.35</v>
      </c>
      <c r="M26" s="47">
        <v>0</v>
      </c>
      <c r="N26" s="47"/>
      <c r="O26" s="47"/>
      <c r="P26" s="47"/>
      <c r="Q26" s="374">
        <f t="shared" si="0"/>
        <v>63.720000000000006</v>
      </c>
      <c r="R26" s="375" t="str">
        <f t="shared" si="1"/>
        <v>NO</v>
      </c>
      <c r="S26" s="376" t="str">
        <f t="shared" si="2"/>
        <v>Alto</v>
      </c>
    </row>
    <row r="27" spans="1:19" s="120" customFormat="1" ht="32.1" customHeight="1" x14ac:dyDescent="0.2">
      <c r="A27" s="361" t="s">
        <v>204</v>
      </c>
      <c r="B27" s="406" t="s">
        <v>505</v>
      </c>
      <c r="C27" s="477" t="s">
        <v>397</v>
      </c>
      <c r="D27" s="364">
        <v>17</v>
      </c>
      <c r="E27" s="47">
        <v>97.35</v>
      </c>
      <c r="F27" s="47">
        <v>97.35</v>
      </c>
      <c r="G27" s="47"/>
      <c r="H27" s="47"/>
      <c r="I27" s="47"/>
      <c r="J27" s="47"/>
      <c r="K27" s="47"/>
      <c r="L27" s="47">
        <v>97.35</v>
      </c>
      <c r="M27" s="47">
        <v>26.55</v>
      </c>
      <c r="N27" s="47"/>
      <c r="O27" s="47"/>
      <c r="P27" s="47"/>
      <c r="Q27" s="374">
        <f t="shared" si="0"/>
        <v>79.649999999999991</v>
      </c>
      <c r="R27" s="375" t="str">
        <f t="shared" si="1"/>
        <v>NO</v>
      </c>
      <c r="S27" s="376" t="str">
        <f t="shared" si="2"/>
        <v>Alto</v>
      </c>
    </row>
    <row r="28" spans="1:19" s="120" customFormat="1" ht="32.1" customHeight="1" x14ac:dyDescent="0.2">
      <c r="A28" s="361" t="s">
        <v>204</v>
      </c>
      <c r="B28" s="406" t="s">
        <v>426</v>
      </c>
      <c r="C28" s="477" t="s">
        <v>398</v>
      </c>
      <c r="D28" s="364">
        <v>42</v>
      </c>
      <c r="E28" s="47"/>
      <c r="F28" s="47"/>
      <c r="G28" s="47"/>
      <c r="H28" s="47"/>
      <c r="I28" s="47">
        <v>97.35</v>
      </c>
      <c r="J28" s="47"/>
      <c r="K28" s="47"/>
      <c r="L28" s="47"/>
      <c r="M28" s="47">
        <v>26.55</v>
      </c>
      <c r="N28" s="47"/>
      <c r="O28" s="47"/>
      <c r="P28" s="47"/>
      <c r="Q28" s="374">
        <f t="shared" si="0"/>
        <v>61.949999999999996</v>
      </c>
      <c r="R28" s="375" t="str">
        <f t="shared" si="1"/>
        <v>NO</v>
      </c>
      <c r="S28" s="376" t="str">
        <f t="shared" si="2"/>
        <v>Alto</v>
      </c>
    </row>
    <row r="29" spans="1:19" s="120" customFormat="1" ht="32.1" customHeight="1" x14ac:dyDescent="0.2">
      <c r="A29" s="361" t="s">
        <v>204</v>
      </c>
      <c r="B29" s="406" t="s">
        <v>435</v>
      </c>
      <c r="C29" s="477" t="s">
        <v>506</v>
      </c>
      <c r="D29" s="364">
        <v>41</v>
      </c>
      <c r="E29" s="47">
        <v>97.35</v>
      </c>
      <c r="F29" s="47"/>
      <c r="G29" s="47"/>
      <c r="H29" s="47"/>
      <c r="I29" s="47"/>
      <c r="J29" s="47"/>
      <c r="K29" s="47"/>
      <c r="L29" s="47">
        <v>97.35</v>
      </c>
      <c r="M29" s="47">
        <v>0</v>
      </c>
      <c r="N29" s="47"/>
      <c r="O29" s="47"/>
      <c r="P29" s="47"/>
      <c r="Q29" s="374">
        <f t="shared" si="0"/>
        <v>64.899999999999991</v>
      </c>
      <c r="R29" s="375" t="str">
        <f t="shared" si="1"/>
        <v>NO</v>
      </c>
      <c r="S29" s="376" t="str">
        <f t="shared" si="2"/>
        <v>Alto</v>
      </c>
    </row>
    <row r="30" spans="1:19" s="120" customFormat="1" ht="32.1" customHeight="1" x14ac:dyDescent="0.2">
      <c r="A30" s="361" t="s">
        <v>204</v>
      </c>
      <c r="B30" s="406" t="s">
        <v>436</v>
      </c>
      <c r="C30" s="477" t="s">
        <v>399</v>
      </c>
      <c r="D30" s="364"/>
      <c r="E30" s="47"/>
      <c r="F30" s="47"/>
      <c r="G30" s="47"/>
      <c r="H30" s="47"/>
      <c r="I30" s="47"/>
      <c r="J30" s="47"/>
      <c r="K30" s="47"/>
      <c r="L30" s="47"/>
      <c r="M30" s="47"/>
      <c r="N30" s="47"/>
      <c r="O30" s="47"/>
      <c r="P30" s="47"/>
      <c r="Q30" s="374" t="e">
        <f t="shared" si="0"/>
        <v>#DIV/0!</v>
      </c>
      <c r="R30" s="375" t="e">
        <f t="shared" si="1"/>
        <v>#DIV/0!</v>
      </c>
      <c r="S30" s="376" t="e">
        <f t="shared" si="2"/>
        <v>#DIV/0!</v>
      </c>
    </row>
    <row r="31" spans="1:19" s="120" customFormat="1" ht="32.1" customHeight="1" x14ac:dyDescent="0.2">
      <c r="A31" s="361" t="s">
        <v>204</v>
      </c>
      <c r="B31" s="406" t="s">
        <v>507</v>
      </c>
      <c r="C31" s="477" t="s">
        <v>400</v>
      </c>
      <c r="D31" s="364">
        <v>28</v>
      </c>
      <c r="E31" s="47"/>
      <c r="F31" s="47"/>
      <c r="G31" s="47"/>
      <c r="H31" s="47"/>
      <c r="I31" s="47"/>
      <c r="J31" s="47"/>
      <c r="K31" s="47"/>
      <c r="L31" s="47"/>
      <c r="M31" s="47">
        <v>97.35</v>
      </c>
      <c r="N31" s="47"/>
      <c r="O31" s="47"/>
      <c r="P31" s="47"/>
      <c r="Q31" s="374">
        <f t="shared" si="0"/>
        <v>97.35</v>
      </c>
      <c r="R31" s="375" t="str">
        <f t="shared" si="1"/>
        <v>NO</v>
      </c>
      <c r="S31" s="376" t="str">
        <f t="shared" si="2"/>
        <v>Inviable Sanitariamente</v>
      </c>
    </row>
    <row r="32" spans="1:19" s="120" customFormat="1" ht="32.1" customHeight="1" x14ac:dyDescent="0.2">
      <c r="A32" s="361" t="s">
        <v>204</v>
      </c>
      <c r="B32" s="406" t="s">
        <v>16</v>
      </c>
      <c r="C32" s="477" t="s">
        <v>401</v>
      </c>
      <c r="D32" s="364">
        <v>36</v>
      </c>
      <c r="E32" s="47"/>
      <c r="F32" s="47"/>
      <c r="G32" s="47">
        <v>97.4</v>
      </c>
      <c r="H32" s="47"/>
      <c r="I32" s="47"/>
      <c r="J32" s="47"/>
      <c r="K32" s="47"/>
      <c r="L32" s="47"/>
      <c r="M32" s="47"/>
      <c r="N32" s="47"/>
      <c r="O32" s="47"/>
      <c r="P32" s="47"/>
      <c r="Q32" s="374">
        <f t="shared" si="0"/>
        <v>97.4</v>
      </c>
      <c r="R32" s="375" t="str">
        <f t="shared" si="1"/>
        <v>NO</v>
      </c>
      <c r="S32" s="376" t="str">
        <f t="shared" si="2"/>
        <v>Inviable Sanitariamente</v>
      </c>
    </row>
    <row r="33" spans="1:19" s="120" customFormat="1" ht="32.1" customHeight="1" x14ac:dyDescent="0.2">
      <c r="A33" s="361" t="s">
        <v>204</v>
      </c>
      <c r="B33" s="406" t="s">
        <v>508</v>
      </c>
      <c r="C33" s="477" t="s">
        <v>402</v>
      </c>
      <c r="D33" s="364">
        <v>54</v>
      </c>
      <c r="E33" s="47"/>
      <c r="F33" s="47"/>
      <c r="G33" s="47">
        <v>61.95</v>
      </c>
      <c r="H33" s="47"/>
      <c r="I33" s="47"/>
      <c r="J33" s="47"/>
      <c r="K33" s="47"/>
      <c r="L33" s="47"/>
      <c r="M33" s="47"/>
      <c r="N33" s="47"/>
      <c r="O33" s="47"/>
      <c r="P33" s="47"/>
      <c r="Q33" s="374">
        <f t="shared" si="0"/>
        <v>61.95</v>
      </c>
      <c r="R33" s="375" t="str">
        <f t="shared" si="1"/>
        <v>NO</v>
      </c>
      <c r="S33" s="376" t="str">
        <f t="shared" si="2"/>
        <v>Alto</v>
      </c>
    </row>
    <row r="34" spans="1:19" s="120" customFormat="1" ht="32.1" customHeight="1" x14ac:dyDescent="0.2">
      <c r="A34" s="361" t="s">
        <v>204</v>
      </c>
      <c r="B34" s="406" t="s">
        <v>437</v>
      </c>
      <c r="C34" s="477" t="s">
        <v>403</v>
      </c>
      <c r="D34" s="364">
        <v>127</v>
      </c>
      <c r="E34" s="47"/>
      <c r="F34" s="47">
        <v>97.35</v>
      </c>
      <c r="G34" s="47"/>
      <c r="H34" s="47"/>
      <c r="I34" s="47"/>
      <c r="J34" s="47"/>
      <c r="K34" s="47"/>
      <c r="L34" s="47"/>
      <c r="M34" s="47"/>
      <c r="N34" s="47"/>
      <c r="O34" s="47">
        <v>97.35</v>
      </c>
      <c r="P34" s="47"/>
      <c r="Q34" s="374">
        <f t="shared" si="0"/>
        <v>97.35</v>
      </c>
      <c r="R34" s="375" t="str">
        <f t="shared" si="1"/>
        <v>NO</v>
      </c>
      <c r="S34" s="376" t="str">
        <f t="shared" si="2"/>
        <v>Inviable Sanitariamente</v>
      </c>
    </row>
    <row r="35" spans="1:19" s="120" customFormat="1" ht="32.1" customHeight="1" x14ac:dyDescent="0.2">
      <c r="A35" s="361" t="s">
        <v>204</v>
      </c>
      <c r="B35" s="406" t="s">
        <v>447</v>
      </c>
      <c r="C35" s="477" t="s">
        <v>417</v>
      </c>
      <c r="D35" s="364">
        <v>24</v>
      </c>
      <c r="E35" s="47"/>
      <c r="F35" s="47"/>
      <c r="G35" s="47"/>
      <c r="H35" s="47"/>
      <c r="I35" s="47"/>
      <c r="J35" s="47"/>
      <c r="K35" s="47"/>
      <c r="L35" s="47"/>
      <c r="M35" s="47"/>
      <c r="N35" s="47"/>
      <c r="O35" s="47">
        <v>97.35</v>
      </c>
      <c r="P35" s="47"/>
      <c r="Q35" s="374">
        <f t="shared" si="0"/>
        <v>97.35</v>
      </c>
      <c r="R35" s="375" t="str">
        <f t="shared" si="1"/>
        <v>NO</v>
      </c>
      <c r="S35" s="376" t="str">
        <f t="shared" si="2"/>
        <v>Inviable Sanitariamente</v>
      </c>
    </row>
    <row r="36" spans="1:19" s="120" customFormat="1" ht="32.1" customHeight="1" x14ac:dyDescent="0.2">
      <c r="A36" s="361" t="s">
        <v>204</v>
      </c>
      <c r="B36" s="406" t="s">
        <v>509</v>
      </c>
      <c r="C36" s="477" t="s">
        <v>444</v>
      </c>
      <c r="D36" s="364">
        <v>6</v>
      </c>
      <c r="E36" s="47"/>
      <c r="F36" s="47"/>
      <c r="G36" s="47"/>
      <c r="H36" s="47"/>
      <c r="I36" s="47"/>
      <c r="J36" s="47"/>
      <c r="K36" s="47">
        <v>97.35</v>
      </c>
      <c r="L36" s="47"/>
      <c r="M36" s="47"/>
      <c r="N36" s="47"/>
      <c r="O36" s="47"/>
      <c r="P36" s="47"/>
      <c r="Q36" s="374">
        <f t="shared" si="0"/>
        <v>97.35</v>
      </c>
      <c r="R36" s="375" t="str">
        <f t="shared" si="1"/>
        <v>NO</v>
      </c>
      <c r="S36" s="376" t="str">
        <f t="shared" si="2"/>
        <v>Inviable Sanitariamente</v>
      </c>
    </row>
    <row r="37" spans="1:19" s="120" customFormat="1" ht="32.1" customHeight="1" x14ac:dyDescent="0.2">
      <c r="A37" s="361" t="s">
        <v>204</v>
      </c>
      <c r="B37" s="406" t="s">
        <v>510</v>
      </c>
      <c r="C37" s="477" t="s">
        <v>438</v>
      </c>
      <c r="D37" s="364">
        <v>128</v>
      </c>
      <c r="E37" s="47"/>
      <c r="F37" s="47"/>
      <c r="G37" s="47"/>
      <c r="H37" s="47"/>
      <c r="I37" s="47"/>
      <c r="J37" s="47"/>
      <c r="K37" s="47">
        <v>97.35</v>
      </c>
      <c r="L37" s="47"/>
      <c r="M37" s="47"/>
      <c r="N37" s="47"/>
      <c r="O37" s="47"/>
      <c r="P37" s="47"/>
      <c r="Q37" s="374">
        <f t="shared" si="0"/>
        <v>97.35</v>
      </c>
      <c r="R37" s="375" t="str">
        <f t="shared" si="1"/>
        <v>NO</v>
      </c>
      <c r="S37" s="376" t="str">
        <f t="shared" si="2"/>
        <v>Inviable Sanitariamente</v>
      </c>
    </row>
    <row r="38" spans="1:19" s="120" customFormat="1" ht="32.1" customHeight="1" x14ac:dyDescent="0.2">
      <c r="A38" s="361" t="s">
        <v>204</v>
      </c>
      <c r="B38" s="406" t="s">
        <v>439</v>
      </c>
      <c r="C38" s="477" t="s">
        <v>404</v>
      </c>
      <c r="D38" s="364">
        <v>19</v>
      </c>
      <c r="E38" s="47"/>
      <c r="F38" s="47"/>
      <c r="G38" s="47"/>
      <c r="H38" s="47"/>
      <c r="I38" s="47"/>
      <c r="J38" s="47"/>
      <c r="K38" s="47"/>
      <c r="L38" s="47"/>
      <c r="M38" s="47"/>
      <c r="N38" s="47">
        <v>97.35</v>
      </c>
      <c r="O38" s="47"/>
      <c r="P38" s="47"/>
      <c r="Q38" s="374">
        <f t="shared" si="0"/>
        <v>97.35</v>
      </c>
      <c r="R38" s="375" t="str">
        <f t="shared" si="1"/>
        <v>NO</v>
      </c>
      <c r="S38" s="376" t="str">
        <f t="shared" si="2"/>
        <v>Inviable Sanitariamente</v>
      </c>
    </row>
    <row r="39" spans="1:19" s="120" customFormat="1" ht="32.1" customHeight="1" x14ac:dyDescent="0.2">
      <c r="A39" s="361" t="s">
        <v>204</v>
      </c>
      <c r="B39" s="406" t="s">
        <v>440</v>
      </c>
      <c r="C39" s="477" t="s">
        <v>405</v>
      </c>
      <c r="D39" s="364">
        <v>8</v>
      </c>
      <c r="E39" s="47"/>
      <c r="F39" s="47">
        <v>97.35</v>
      </c>
      <c r="G39" s="47"/>
      <c r="H39" s="47"/>
      <c r="I39" s="47"/>
      <c r="J39" s="47"/>
      <c r="K39" s="47"/>
      <c r="L39" s="47"/>
      <c r="M39" s="47"/>
      <c r="N39" s="47"/>
      <c r="O39" s="47">
        <v>97.35</v>
      </c>
      <c r="P39" s="47"/>
      <c r="Q39" s="374">
        <f t="shared" si="0"/>
        <v>97.35</v>
      </c>
      <c r="R39" s="375" t="str">
        <f t="shared" si="1"/>
        <v>NO</v>
      </c>
      <c r="S39" s="376" t="str">
        <f t="shared" si="2"/>
        <v>Inviable Sanitariamente</v>
      </c>
    </row>
    <row r="40" spans="1:19" s="120" customFormat="1" ht="32.1" customHeight="1" x14ac:dyDescent="0.2">
      <c r="A40" s="361" t="s">
        <v>204</v>
      </c>
      <c r="B40" s="406" t="s">
        <v>442</v>
      </c>
      <c r="C40" s="477" t="s">
        <v>407</v>
      </c>
      <c r="D40" s="364"/>
      <c r="E40" s="47"/>
      <c r="F40" s="47"/>
      <c r="G40" s="47"/>
      <c r="H40" s="47"/>
      <c r="I40" s="47"/>
      <c r="J40" s="47"/>
      <c r="K40" s="47"/>
      <c r="L40" s="47"/>
      <c r="M40" s="47"/>
      <c r="N40" s="47"/>
      <c r="O40" s="47"/>
      <c r="P40" s="47"/>
      <c r="Q40" s="374" t="e">
        <f t="shared" si="0"/>
        <v>#DIV/0!</v>
      </c>
      <c r="R40" s="375" t="e">
        <f t="shared" si="1"/>
        <v>#DIV/0!</v>
      </c>
      <c r="S40" s="376" t="e">
        <f t="shared" si="2"/>
        <v>#DIV/0!</v>
      </c>
    </row>
    <row r="41" spans="1:19" s="120" customFormat="1" ht="32.1" customHeight="1" x14ac:dyDescent="0.2">
      <c r="A41" s="361" t="s">
        <v>204</v>
      </c>
      <c r="B41" s="406" t="s">
        <v>443</v>
      </c>
      <c r="C41" s="477" t="s">
        <v>408</v>
      </c>
      <c r="D41" s="364">
        <v>37</v>
      </c>
      <c r="E41" s="47"/>
      <c r="F41" s="47"/>
      <c r="G41" s="47"/>
      <c r="H41" s="47"/>
      <c r="I41" s="47"/>
      <c r="J41" s="47"/>
      <c r="K41" s="47"/>
      <c r="L41" s="47"/>
      <c r="M41" s="47"/>
      <c r="N41" s="47"/>
      <c r="O41" s="47">
        <v>97.35</v>
      </c>
      <c r="P41" s="47"/>
      <c r="Q41" s="374">
        <f t="shared" si="0"/>
        <v>97.35</v>
      </c>
      <c r="R41" s="375" t="str">
        <f t="shared" si="1"/>
        <v>NO</v>
      </c>
      <c r="S41" s="376" t="str">
        <f t="shared" si="2"/>
        <v>Inviable Sanitariamente</v>
      </c>
    </row>
    <row r="42" spans="1:19" s="120" customFormat="1" ht="32.1" customHeight="1" x14ac:dyDescent="0.2">
      <c r="A42" s="361" t="s">
        <v>204</v>
      </c>
      <c r="B42" s="406" t="s">
        <v>1</v>
      </c>
      <c r="C42" s="477" t="s">
        <v>511</v>
      </c>
      <c r="D42" s="364">
        <v>50</v>
      </c>
      <c r="E42" s="47"/>
      <c r="F42" s="47">
        <v>97.35</v>
      </c>
      <c r="G42" s="47"/>
      <c r="H42" s="47"/>
      <c r="I42" s="47"/>
      <c r="J42" s="47"/>
      <c r="K42" s="47"/>
      <c r="L42" s="47"/>
      <c r="M42" s="47"/>
      <c r="N42" s="47"/>
      <c r="O42" s="47">
        <v>97.35</v>
      </c>
      <c r="P42" s="47"/>
      <c r="Q42" s="374">
        <f t="shared" si="0"/>
        <v>97.35</v>
      </c>
      <c r="R42" s="375" t="str">
        <f t="shared" si="1"/>
        <v>NO</v>
      </c>
      <c r="S42" s="376" t="str">
        <f t="shared" si="2"/>
        <v>Inviable Sanitariamente</v>
      </c>
    </row>
    <row r="43" spans="1:19" s="120" customFormat="1" ht="32.1" customHeight="1" x14ac:dyDescent="0.2">
      <c r="A43" s="361" t="s">
        <v>204</v>
      </c>
      <c r="B43" s="406" t="s">
        <v>512</v>
      </c>
      <c r="C43" s="477" t="s">
        <v>410</v>
      </c>
      <c r="D43" s="364"/>
      <c r="E43" s="47"/>
      <c r="F43" s="47"/>
      <c r="G43" s="47"/>
      <c r="H43" s="47"/>
      <c r="I43" s="47"/>
      <c r="J43" s="47"/>
      <c r="K43" s="47"/>
      <c r="L43" s="47"/>
      <c r="M43" s="47"/>
      <c r="N43" s="47"/>
      <c r="O43" s="47"/>
      <c r="P43" s="47"/>
      <c r="Q43" s="374" t="e">
        <f t="shared" si="0"/>
        <v>#DIV/0!</v>
      </c>
      <c r="R43" s="375" t="e">
        <f t="shared" si="1"/>
        <v>#DIV/0!</v>
      </c>
      <c r="S43" s="376" t="e">
        <f t="shared" si="2"/>
        <v>#DIV/0!</v>
      </c>
    </row>
    <row r="44" spans="1:19" s="120" customFormat="1" ht="32.1" customHeight="1" x14ac:dyDescent="0.2">
      <c r="A44" s="361" t="s">
        <v>204</v>
      </c>
      <c r="B44" s="406" t="s">
        <v>233</v>
      </c>
      <c r="C44" s="477" t="s">
        <v>412</v>
      </c>
      <c r="D44" s="364">
        <v>27</v>
      </c>
      <c r="E44" s="47"/>
      <c r="F44" s="47"/>
      <c r="G44" s="47"/>
      <c r="H44" s="47"/>
      <c r="I44" s="47"/>
      <c r="J44" s="47"/>
      <c r="K44" s="47"/>
      <c r="L44" s="47"/>
      <c r="M44" s="47"/>
      <c r="N44" s="47"/>
      <c r="O44" s="47">
        <v>97.35</v>
      </c>
      <c r="P44" s="47"/>
      <c r="Q44" s="374">
        <f t="shared" si="0"/>
        <v>97.35</v>
      </c>
      <c r="R44" s="375" t="str">
        <f t="shared" si="1"/>
        <v>NO</v>
      </c>
      <c r="S44" s="376" t="str">
        <f t="shared" ref="S44:S61" si="3">IF(Q44&lt;=5,"Sin Riesgo",IF(Q44 &lt;=14,"Bajo",IF(Q44&lt;=35,"Medio",IF(Q44&lt;=80,"Alto","Inviable Sanitariamente"))))</f>
        <v>Inviable Sanitariamente</v>
      </c>
    </row>
    <row r="45" spans="1:19" s="120" customFormat="1" ht="32.1" customHeight="1" x14ac:dyDescent="0.2">
      <c r="A45" s="361" t="s">
        <v>204</v>
      </c>
      <c r="B45" s="406" t="s">
        <v>54</v>
      </c>
      <c r="C45" s="477" t="s">
        <v>413</v>
      </c>
      <c r="D45" s="364">
        <v>35</v>
      </c>
      <c r="E45" s="47"/>
      <c r="F45" s="47"/>
      <c r="G45" s="47"/>
      <c r="H45" s="47"/>
      <c r="I45" s="47"/>
      <c r="J45" s="47"/>
      <c r="K45" s="47"/>
      <c r="L45" s="47"/>
      <c r="M45" s="47"/>
      <c r="N45" s="47"/>
      <c r="O45" s="47">
        <v>97.35</v>
      </c>
      <c r="P45" s="47"/>
      <c r="Q45" s="374">
        <f t="shared" si="0"/>
        <v>97.35</v>
      </c>
      <c r="R45" s="375" t="str">
        <f t="shared" si="1"/>
        <v>NO</v>
      </c>
      <c r="S45" s="376" t="str">
        <f t="shared" si="3"/>
        <v>Inviable Sanitariamente</v>
      </c>
    </row>
    <row r="46" spans="1:19" s="120" customFormat="1" ht="32.1" customHeight="1" x14ac:dyDescent="0.2">
      <c r="A46" s="361" t="s">
        <v>204</v>
      </c>
      <c r="B46" s="406" t="s">
        <v>513</v>
      </c>
      <c r="C46" s="477" t="s">
        <v>514</v>
      </c>
      <c r="D46" s="364">
        <v>16</v>
      </c>
      <c r="E46" s="47"/>
      <c r="F46" s="47"/>
      <c r="G46" s="47"/>
      <c r="H46" s="47"/>
      <c r="I46" s="47"/>
      <c r="J46" s="47"/>
      <c r="K46" s="47"/>
      <c r="L46" s="47"/>
      <c r="M46" s="47"/>
      <c r="N46" s="47">
        <v>97.35</v>
      </c>
      <c r="O46" s="47"/>
      <c r="P46" s="47"/>
      <c r="Q46" s="374">
        <f t="shared" si="0"/>
        <v>97.35</v>
      </c>
      <c r="R46" s="375" t="str">
        <f t="shared" si="1"/>
        <v>NO</v>
      </c>
      <c r="S46" s="376" t="str">
        <f t="shared" si="3"/>
        <v>Inviable Sanitariamente</v>
      </c>
    </row>
    <row r="47" spans="1:19" s="120" customFormat="1" ht="32.1" customHeight="1" x14ac:dyDescent="0.2">
      <c r="A47" s="361" t="s">
        <v>204</v>
      </c>
      <c r="B47" s="406" t="s">
        <v>515</v>
      </c>
      <c r="C47" s="477" t="s">
        <v>409</v>
      </c>
      <c r="D47" s="364">
        <v>54</v>
      </c>
      <c r="E47" s="47"/>
      <c r="F47" s="47"/>
      <c r="G47" s="47"/>
      <c r="H47" s="47"/>
      <c r="I47" s="47"/>
      <c r="J47" s="47"/>
      <c r="K47" s="47">
        <v>97.35</v>
      </c>
      <c r="L47" s="47"/>
      <c r="M47" s="47"/>
      <c r="N47" s="47"/>
      <c r="O47" s="47"/>
      <c r="P47" s="47"/>
      <c r="Q47" s="374">
        <f t="shared" si="0"/>
        <v>97.35</v>
      </c>
      <c r="R47" s="375" t="str">
        <f t="shared" si="1"/>
        <v>NO</v>
      </c>
      <c r="S47" s="376" t="str">
        <f t="shared" si="3"/>
        <v>Inviable Sanitariamente</v>
      </c>
    </row>
    <row r="48" spans="1:19" s="120" customFormat="1" ht="32.1" customHeight="1" x14ac:dyDescent="0.2">
      <c r="A48" s="361" t="s">
        <v>204</v>
      </c>
      <c r="B48" s="406" t="s">
        <v>516</v>
      </c>
      <c r="C48" s="477" t="s">
        <v>517</v>
      </c>
      <c r="D48" s="364">
        <v>24</v>
      </c>
      <c r="E48" s="47"/>
      <c r="F48" s="47"/>
      <c r="G48" s="47"/>
      <c r="H48" s="47"/>
      <c r="I48" s="47"/>
      <c r="J48" s="47"/>
      <c r="K48" s="47"/>
      <c r="L48" s="47">
        <v>97.35</v>
      </c>
      <c r="M48" s="47"/>
      <c r="N48" s="47"/>
      <c r="O48" s="47"/>
      <c r="P48" s="47"/>
      <c r="Q48" s="374">
        <f t="shared" si="0"/>
        <v>97.35</v>
      </c>
      <c r="R48" s="375" t="str">
        <f t="shared" si="1"/>
        <v>NO</v>
      </c>
      <c r="S48" s="376" t="str">
        <f t="shared" si="3"/>
        <v>Inviable Sanitariamente</v>
      </c>
    </row>
    <row r="49" spans="1:19" s="120" customFormat="1" ht="32.1" customHeight="1" x14ac:dyDescent="0.2">
      <c r="A49" s="361" t="s">
        <v>204</v>
      </c>
      <c r="B49" s="406" t="s">
        <v>60</v>
      </c>
      <c r="C49" s="477" t="s">
        <v>518</v>
      </c>
      <c r="D49" s="364"/>
      <c r="E49" s="47"/>
      <c r="F49" s="47"/>
      <c r="G49" s="47"/>
      <c r="H49" s="47"/>
      <c r="I49" s="47"/>
      <c r="J49" s="47"/>
      <c r="K49" s="47"/>
      <c r="L49" s="47"/>
      <c r="M49" s="47"/>
      <c r="N49" s="47"/>
      <c r="O49" s="47"/>
      <c r="P49" s="47"/>
      <c r="Q49" s="374" t="e">
        <f t="shared" si="0"/>
        <v>#DIV/0!</v>
      </c>
      <c r="R49" s="375" t="e">
        <f t="shared" si="1"/>
        <v>#DIV/0!</v>
      </c>
      <c r="S49" s="376" t="e">
        <f t="shared" si="3"/>
        <v>#DIV/0!</v>
      </c>
    </row>
    <row r="50" spans="1:19" s="120" customFormat="1" ht="32.1" customHeight="1" x14ac:dyDescent="0.2">
      <c r="A50" s="361" t="s">
        <v>204</v>
      </c>
      <c r="B50" s="406" t="s">
        <v>519</v>
      </c>
      <c r="C50" s="477" t="s">
        <v>520</v>
      </c>
      <c r="D50" s="364">
        <v>25</v>
      </c>
      <c r="E50" s="47"/>
      <c r="F50" s="47"/>
      <c r="G50" s="47"/>
      <c r="H50" s="47"/>
      <c r="I50" s="47"/>
      <c r="J50" s="47"/>
      <c r="K50" s="47"/>
      <c r="L50" s="47">
        <v>97.35</v>
      </c>
      <c r="M50" s="47"/>
      <c r="N50" s="47"/>
      <c r="O50" s="47"/>
      <c r="P50" s="47"/>
      <c r="Q50" s="374">
        <f t="shared" si="0"/>
        <v>97.35</v>
      </c>
      <c r="R50" s="375" t="str">
        <f t="shared" si="1"/>
        <v>NO</v>
      </c>
      <c r="S50" s="376" t="str">
        <f t="shared" si="3"/>
        <v>Inviable Sanitariamente</v>
      </c>
    </row>
    <row r="51" spans="1:19" s="120" customFormat="1" ht="32.1" customHeight="1" x14ac:dyDescent="0.2">
      <c r="A51" s="361" t="s">
        <v>204</v>
      </c>
      <c r="B51" s="406" t="s">
        <v>59</v>
      </c>
      <c r="C51" s="477" t="s">
        <v>521</v>
      </c>
      <c r="D51" s="364"/>
      <c r="E51" s="47"/>
      <c r="F51" s="47"/>
      <c r="G51" s="47"/>
      <c r="H51" s="47"/>
      <c r="I51" s="47"/>
      <c r="J51" s="47"/>
      <c r="K51" s="47"/>
      <c r="L51" s="47"/>
      <c r="M51" s="47"/>
      <c r="N51" s="47"/>
      <c r="O51" s="47"/>
      <c r="P51" s="47"/>
      <c r="Q51" s="374" t="e">
        <f t="shared" si="0"/>
        <v>#DIV/0!</v>
      </c>
      <c r="R51" s="375" t="e">
        <f t="shared" si="1"/>
        <v>#DIV/0!</v>
      </c>
      <c r="S51" s="376" t="e">
        <f t="shared" si="3"/>
        <v>#DIV/0!</v>
      </c>
    </row>
    <row r="52" spans="1:19" s="120" customFormat="1" ht="32.1" customHeight="1" x14ac:dyDescent="0.2">
      <c r="A52" s="361" t="s">
        <v>204</v>
      </c>
      <c r="B52" s="406" t="s">
        <v>522</v>
      </c>
      <c r="C52" s="477" t="s">
        <v>523</v>
      </c>
      <c r="D52" s="364"/>
      <c r="E52" s="47"/>
      <c r="F52" s="47"/>
      <c r="G52" s="47"/>
      <c r="H52" s="47"/>
      <c r="I52" s="47"/>
      <c r="J52" s="47"/>
      <c r="K52" s="47"/>
      <c r="L52" s="47"/>
      <c r="M52" s="47"/>
      <c r="N52" s="47"/>
      <c r="O52" s="47"/>
      <c r="P52" s="47"/>
      <c r="Q52" s="374" t="e">
        <f t="shared" si="0"/>
        <v>#DIV/0!</v>
      </c>
      <c r="R52" s="375" t="e">
        <f t="shared" si="1"/>
        <v>#DIV/0!</v>
      </c>
      <c r="S52" s="376" t="e">
        <f t="shared" si="3"/>
        <v>#DIV/0!</v>
      </c>
    </row>
    <row r="53" spans="1:19" s="120" customFormat="1" ht="32.1" customHeight="1" x14ac:dyDescent="0.2">
      <c r="A53" s="361" t="s">
        <v>204</v>
      </c>
      <c r="B53" s="406" t="s">
        <v>524</v>
      </c>
      <c r="C53" s="477" t="s">
        <v>525</v>
      </c>
      <c r="D53" s="364"/>
      <c r="E53" s="47"/>
      <c r="F53" s="47"/>
      <c r="G53" s="47"/>
      <c r="H53" s="47"/>
      <c r="I53" s="47"/>
      <c r="J53" s="47"/>
      <c r="K53" s="47"/>
      <c r="L53" s="47"/>
      <c r="M53" s="47"/>
      <c r="N53" s="47"/>
      <c r="O53" s="47"/>
      <c r="P53" s="47"/>
      <c r="Q53" s="374" t="e">
        <f t="shared" si="0"/>
        <v>#DIV/0!</v>
      </c>
      <c r="R53" s="375" t="e">
        <f t="shared" si="1"/>
        <v>#DIV/0!</v>
      </c>
      <c r="S53" s="376" t="e">
        <f t="shared" si="3"/>
        <v>#DIV/0!</v>
      </c>
    </row>
    <row r="54" spans="1:19" s="120" customFormat="1" ht="32.1" customHeight="1" x14ac:dyDescent="0.2">
      <c r="A54" s="361" t="s">
        <v>204</v>
      </c>
      <c r="B54" s="406" t="s">
        <v>427</v>
      </c>
      <c r="C54" s="477" t="s">
        <v>376</v>
      </c>
      <c r="D54" s="364"/>
      <c r="E54" s="47"/>
      <c r="F54" s="47"/>
      <c r="G54" s="47"/>
      <c r="H54" s="47"/>
      <c r="I54" s="47"/>
      <c r="J54" s="47"/>
      <c r="K54" s="47"/>
      <c r="L54" s="47"/>
      <c r="M54" s="47"/>
      <c r="N54" s="47"/>
      <c r="O54" s="47"/>
      <c r="P54" s="47"/>
      <c r="Q54" s="374" t="e">
        <f t="shared" si="0"/>
        <v>#DIV/0!</v>
      </c>
      <c r="R54" s="375" t="e">
        <f t="shared" si="1"/>
        <v>#DIV/0!</v>
      </c>
      <c r="S54" s="376" t="e">
        <f t="shared" si="3"/>
        <v>#DIV/0!</v>
      </c>
    </row>
    <row r="55" spans="1:19" s="120" customFormat="1" ht="32.1" customHeight="1" x14ac:dyDescent="0.2">
      <c r="A55" s="361" t="s">
        <v>204</v>
      </c>
      <c r="B55" s="406" t="s">
        <v>239</v>
      </c>
      <c r="C55" s="477" t="s">
        <v>526</v>
      </c>
      <c r="D55" s="364">
        <v>21</v>
      </c>
      <c r="E55" s="47"/>
      <c r="F55" s="47"/>
      <c r="G55" s="47"/>
      <c r="H55" s="47"/>
      <c r="I55" s="47"/>
      <c r="J55" s="47"/>
      <c r="K55" s="47"/>
      <c r="L55" s="47"/>
      <c r="M55" s="47"/>
      <c r="N55" s="47"/>
      <c r="O55" s="47">
        <v>97.35</v>
      </c>
      <c r="P55" s="47"/>
      <c r="Q55" s="374">
        <f t="shared" si="0"/>
        <v>97.35</v>
      </c>
      <c r="R55" s="375" t="str">
        <f t="shared" si="1"/>
        <v>NO</v>
      </c>
      <c r="S55" s="376" t="str">
        <f t="shared" si="3"/>
        <v>Inviable Sanitariamente</v>
      </c>
    </row>
    <row r="56" spans="1:19" s="120" customFormat="1" ht="32.1" customHeight="1" x14ac:dyDescent="0.2">
      <c r="A56" s="361" t="s">
        <v>204</v>
      </c>
      <c r="B56" s="406" t="s">
        <v>527</v>
      </c>
      <c r="C56" s="477" t="s">
        <v>414</v>
      </c>
      <c r="D56" s="364"/>
      <c r="E56" s="47"/>
      <c r="F56" s="47"/>
      <c r="G56" s="47"/>
      <c r="H56" s="47"/>
      <c r="I56" s="47"/>
      <c r="J56" s="47"/>
      <c r="K56" s="47"/>
      <c r="L56" s="47"/>
      <c r="M56" s="47"/>
      <c r="N56" s="47"/>
      <c r="O56" s="47"/>
      <c r="P56" s="47"/>
      <c r="Q56" s="374" t="e">
        <f t="shared" si="0"/>
        <v>#DIV/0!</v>
      </c>
      <c r="R56" s="375" t="e">
        <f t="shared" si="1"/>
        <v>#DIV/0!</v>
      </c>
      <c r="S56" s="376" t="e">
        <f t="shared" si="3"/>
        <v>#DIV/0!</v>
      </c>
    </row>
    <row r="57" spans="1:19" s="120" customFormat="1" ht="32.1" customHeight="1" x14ac:dyDescent="0.2">
      <c r="A57" s="361" t="s">
        <v>204</v>
      </c>
      <c r="B57" s="406" t="s">
        <v>445</v>
      </c>
      <c r="C57" s="477" t="s">
        <v>415</v>
      </c>
      <c r="D57" s="364">
        <v>12</v>
      </c>
      <c r="E57" s="47"/>
      <c r="F57" s="47"/>
      <c r="G57" s="47"/>
      <c r="H57" s="47"/>
      <c r="I57" s="47"/>
      <c r="J57" s="47"/>
      <c r="K57" s="47"/>
      <c r="L57" s="47"/>
      <c r="M57" s="47"/>
      <c r="N57" s="47">
        <v>97.35</v>
      </c>
      <c r="O57" s="47"/>
      <c r="P57" s="47"/>
      <c r="Q57" s="374">
        <f t="shared" si="0"/>
        <v>97.35</v>
      </c>
      <c r="R57" s="375" t="str">
        <f t="shared" si="1"/>
        <v>NO</v>
      </c>
      <c r="S57" s="376" t="str">
        <f t="shared" si="3"/>
        <v>Inviable Sanitariamente</v>
      </c>
    </row>
    <row r="58" spans="1:19" s="120" customFormat="1" ht="32.1" customHeight="1" x14ac:dyDescent="0.2">
      <c r="A58" s="361" t="s">
        <v>204</v>
      </c>
      <c r="B58" s="406" t="s">
        <v>528</v>
      </c>
      <c r="C58" s="477" t="s">
        <v>389</v>
      </c>
      <c r="D58" s="364">
        <v>98</v>
      </c>
      <c r="E58" s="47"/>
      <c r="F58" s="47">
        <v>97.35</v>
      </c>
      <c r="G58" s="47"/>
      <c r="H58" s="47"/>
      <c r="I58" s="47"/>
      <c r="J58" s="47"/>
      <c r="K58" s="47">
        <v>97.35</v>
      </c>
      <c r="L58" s="47"/>
      <c r="M58" s="47"/>
      <c r="N58" s="47"/>
      <c r="O58" s="47"/>
      <c r="P58" s="47"/>
      <c r="Q58" s="374">
        <f t="shared" si="0"/>
        <v>97.35</v>
      </c>
      <c r="R58" s="375" t="str">
        <f t="shared" si="1"/>
        <v>NO</v>
      </c>
      <c r="S58" s="376" t="str">
        <f t="shared" si="3"/>
        <v>Inviable Sanitariamente</v>
      </c>
    </row>
    <row r="59" spans="1:19" s="120" customFormat="1" ht="32.1" customHeight="1" x14ac:dyDescent="0.2">
      <c r="A59" s="361" t="s">
        <v>204</v>
      </c>
      <c r="B59" s="406" t="s">
        <v>448</v>
      </c>
      <c r="C59" s="477" t="s">
        <v>418</v>
      </c>
      <c r="D59" s="364">
        <v>24</v>
      </c>
      <c r="E59" s="47"/>
      <c r="F59" s="47">
        <v>97.35</v>
      </c>
      <c r="G59" s="47"/>
      <c r="H59" s="47"/>
      <c r="I59" s="47"/>
      <c r="J59" s="47"/>
      <c r="K59" s="47">
        <v>97.35</v>
      </c>
      <c r="L59" s="47"/>
      <c r="M59" s="47"/>
      <c r="N59" s="47"/>
      <c r="O59" s="47"/>
      <c r="P59" s="47"/>
      <c r="Q59" s="374">
        <f t="shared" si="0"/>
        <v>97.35</v>
      </c>
      <c r="R59" s="375" t="str">
        <f t="shared" si="1"/>
        <v>NO</v>
      </c>
      <c r="S59" s="376" t="str">
        <f t="shared" si="3"/>
        <v>Inviable Sanitariamente</v>
      </c>
    </row>
    <row r="60" spans="1:19" s="120" customFormat="1" ht="32.1" customHeight="1" x14ac:dyDescent="0.2">
      <c r="A60" s="361" t="s">
        <v>204</v>
      </c>
      <c r="B60" s="406" t="s">
        <v>446</v>
      </c>
      <c r="C60" s="477" t="s">
        <v>416</v>
      </c>
      <c r="D60" s="364">
        <v>47</v>
      </c>
      <c r="E60" s="47"/>
      <c r="F60" s="47"/>
      <c r="G60" s="47"/>
      <c r="H60" s="47"/>
      <c r="I60" s="47"/>
      <c r="J60" s="47"/>
      <c r="K60" s="47"/>
      <c r="L60" s="47"/>
      <c r="M60" s="47"/>
      <c r="N60" s="47">
        <v>97.35</v>
      </c>
      <c r="O60" s="47"/>
      <c r="P60" s="47"/>
      <c r="Q60" s="374">
        <f t="shared" si="0"/>
        <v>97.35</v>
      </c>
      <c r="R60" s="375" t="str">
        <f t="shared" si="1"/>
        <v>NO</v>
      </c>
      <c r="S60" s="376" t="str">
        <f t="shared" si="3"/>
        <v>Inviable Sanitariamente</v>
      </c>
    </row>
    <row r="61" spans="1:19" s="120" customFormat="1" ht="32.1" customHeight="1" x14ac:dyDescent="0.2">
      <c r="A61" s="361" t="s">
        <v>204</v>
      </c>
      <c r="B61" s="406" t="s">
        <v>19</v>
      </c>
      <c r="C61" s="477" t="s">
        <v>411</v>
      </c>
      <c r="D61" s="364">
        <v>31</v>
      </c>
      <c r="E61" s="47"/>
      <c r="F61" s="47"/>
      <c r="G61" s="47"/>
      <c r="H61" s="47"/>
      <c r="I61" s="47">
        <v>97.35</v>
      </c>
      <c r="J61" s="47"/>
      <c r="K61" s="47"/>
      <c r="L61" s="47"/>
      <c r="M61" s="47">
        <v>97.35</v>
      </c>
      <c r="N61" s="47"/>
      <c r="O61" s="47"/>
      <c r="P61" s="47"/>
      <c r="Q61" s="374">
        <f t="shared" si="0"/>
        <v>97.35</v>
      </c>
      <c r="R61" s="375" t="str">
        <f t="shared" si="1"/>
        <v>NO</v>
      </c>
      <c r="S61" s="376" t="str">
        <f t="shared" si="3"/>
        <v>Inviable Sanitariamente</v>
      </c>
    </row>
    <row r="62" spans="1:19" s="120" customFormat="1" ht="32.1" customHeight="1" x14ac:dyDescent="0.2">
      <c r="A62" s="361" t="s">
        <v>205</v>
      </c>
      <c r="B62" s="406" t="s">
        <v>529</v>
      </c>
      <c r="C62" s="477" t="s">
        <v>530</v>
      </c>
      <c r="D62" s="364">
        <v>48</v>
      </c>
      <c r="E62" s="490">
        <v>53.1</v>
      </c>
      <c r="F62" s="491"/>
      <c r="G62" s="405"/>
      <c r="H62" s="47"/>
      <c r="I62" s="47">
        <v>53.1</v>
      </c>
      <c r="J62" s="47"/>
      <c r="K62" s="47">
        <v>0</v>
      </c>
      <c r="L62" s="47"/>
      <c r="M62" s="47">
        <v>0</v>
      </c>
      <c r="N62" s="47"/>
      <c r="O62" s="47">
        <v>0</v>
      </c>
      <c r="P62" s="47"/>
      <c r="Q62" s="374">
        <f t="shared" si="0"/>
        <v>21.240000000000002</v>
      </c>
      <c r="R62" s="375" t="str">
        <f t="shared" si="1"/>
        <v>NO</v>
      </c>
      <c r="S62" s="376" t="str">
        <f t="shared" ref="S62:S96" si="4">IF(Q62&lt;5,"Sin Riesgo",IF(Q62 &lt;=14,"Bajo",IF(Q62&lt;=35,"Medio",IF(Q62&lt;=80,"Alto","Inviable Sanitariamente"))))</f>
        <v>Medio</v>
      </c>
    </row>
    <row r="63" spans="1:19" s="120" customFormat="1" ht="32.1" customHeight="1" x14ac:dyDescent="0.2">
      <c r="A63" s="361" t="s">
        <v>205</v>
      </c>
      <c r="B63" s="406" t="s">
        <v>531</v>
      </c>
      <c r="C63" s="477" t="s">
        <v>532</v>
      </c>
      <c r="D63" s="364">
        <v>23</v>
      </c>
      <c r="E63" s="47"/>
      <c r="F63" s="492"/>
      <c r="G63" s="47"/>
      <c r="H63" s="47"/>
      <c r="I63" s="47"/>
      <c r="J63" s="47"/>
      <c r="K63" s="47">
        <v>53.1</v>
      </c>
      <c r="L63" s="47"/>
      <c r="M63" s="47">
        <v>53.1</v>
      </c>
      <c r="N63" s="47"/>
      <c r="O63" s="47">
        <v>53.1</v>
      </c>
      <c r="P63" s="47"/>
      <c r="Q63" s="374">
        <f t="shared" si="0"/>
        <v>53.1</v>
      </c>
      <c r="R63" s="375" t="str">
        <f t="shared" si="1"/>
        <v>NO</v>
      </c>
      <c r="S63" s="376" t="str">
        <f t="shared" si="4"/>
        <v>Alto</v>
      </c>
    </row>
    <row r="64" spans="1:19" s="120" customFormat="1" ht="32.1" customHeight="1" x14ac:dyDescent="0.2">
      <c r="A64" s="361" t="s">
        <v>205</v>
      </c>
      <c r="B64" s="406" t="s">
        <v>533</v>
      </c>
      <c r="C64" s="477" t="s">
        <v>534</v>
      </c>
      <c r="D64" s="364">
        <v>28</v>
      </c>
      <c r="E64" s="47">
        <v>53.1</v>
      </c>
      <c r="F64" s="47"/>
      <c r="G64" s="47"/>
      <c r="H64" s="47"/>
      <c r="I64" s="47"/>
      <c r="J64" s="47"/>
      <c r="K64" s="47">
        <v>53.1</v>
      </c>
      <c r="L64" s="47"/>
      <c r="M64" s="47"/>
      <c r="N64" s="47">
        <v>53.1</v>
      </c>
      <c r="O64" s="47"/>
      <c r="P64" s="47"/>
      <c r="Q64" s="374">
        <f t="shared" si="0"/>
        <v>53.1</v>
      </c>
      <c r="R64" s="375" t="str">
        <f t="shared" si="1"/>
        <v>NO</v>
      </c>
      <c r="S64" s="376" t="str">
        <f t="shared" si="4"/>
        <v>Alto</v>
      </c>
    </row>
    <row r="65" spans="1:19" s="120" customFormat="1" ht="32.1" customHeight="1" x14ac:dyDescent="0.2">
      <c r="A65" s="361" t="s">
        <v>205</v>
      </c>
      <c r="B65" s="406" t="s">
        <v>62</v>
      </c>
      <c r="C65" s="477" t="s">
        <v>535</v>
      </c>
      <c r="D65" s="364">
        <v>37</v>
      </c>
      <c r="E65" s="47"/>
      <c r="F65" s="47">
        <v>26.5</v>
      </c>
      <c r="G65" s="47"/>
      <c r="H65" s="47"/>
      <c r="I65" s="47"/>
      <c r="J65" s="47">
        <v>53.1</v>
      </c>
      <c r="K65" s="47"/>
      <c r="L65" s="47"/>
      <c r="M65" s="47"/>
      <c r="N65" s="47"/>
      <c r="O65" s="47">
        <v>53.1</v>
      </c>
      <c r="P65" s="47"/>
      <c r="Q65" s="374">
        <f t="shared" si="0"/>
        <v>44.233333333333327</v>
      </c>
      <c r="R65" s="375" t="str">
        <f t="shared" si="1"/>
        <v>NO</v>
      </c>
      <c r="S65" s="376" t="str">
        <f t="shared" si="4"/>
        <v>Alto</v>
      </c>
    </row>
    <row r="66" spans="1:19" s="120" customFormat="1" ht="32.1" customHeight="1" x14ac:dyDescent="0.2">
      <c r="A66" s="361" t="s">
        <v>205</v>
      </c>
      <c r="B66" s="406" t="s">
        <v>536</v>
      </c>
      <c r="C66" s="477" t="s">
        <v>537</v>
      </c>
      <c r="D66" s="364">
        <v>111</v>
      </c>
      <c r="E66" s="47">
        <v>0</v>
      </c>
      <c r="F66" s="47">
        <v>0</v>
      </c>
      <c r="G66" s="47"/>
      <c r="H66" s="47"/>
      <c r="I66" s="47">
        <v>26.5</v>
      </c>
      <c r="J66" s="47"/>
      <c r="K66" s="47"/>
      <c r="L66" s="47">
        <v>26.5</v>
      </c>
      <c r="M66" s="47"/>
      <c r="N66" s="47"/>
      <c r="O66" s="47"/>
      <c r="P66" s="47">
        <v>0</v>
      </c>
      <c r="Q66" s="374">
        <f t="shared" si="0"/>
        <v>10.6</v>
      </c>
      <c r="R66" s="375" t="str">
        <f t="shared" si="1"/>
        <v>NO</v>
      </c>
      <c r="S66" s="376" t="str">
        <f t="shared" si="4"/>
        <v>Bajo</v>
      </c>
    </row>
    <row r="67" spans="1:19" s="120" customFormat="1" ht="32.1" customHeight="1" x14ac:dyDescent="0.2">
      <c r="A67" s="361" t="s">
        <v>205</v>
      </c>
      <c r="B67" s="406" t="s">
        <v>538</v>
      </c>
      <c r="C67" s="477" t="s">
        <v>539</v>
      </c>
      <c r="D67" s="364">
        <v>20</v>
      </c>
      <c r="E67" s="47">
        <v>53.1</v>
      </c>
      <c r="F67" s="47"/>
      <c r="G67" s="47"/>
      <c r="H67" s="47"/>
      <c r="I67" s="47"/>
      <c r="J67" s="47"/>
      <c r="K67" s="47"/>
      <c r="L67" s="47"/>
      <c r="M67" s="47"/>
      <c r="N67" s="47"/>
      <c r="O67" s="47"/>
      <c r="P67" s="47">
        <v>53.1</v>
      </c>
      <c r="Q67" s="374">
        <f t="shared" si="0"/>
        <v>53.1</v>
      </c>
      <c r="R67" s="375" t="str">
        <f t="shared" si="1"/>
        <v>NO</v>
      </c>
      <c r="S67" s="376" t="str">
        <f t="shared" si="4"/>
        <v>Alto</v>
      </c>
    </row>
    <row r="68" spans="1:19" s="120" customFormat="1" ht="32.1" customHeight="1" x14ac:dyDescent="0.2">
      <c r="A68" s="361" t="s">
        <v>205</v>
      </c>
      <c r="B68" s="406" t="s">
        <v>540</v>
      </c>
      <c r="C68" s="477" t="s">
        <v>541</v>
      </c>
      <c r="D68" s="364">
        <v>40</v>
      </c>
      <c r="E68" s="47"/>
      <c r="F68" s="47"/>
      <c r="G68" s="47"/>
      <c r="H68" s="47"/>
      <c r="I68" s="47"/>
      <c r="J68" s="47">
        <v>53.1</v>
      </c>
      <c r="K68" s="47"/>
      <c r="L68" s="47"/>
      <c r="M68" s="47"/>
      <c r="N68" s="47"/>
      <c r="O68" s="47">
        <v>53.1</v>
      </c>
      <c r="P68" s="47"/>
      <c r="Q68" s="374">
        <f>AVERAGE(E68:P68)</f>
        <v>53.1</v>
      </c>
      <c r="R68" s="375" t="str">
        <f>IF(Q68&lt;5,"SI","NO")</f>
        <v>NO</v>
      </c>
      <c r="S68" s="376" t="str">
        <f>IF(Q68&lt;5,"Sin Riesgo",IF(Q68 &lt;=14,"Bajo",IF(Q68&lt;=35,"Medio",IF(Q68&lt;=80,"Alto","Inviable Sanitariamente"))))</f>
        <v>Alto</v>
      </c>
    </row>
    <row r="69" spans="1:19" s="120" customFormat="1" ht="32.1" customHeight="1" x14ac:dyDescent="0.2">
      <c r="A69" s="361" t="s">
        <v>205</v>
      </c>
      <c r="B69" s="406" t="s">
        <v>3871</v>
      </c>
      <c r="C69" s="477" t="s">
        <v>4280</v>
      </c>
      <c r="D69" s="364">
        <v>36</v>
      </c>
      <c r="E69" s="47"/>
      <c r="F69" s="47">
        <v>97.3</v>
      </c>
      <c r="G69" s="47"/>
      <c r="H69" s="47"/>
      <c r="I69" s="47"/>
      <c r="J69" s="47"/>
      <c r="K69" s="47"/>
      <c r="L69" s="47">
        <v>53.1</v>
      </c>
      <c r="M69" s="47"/>
      <c r="N69" s="47"/>
      <c r="O69" s="47">
        <v>97.3</v>
      </c>
      <c r="P69" s="47"/>
      <c r="Q69" s="374">
        <f>AVERAGE(E69:P69)</f>
        <v>82.566666666666663</v>
      </c>
      <c r="R69" s="375" t="str">
        <f>IF(Q69&lt;5,"SI","NO")</f>
        <v>NO</v>
      </c>
      <c r="S69" s="376" t="str">
        <f>IF(Q69&lt;5,"Sin Riesgo",IF(Q69 &lt;=14,"Bajo",IF(Q69&lt;=35,"Medio",IF(Q69&lt;=80,"Alto","Inviable Sanitariamente"))))</f>
        <v>Inviable Sanitariamente</v>
      </c>
    </row>
    <row r="70" spans="1:19" s="120" customFormat="1" ht="32.1" customHeight="1" x14ac:dyDescent="0.2">
      <c r="A70" s="361" t="s">
        <v>205</v>
      </c>
      <c r="B70" s="406" t="s">
        <v>4281</v>
      </c>
      <c r="C70" s="477" t="s">
        <v>4282</v>
      </c>
      <c r="D70" s="364">
        <v>34</v>
      </c>
      <c r="E70" s="47"/>
      <c r="F70" s="47">
        <v>97.3</v>
      </c>
      <c r="G70" s="47"/>
      <c r="H70" s="47"/>
      <c r="I70" s="47"/>
      <c r="J70" s="47"/>
      <c r="K70" s="47"/>
      <c r="L70" s="47"/>
      <c r="M70" s="47"/>
      <c r="N70" s="47"/>
      <c r="O70" s="47"/>
      <c r="P70" s="47">
        <v>53.1</v>
      </c>
      <c r="Q70" s="374">
        <f>AVERAGE(E70:P70)</f>
        <v>75.2</v>
      </c>
      <c r="R70" s="375" t="str">
        <f>IF(Q70&lt;5,"SI","NO")</f>
        <v>NO</v>
      </c>
      <c r="S70" s="376" t="str">
        <f>IF(Q70&lt;5,"Sin Riesgo",IF(Q70 &lt;=14,"Bajo",IF(Q70&lt;=35,"Medio",IF(Q70&lt;=80,"Alto","Inviable Sanitariamente"))))</f>
        <v>Alto</v>
      </c>
    </row>
    <row r="71" spans="1:19" s="120" customFormat="1" ht="32.1" customHeight="1" x14ac:dyDescent="0.2">
      <c r="A71" s="361" t="s">
        <v>205</v>
      </c>
      <c r="B71" s="406" t="s">
        <v>4283</v>
      </c>
      <c r="C71" s="477" t="s">
        <v>4284</v>
      </c>
      <c r="D71" s="364">
        <v>28</v>
      </c>
      <c r="E71" s="47"/>
      <c r="F71" s="47">
        <v>53.1</v>
      </c>
      <c r="G71" s="47"/>
      <c r="H71" s="47"/>
      <c r="I71" s="47"/>
      <c r="J71" s="47">
        <v>53.1</v>
      </c>
      <c r="K71" s="47"/>
      <c r="L71" s="47"/>
      <c r="M71" s="47"/>
      <c r="N71" s="47"/>
      <c r="O71" s="47"/>
      <c r="P71" s="47"/>
      <c r="Q71" s="374">
        <f t="shared" si="0"/>
        <v>53.1</v>
      </c>
      <c r="R71" s="375" t="str">
        <f t="shared" si="1"/>
        <v>NO</v>
      </c>
      <c r="S71" s="376" t="str">
        <f t="shared" si="4"/>
        <v>Alto</v>
      </c>
    </row>
    <row r="72" spans="1:19" s="120" customFormat="1" ht="32.1" customHeight="1" x14ac:dyDescent="0.2">
      <c r="A72" s="361" t="s">
        <v>206</v>
      </c>
      <c r="B72" s="445" t="s">
        <v>542</v>
      </c>
      <c r="C72" s="477" t="s">
        <v>543</v>
      </c>
      <c r="D72" s="364">
        <v>60</v>
      </c>
      <c r="E72" s="47"/>
      <c r="F72" s="47"/>
      <c r="G72" s="47">
        <v>97</v>
      </c>
      <c r="H72" s="47"/>
      <c r="I72" s="47"/>
      <c r="J72" s="47">
        <v>97</v>
      </c>
      <c r="K72" s="47"/>
      <c r="L72" s="47"/>
      <c r="M72" s="47"/>
      <c r="N72" s="47"/>
      <c r="O72" s="47"/>
      <c r="P72" s="47"/>
      <c r="Q72" s="374">
        <f t="shared" si="0"/>
        <v>97</v>
      </c>
      <c r="R72" s="375" t="str">
        <f t="shared" si="1"/>
        <v>NO</v>
      </c>
      <c r="S72" s="376" t="str">
        <f t="shared" si="4"/>
        <v>Inviable Sanitariamente</v>
      </c>
    </row>
    <row r="73" spans="1:19" s="120" customFormat="1" ht="32.1" customHeight="1" x14ac:dyDescent="0.2">
      <c r="A73" s="361" t="s">
        <v>206</v>
      </c>
      <c r="B73" s="445" t="s">
        <v>17</v>
      </c>
      <c r="C73" s="477" t="s">
        <v>544</v>
      </c>
      <c r="D73" s="364">
        <v>45</v>
      </c>
      <c r="E73" s="47"/>
      <c r="F73" s="47"/>
      <c r="G73" s="47"/>
      <c r="H73" s="47"/>
      <c r="I73" s="47"/>
      <c r="J73" s="47">
        <v>97</v>
      </c>
      <c r="K73" s="47"/>
      <c r="L73" s="47"/>
      <c r="M73" s="47"/>
      <c r="N73" s="47"/>
      <c r="O73" s="47"/>
      <c r="P73" s="47"/>
      <c r="Q73" s="374">
        <f t="shared" si="0"/>
        <v>97</v>
      </c>
      <c r="R73" s="375" t="str">
        <f t="shared" si="1"/>
        <v>NO</v>
      </c>
      <c r="S73" s="376" t="str">
        <f t="shared" si="4"/>
        <v>Inviable Sanitariamente</v>
      </c>
    </row>
    <row r="74" spans="1:19" s="120" customFormat="1" ht="32.1" customHeight="1" x14ac:dyDescent="0.2">
      <c r="A74" s="361" t="s">
        <v>206</v>
      </c>
      <c r="B74" s="445" t="s">
        <v>545</v>
      </c>
      <c r="C74" s="477" t="s">
        <v>546</v>
      </c>
      <c r="D74" s="364">
        <v>28</v>
      </c>
      <c r="E74" s="47"/>
      <c r="F74" s="47"/>
      <c r="G74" s="47"/>
      <c r="H74" s="47"/>
      <c r="I74" s="47"/>
      <c r="J74" s="47">
        <v>97</v>
      </c>
      <c r="K74" s="47"/>
      <c r="L74" s="47"/>
      <c r="M74" s="47"/>
      <c r="N74" s="47"/>
      <c r="O74" s="47"/>
      <c r="P74" s="47"/>
      <c r="Q74" s="374">
        <f t="shared" si="0"/>
        <v>97</v>
      </c>
      <c r="R74" s="375" t="str">
        <f t="shared" si="1"/>
        <v>NO</v>
      </c>
      <c r="S74" s="376" t="str">
        <f t="shared" si="4"/>
        <v>Inviable Sanitariamente</v>
      </c>
    </row>
    <row r="75" spans="1:19" s="120" customFormat="1" ht="32.1" customHeight="1" x14ac:dyDescent="0.2">
      <c r="A75" s="361" t="s">
        <v>206</v>
      </c>
      <c r="B75" s="445" t="s">
        <v>48</v>
      </c>
      <c r="C75" s="477" t="s">
        <v>547</v>
      </c>
      <c r="D75" s="364">
        <v>19</v>
      </c>
      <c r="E75" s="47"/>
      <c r="F75" s="47"/>
      <c r="G75" s="47">
        <v>97</v>
      </c>
      <c r="H75" s="47"/>
      <c r="I75" s="47">
        <v>97</v>
      </c>
      <c r="J75" s="47"/>
      <c r="K75" s="47"/>
      <c r="L75" s="47"/>
      <c r="M75" s="47"/>
      <c r="N75" s="47"/>
      <c r="O75" s="47"/>
      <c r="P75" s="47"/>
      <c r="Q75" s="374">
        <f t="shared" si="0"/>
        <v>97</v>
      </c>
      <c r="R75" s="375" t="str">
        <f t="shared" si="1"/>
        <v>NO</v>
      </c>
      <c r="S75" s="376" t="str">
        <f t="shared" si="4"/>
        <v>Inviable Sanitariamente</v>
      </c>
    </row>
    <row r="76" spans="1:19" s="120" customFormat="1" ht="32.1" customHeight="1" x14ac:dyDescent="0.2">
      <c r="A76" s="361" t="s">
        <v>206</v>
      </c>
      <c r="B76" s="445" t="s">
        <v>64</v>
      </c>
      <c r="C76" s="477" t="s">
        <v>548</v>
      </c>
      <c r="D76" s="364">
        <v>40</v>
      </c>
      <c r="E76" s="47"/>
      <c r="F76" s="47"/>
      <c r="G76" s="47"/>
      <c r="H76" s="47"/>
      <c r="I76" s="47"/>
      <c r="J76" s="47">
        <v>97</v>
      </c>
      <c r="K76" s="47"/>
      <c r="L76" s="47"/>
      <c r="M76" s="47"/>
      <c r="N76" s="47"/>
      <c r="O76" s="47"/>
      <c r="P76" s="47"/>
      <c r="Q76" s="374">
        <f t="shared" si="0"/>
        <v>97</v>
      </c>
      <c r="R76" s="375" t="str">
        <f t="shared" si="1"/>
        <v>NO</v>
      </c>
      <c r="S76" s="376" t="str">
        <f t="shared" si="4"/>
        <v>Inviable Sanitariamente</v>
      </c>
    </row>
    <row r="77" spans="1:19" s="120" customFormat="1" ht="32.1" customHeight="1" x14ac:dyDescent="0.2">
      <c r="A77" s="361" t="s">
        <v>206</v>
      </c>
      <c r="B77" s="445" t="s">
        <v>430</v>
      </c>
      <c r="C77" s="477" t="s">
        <v>549</v>
      </c>
      <c r="D77" s="364">
        <v>13</v>
      </c>
      <c r="E77" s="47"/>
      <c r="F77" s="47"/>
      <c r="G77" s="47">
        <v>97</v>
      </c>
      <c r="H77" s="47"/>
      <c r="I77" s="47">
        <v>97</v>
      </c>
      <c r="J77" s="47"/>
      <c r="K77" s="47"/>
      <c r="L77" s="47"/>
      <c r="M77" s="47"/>
      <c r="N77" s="47"/>
      <c r="O77" s="47"/>
      <c r="P77" s="47"/>
      <c r="Q77" s="374">
        <f t="shared" si="0"/>
        <v>97</v>
      </c>
      <c r="R77" s="375" t="str">
        <f t="shared" si="1"/>
        <v>NO</v>
      </c>
      <c r="S77" s="376" t="str">
        <f t="shared" si="4"/>
        <v>Inviable Sanitariamente</v>
      </c>
    </row>
    <row r="78" spans="1:19" s="120" customFormat="1" ht="32.1" customHeight="1" x14ac:dyDescent="0.2">
      <c r="A78" s="361" t="s">
        <v>206</v>
      </c>
      <c r="B78" s="445" t="s">
        <v>97</v>
      </c>
      <c r="C78" s="477" t="s">
        <v>550</v>
      </c>
      <c r="D78" s="364">
        <v>18</v>
      </c>
      <c r="E78" s="47"/>
      <c r="F78" s="47"/>
      <c r="G78" s="47">
        <v>97</v>
      </c>
      <c r="H78" s="47"/>
      <c r="I78" s="47"/>
      <c r="J78" s="47">
        <v>97</v>
      </c>
      <c r="K78" s="47"/>
      <c r="L78" s="47"/>
      <c r="M78" s="47"/>
      <c r="N78" s="47"/>
      <c r="O78" s="47"/>
      <c r="P78" s="47"/>
      <c r="Q78" s="374">
        <f t="shared" si="0"/>
        <v>97</v>
      </c>
      <c r="R78" s="375" t="str">
        <f t="shared" si="1"/>
        <v>NO</v>
      </c>
      <c r="S78" s="376" t="str">
        <f t="shared" si="4"/>
        <v>Inviable Sanitariamente</v>
      </c>
    </row>
    <row r="79" spans="1:19" s="120" customFormat="1" ht="32.1" customHeight="1" x14ac:dyDescent="0.2">
      <c r="A79" s="361" t="s">
        <v>206</v>
      </c>
      <c r="B79" s="445" t="s">
        <v>18</v>
      </c>
      <c r="C79" s="477" t="s">
        <v>551</v>
      </c>
      <c r="D79" s="364">
        <v>37</v>
      </c>
      <c r="E79" s="47"/>
      <c r="F79" s="47"/>
      <c r="G79" s="47"/>
      <c r="H79" s="47"/>
      <c r="I79" s="47">
        <v>97</v>
      </c>
      <c r="J79" s="47"/>
      <c r="K79" s="47"/>
      <c r="L79" s="47"/>
      <c r="M79" s="47"/>
      <c r="N79" s="47"/>
      <c r="O79" s="47"/>
      <c r="P79" s="47"/>
      <c r="Q79" s="374">
        <f t="shared" ref="Q79:Q149" si="5">AVERAGE(E79:P79)</f>
        <v>97</v>
      </c>
      <c r="R79" s="375" t="str">
        <f t="shared" ref="R79:R149" si="6">IF(Q79&lt;5,"SI","NO")</f>
        <v>NO</v>
      </c>
      <c r="S79" s="376" t="str">
        <f t="shared" si="4"/>
        <v>Inviable Sanitariamente</v>
      </c>
    </row>
    <row r="80" spans="1:19" s="120" customFormat="1" ht="32.1" customHeight="1" x14ac:dyDescent="0.2">
      <c r="A80" s="361" t="s">
        <v>206</v>
      </c>
      <c r="B80" s="445" t="s">
        <v>19</v>
      </c>
      <c r="C80" s="477" t="s">
        <v>552</v>
      </c>
      <c r="D80" s="364">
        <v>22</v>
      </c>
      <c r="E80" s="47"/>
      <c r="F80" s="47"/>
      <c r="G80" s="47">
        <v>97</v>
      </c>
      <c r="H80" s="47"/>
      <c r="I80" s="493"/>
      <c r="J80" s="47">
        <v>97</v>
      </c>
      <c r="K80" s="47"/>
      <c r="L80" s="47"/>
      <c r="M80" s="47"/>
      <c r="N80" s="47"/>
      <c r="O80" s="47"/>
      <c r="P80" s="47"/>
      <c r="Q80" s="374">
        <f t="shared" si="5"/>
        <v>97</v>
      </c>
      <c r="R80" s="375" t="str">
        <f t="shared" si="6"/>
        <v>NO</v>
      </c>
      <c r="S80" s="376" t="str">
        <f t="shared" si="4"/>
        <v>Inviable Sanitariamente</v>
      </c>
    </row>
    <row r="81" spans="1:19" s="120" customFormat="1" ht="32.1" customHeight="1" x14ac:dyDescent="0.2">
      <c r="A81" s="361" t="s">
        <v>206</v>
      </c>
      <c r="B81" s="445" t="s">
        <v>553</v>
      </c>
      <c r="C81" s="477" t="s">
        <v>554</v>
      </c>
      <c r="D81" s="364">
        <v>27</v>
      </c>
      <c r="E81" s="47"/>
      <c r="F81" s="47"/>
      <c r="G81" s="47"/>
      <c r="H81" s="47">
        <v>97</v>
      </c>
      <c r="I81" s="47">
        <v>97</v>
      </c>
      <c r="J81" s="47"/>
      <c r="K81" s="47"/>
      <c r="L81" s="47"/>
      <c r="M81" s="47"/>
      <c r="N81" s="47"/>
      <c r="O81" s="47"/>
      <c r="P81" s="47"/>
      <c r="Q81" s="374">
        <f t="shared" si="5"/>
        <v>97</v>
      </c>
      <c r="R81" s="375" t="str">
        <f t="shared" si="6"/>
        <v>NO</v>
      </c>
      <c r="S81" s="376" t="str">
        <f t="shared" si="4"/>
        <v>Inviable Sanitariamente</v>
      </c>
    </row>
    <row r="82" spans="1:19" s="120" customFormat="1" ht="32.1" customHeight="1" x14ac:dyDescent="0.2">
      <c r="A82" s="361" t="s">
        <v>206</v>
      </c>
      <c r="B82" s="445" t="s">
        <v>431</v>
      </c>
      <c r="C82" s="477" t="s">
        <v>555</v>
      </c>
      <c r="D82" s="364">
        <v>18</v>
      </c>
      <c r="E82" s="47"/>
      <c r="F82" s="47">
        <v>97</v>
      </c>
      <c r="G82" s="47"/>
      <c r="H82" s="47"/>
      <c r="I82" s="47">
        <v>97</v>
      </c>
      <c r="J82" s="47"/>
      <c r="K82" s="47"/>
      <c r="L82" s="47"/>
      <c r="M82" s="47"/>
      <c r="N82" s="47"/>
      <c r="O82" s="47"/>
      <c r="P82" s="47"/>
      <c r="Q82" s="374">
        <f t="shared" si="5"/>
        <v>97</v>
      </c>
      <c r="R82" s="375" t="str">
        <f t="shared" si="6"/>
        <v>NO</v>
      </c>
      <c r="S82" s="376" t="str">
        <f t="shared" si="4"/>
        <v>Inviable Sanitariamente</v>
      </c>
    </row>
    <row r="83" spans="1:19" s="120" customFormat="1" ht="32.1" customHeight="1" x14ac:dyDescent="0.2">
      <c r="A83" s="361" t="s">
        <v>206</v>
      </c>
      <c r="B83" s="445" t="s">
        <v>240</v>
      </c>
      <c r="C83" s="477" t="s">
        <v>556</v>
      </c>
      <c r="D83" s="364"/>
      <c r="E83" s="47"/>
      <c r="F83" s="47"/>
      <c r="G83" s="47"/>
      <c r="H83" s="47"/>
      <c r="I83" s="47"/>
      <c r="J83" s="47"/>
      <c r="K83" s="47"/>
      <c r="L83" s="47"/>
      <c r="M83" s="47"/>
      <c r="N83" s="47"/>
      <c r="O83" s="47"/>
      <c r="P83" s="47"/>
      <c r="Q83" s="374" t="e">
        <f t="shared" si="5"/>
        <v>#DIV/0!</v>
      </c>
      <c r="R83" s="375" t="e">
        <f t="shared" si="6"/>
        <v>#DIV/0!</v>
      </c>
      <c r="S83" s="376" t="e">
        <f t="shared" si="4"/>
        <v>#DIV/0!</v>
      </c>
    </row>
    <row r="84" spans="1:19" s="120" customFormat="1" ht="32.1" customHeight="1" x14ac:dyDescent="0.2">
      <c r="A84" s="361" t="s">
        <v>206</v>
      </c>
      <c r="B84" s="445" t="s">
        <v>557</v>
      </c>
      <c r="C84" s="477" t="s">
        <v>558</v>
      </c>
      <c r="D84" s="364">
        <v>24</v>
      </c>
      <c r="E84" s="47"/>
      <c r="F84" s="47"/>
      <c r="G84" s="47"/>
      <c r="H84" s="47"/>
      <c r="I84" s="47">
        <v>97</v>
      </c>
      <c r="J84" s="47">
        <v>97</v>
      </c>
      <c r="K84" s="47"/>
      <c r="L84" s="47"/>
      <c r="M84" s="47"/>
      <c r="N84" s="47"/>
      <c r="O84" s="47"/>
      <c r="P84" s="47"/>
      <c r="Q84" s="374">
        <f t="shared" si="5"/>
        <v>97</v>
      </c>
      <c r="R84" s="375" t="str">
        <f t="shared" si="6"/>
        <v>NO</v>
      </c>
      <c r="S84" s="376" t="str">
        <f t="shared" si="4"/>
        <v>Inviable Sanitariamente</v>
      </c>
    </row>
    <row r="85" spans="1:19" s="120" customFormat="1" ht="32.1" customHeight="1" x14ac:dyDescent="0.2">
      <c r="A85" s="361" t="s">
        <v>206</v>
      </c>
      <c r="B85" s="445" t="s">
        <v>77</v>
      </c>
      <c r="C85" s="477" t="s">
        <v>559</v>
      </c>
      <c r="D85" s="364">
        <v>23</v>
      </c>
      <c r="E85" s="47"/>
      <c r="F85" s="47">
        <v>97</v>
      </c>
      <c r="G85" s="47"/>
      <c r="H85" s="47"/>
      <c r="I85" s="47">
        <v>97</v>
      </c>
      <c r="J85" s="47"/>
      <c r="K85" s="47"/>
      <c r="L85" s="47"/>
      <c r="M85" s="47"/>
      <c r="N85" s="47"/>
      <c r="O85" s="47"/>
      <c r="P85" s="47"/>
      <c r="Q85" s="374">
        <f t="shared" si="5"/>
        <v>97</v>
      </c>
      <c r="R85" s="375" t="str">
        <f t="shared" si="6"/>
        <v>NO</v>
      </c>
      <c r="S85" s="376" t="str">
        <f t="shared" si="4"/>
        <v>Inviable Sanitariamente</v>
      </c>
    </row>
    <row r="86" spans="1:19" s="120" customFormat="1" ht="32.1" customHeight="1" x14ac:dyDescent="0.2">
      <c r="A86" s="361" t="s">
        <v>206</v>
      </c>
      <c r="B86" s="445" t="s">
        <v>560</v>
      </c>
      <c r="C86" s="477" t="s">
        <v>561</v>
      </c>
      <c r="D86" s="364">
        <v>27</v>
      </c>
      <c r="E86" s="47"/>
      <c r="F86" s="47"/>
      <c r="G86" s="47">
        <v>97</v>
      </c>
      <c r="H86" s="47"/>
      <c r="I86" s="47"/>
      <c r="J86" s="47">
        <v>97</v>
      </c>
      <c r="K86" s="47"/>
      <c r="L86" s="47"/>
      <c r="M86" s="47"/>
      <c r="N86" s="47"/>
      <c r="O86" s="47"/>
      <c r="P86" s="47"/>
      <c r="Q86" s="374">
        <f t="shared" si="5"/>
        <v>97</v>
      </c>
      <c r="R86" s="375" t="str">
        <f t="shared" si="6"/>
        <v>NO</v>
      </c>
      <c r="S86" s="376" t="str">
        <f t="shared" si="4"/>
        <v>Inviable Sanitariamente</v>
      </c>
    </row>
    <row r="87" spans="1:19" s="120" customFormat="1" ht="32.1" customHeight="1" x14ac:dyDescent="0.2">
      <c r="A87" s="361" t="s">
        <v>206</v>
      </c>
      <c r="B87" s="445" t="s">
        <v>562</v>
      </c>
      <c r="C87" s="477" t="s">
        <v>563</v>
      </c>
      <c r="D87" s="364">
        <v>28</v>
      </c>
      <c r="E87" s="47"/>
      <c r="F87" s="47"/>
      <c r="G87" s="493"/>
      <c r="H87" s="47">
        <v>97</v>
      </c>
      <c r="I87" s="47"/>
      <c r="J87" s="47"/>
      <c r="K87" s="47"/>
      <c r="L87" s="47"/>
      <c r="M87" s="47"/>
      <c r="N87" s="47"/>
      <c r="O87" s="47"/>
      <c r="P87" s="47"/>
      <c r="Q87" s="374">
        <f t="shared" si="5"/>
        <v>97</v>
      </c>
      <c r="R87" s="375" t="str">
        <f t="shared" si="6"/>
        <v>NO</v>
      </c>
      <c r="S87" s="376" t="str">
        <f t="shared" si="4"/>
        <v>Inviable Sanitariamente</v>
      </c>
    </row>
    <row r="88" spans="1:19" s="120" customFormat="1" ht="32.1" customHeight="1" x14ac:dyDescent="0.2">
      <c r="A88" s="361" t="s">
        <v>206</v>
      </c>
      <c r="B88" s="445" t="s">
        <v>564</v>
      </c>
      <c r="C88" s="477" t="s">
        <v>565</v>
      </c>
      <c r="D88" s="364">
        <v>24</v>
      </c>
      <c r="E88" s="47"/>
      <c r="F88" s="47"/>
      <c r="G88" s="47">
        <v>97</v>
      </c>
      <c r="H88" s="47"/>
      <c r="I88" s="47"/>
      <c r="J88" s="47"/>
      <c r="K88" s="47"/>
      <c r="L88" s="47"/>
      <c r="M88" s="47"/>
      <c r="N88" s="47"/>
      <c r="O88" s="47"/>
      <c r="P88" s="47"/>
      <c r="Q88" s="374">
        <f t="shared" si="5"/>
        <v>97</v>
      </c>
      <c r="R88" s="375" t="str">
        <f t="shared" si="6"/>
        <v>NO</v>
      </c>
      <c r="S88" s="376" t="str">
        <f t="shared" si="4"/>
        <v>Inviable Sanitariamente</v>
      </c>
    </row>
    <row r="89" spans="1:19" s="120" customFormat="1" ht="32.1" customHeight="1" x14ac:dyDescent="0.2">
      <c r="A89" s="361" t="s">
        <v>206</v>
      </c>
      <c r="B89" s="445" t="s">
        <v>566</v>
      </c>
      <c r="C89" s="477" t="s">
        <v>567</v>
      </c>
      <c r="D89" s="364">
        <v>17</v>
      </c>
      <c r="E89" s="47"/>
      <c r="F89" s="47"/>
      <c r="G89" s="494"/>
      <c r="H89" s="47">
        <v>97</v>
      </c>
      <c r="I89" s="47"/>
      <c r="J89" s="47">
        <v>97</v>
      </c>
      <c r="K89" s="47"/>
      <c r="L89" s="47"/>
      <c r="M89" s="47"/>
      <c r="N89" s="47"/>
      <c r="O89" s="47"/>
      <c r="P89" s="47"/>
      <c r="Q89" s="374">
        <f t="shared" si="5"/>
        <v>97</v>
      </c>
      <c r="R89" s="375" t="str">
        <f t="shared" si="6"/>
        <v>NO</v>
      </c>
      <c r="S89" s="376" t="str">
        <f t="shared" si="4"/>
        <v>Inviable Sanitariamente</v>
      </c>
    </row>
    <row r="90" spans="1:19" s="120" customFormat="1" ht="32.1" customHeight="1" x14ac:dyDescent="0.2">
      <c r="A90" s="361" t="s">
        <v>206</v>
      </c>
      <c r="B90" s="445" t="s">
        <v>568</v>
      </c>
      <c r="C90" s="477" t="s">
        <v>569</v>
      </c>
      <c r="D90" s="364">
        <v>24</v>
      </c>
      <c r="E90" s="47"/>
      <c r="F90" s="47"/>
      <c r="G90" s="47"/>
      <c r="H90" s="47"/>
      <c r="I90" s="47">
        <v>97</v>
      </c>
      <c r="J90" s="47"/>
      <c r="K90" s="47"/>
      <c r="L90" s="47"/>
      <c r="M90" s="47"/>
      <c r="N90" s="47"/>
      <c r="O90" s="47"/>
      <c r="P90" s="47"/>
      <c r="Q90" s="374">
        <f t="shared" si="5"/>
        <v>97</v>
      </c>
      <c r="R90" s="375" t="str">
        <f t="shared" si="6"/>
        <v>NO</v>
      </c>
      <c r="S90" s="376" t="str">
        <f t="shared" si="4"/>
        <v>Inviable Sanitariamente</v>
      </c>
    </row>
    <row r="91" spans="1:19" s="120" customFormat="1" ht="32.1" customHeight="1" x14ac:dyDescent="0.2">
      <c r="A91" s="361" t="s">
        <v>901</v>
      </c>
      <c r="B91" s="406" t="s">
        <v>570</v>
      </c>
      <c r="C91" s="477" t="s">
        <v>571</v>
      </c>
      <c r="D91" s="364">
        <v>135</v>
      </c>
      <c r="E91" s="47"/>
      <c r="F91" s="47">
        <v>0</v>
      </c>
      <c r="G91" s="47"/>
      <c r="H91" s="47"/>
      <c r="I91" s="47"/>
      <c r="J91" s="47"/>
      <c r="K91" s="47">
        <v>0</v>
      </c>
      <c r="L91" s="47"/>
      <c r="M91" s="47"/>
      <c r="N91" s="47">
        <v>0</v>
      </c>
      <c r="O91" s="47"/>
      <c r="P91" s="47">
        <v>0</v>
      </c>
      <c r="Q91" s="374">
        <f t="shared" si="5"/>
        <v>0</v>
      </c>
      <c r="R91" s="375" t="str">
        <f t="shared" si="6"/>
        <v>SI</v>
      </c>
      <c r="S91" s="376" t="str">
        <f t="shared" si="4"/>
        <v>Sin Riesgo</v>
      </c>
    </row>
    <row r="92" spans="1:19" s="120" customFormat="1" ht="32.1" customHeight="1" x14ac:dyDescent="0.2">
      <c r="A92" s="361" t="s">
        <v>901</v>
      </c>
      <c r="B92" s="406" t="s">
        <v>572</v>
      </c>
      <c r="C92" s="477" t="s">
        <v>573</v>
      </c>
      <c r="D92" s="364">
        <v>332</v>
      </c>
      <c r="E92" s="47"/>
      <c r="F92" s="47">
        <v>0</v>
      </c>
      <c r="G92" s="47"/>
      <c r="H92" s="47"/>
      <c r="I92" s="47"/>
      <c r="J92" s="47"/>
      <c r="K92" s="47"/>
      <c r="L92" s="47">
        <v>0</v>
      </c>
      <c r="M92" s="47"/>
      <c r="N92" s="47">
        <v>0</v>
      </c>
      <c r="O92" s="47"/>
      <c r="P92" s="47">
        <v>0</v>
      </c>
      <c r="Q92" s="374">
        <f t="shared" si="5"/>
        <v>0</v>
      </c>
      <c r="R92" s="375" t="str">
        <f t="shared" si="6"/>
        <v>SI</v>
      </c>
      <c r="S92" s="376" t="str">
        <f t="shared" si="4"/>
        <v>Sin Riesgo</v>
      </c>
    </row>
    <row r="93" spans="1:19" s="120" customFormat="1" ht="32.1" customHeight="1" x14ac:dyDescent="0.2">
      <c r="A93" s="361" t="s">
        <v>901</v>
      </c>
      <c r="B93" s="406" t="s">
        <v>574</v>
      </c>
      <c r="C93" s="477" t="s">
        <v>575</v>
      </c>
      <c r="D93" s="364">
        <v>130</v>
      </c>
      <c r="E93" s="47"/>
      <c r="F93" s="47">
        <v>0</v>
      </c>
      <c r="G93" s="47"/>
      <c r="H93" s="47"/>
      <c r="I93" s="47"/>
      <c r="J93" s="47"/>
      <c r="K93" s="47"/>
      <c r="L93" s="47">
        <v>0</v>
      </c>
      <c r="M93" s="47"/>
      <c r="N93" s="47">
        <v>0</v>
      </c>
      <c r="O93" s="47"/>
      <c r="P93" s="47">
        <v>0</v>
      </c>
      <c r="Q93" s="374">
        <f t="shared" si="5"/>
        <v>0</v>
      </c>
      <c r="R93" s="375" t="str">
        <f t="shared" si="6"/>
        <v>SI</v>
      </c>
      <c r="S93" s="376" t="str">
        <f t="shared" si="4"/>
        <v>Sin Riesgo</v>
      </c>
    </row>
    <row r="94" spans="1:19" s="120" customFormat="1" ht="32.1" customHeight="1" x14ac:dyDescent="0.2">
      <c r="A94" s="361" t="s">
        <v>901</v>
      </c>
      <c r="B94" s="406" t="s">
        <v>576</v>
      </c>
      <c r="C94" s="477" t="s">
        <v>577</v>
      </c>
      <c r="D94" s="364">
        <v>342</v>
      </c>
      <c r="E94" s="47"/>
      <c r="F94" s="47">
        <v>0</v>
      </c>
      <c r="G94" s="47"/>
      <c r="H94" s="47"/>
      <c r="I94" s="47"/>
      <c r="J94" s="47"/>
      <c r="K94" s="47"/>
      <c r="L94" s="47"/>
      <c r="M94" s="47"/>
      <c r="N94" s="47">
        <v>0</v>
      </c>
      <c r="O94" s="47"/>
      <c r="P94" s="47">
        <v>0</v>
      </c>
      <c r="Q94" s="374">
        <f t="shared" si="5"/>
        <v>0</v>
      </c>
      <c r="R94" s="375" t="str">
        <f t="shared" si="6"/>
        <v>SI</v>
      </c>
      <c r="S94" s="376" t="str">
        <f t="shared" si="4"/>
        <v>Sin Riesgo</v>
      </c>
    </row>
    <row r="95" spans="1:19" s="120" customFormat="1" ht="32.1" customHeight="1" x14ac:dyDescent="0.2">
      <c r="A95" s="361" t="s">
        <v>901</v>
      </c>
      <c r="B95" s="406" t="s">
        <v>578</v>
      </c>
      <c r="C95" s="477" t="s">
        <v>579</v>
      </c>
      <c r="D95" s="364">
        <v>175</v>
      </c>
      <c r="E95" s="47"/>
      <c r="F95" s="47"/>
      <c r="G95" s="47">
        <v>0</v>
      </c>
      <c r="H95" s="47"/>
      <c r="I95" s="47"/>
      <c r="J95" s="47"/>
      <c r="K95" s="47"/>
      <c r="L95" s="47">
        <v>0</v>
      </c>
      <c r="M95" s="47">
        <v>0</v>
      </c>
      <c r="N95" s="47"/>
      <c r="O95" s="47">
        <v>0</v>
      </c>
      <c r="P95" s="47"/>
      <c r="Q95" s="374">
        <f t="shared" si="5"/>
        <v>0</v>
      </c>
      <c r="R95" s="375" t="str">
        <f t="shared" si="6"/>
        <v>SI</v>
      </c>
      <c r="S95" s="376" t="str">
        <f t="shared" si="4"/>
        <v>Sin Riesgo</v>
      </c>
    </row>
    <row r="96" spans="1:19" s="120" customFormat="1" ht="32.1" customHeight="1" x14ac:dyDescent="0.2">
      <c r="A96" s="361" t="s">
        <v>901</v>
      </c>
      <c r="B96" s="406" t="s">
        <v>580</v>
      </c>
      <c r="C96" s="477" t="s">
        <v>581</v>
      </c>
      <c r="D96" s="364">
        <v>87</v>
      </c>
      <c r="E96" s="47"/>
      <c r="F96" s="47"/>
      <c r="G96" s="47">
        <v>0</v>
      </c>
      <c r="H96" s="47"/>
      <c r="I96" s="47"/>
      <c r="J96" s="47"/>
      <c r="K96" s="47"/>
      <c r="L96" s="47">
        <v>0</v>
      </c>
      <c r="M96" s="47">
        <v>0</v>
      </c>
      <c r="N96" s="47"/>
      <c r="O96" s="47">
        <v>0</v>
      </c>
      <c r="P96" s="47"/>
      <c r="Q96" s="374">
        <f t="shared" si="5"/>
        <v>0</v>
      </c>
      <c r="R96" s="375" t="str">
        <f t="shared" si="6"/>
        <v>SI</v>
      </c>
      <c r="S96" s="376" t="str">
        <f t="shared" si="4"/>
        <v>Sin Riesgo</v>
      </c>
    </row>
    <row r="97" spans="1:19" s="120" customFormat="1" ht="32.1" customHeight="1" x14ac:dyDescent="0.2">
      <c r="A97" s="361" t="s">
        <v>901</v>
      </c>
      <c r="B97" s="406" t="s">
        <v>582</v>
      </c>
      <c r="C97" s="477" t="s">
        <v>583</v>
      </c>
      <c r="D97" s="364">
        <v>391</v>
      </c>
      <c r="E97" s="47">
        <v>0</v>
      </c>
      <c r="F97" s="47"/>
      <c r="G97" s="47">
        <v>0</v>
      </c>
      <c r="H97" s="47"/>
      <c r="I97" s="47">
        <v>0</v>
      </c>
      <c r="J97" s="47"/>
      <c r="K97" s="47">
        <v>0</v>
      </c>
      <c r="L97" s="47"/>
      <c r="M97" s="47"/>
      <c r="N97" s="47">
        <v>0</v>
      </c>
      <c r="O97" s="47"/>
      <c r="P97" s="47">
        <v>0</v>
      </c>
      <c r="Q97" s="374">
        <f t="shared" si="5"/>
        <v>0</v>
      </c>
      <c r="R97" s="375" t="str">
        <f t="shared" si="6"/>
        <v>SI</v>
      </c>
      <c r="S97" s="376" t="str">
        <f t="shared" ref="S97:S130" si="7">IF(Q97&lt;5,"Sin Riesgo",IF(Q97 &lt;=14,"Bajo",IF(Q97&lt;=35,"Medio",IF(Q97&lt;=80,"Alto","Inviable Sanitariamente"))))</f>
        <v>Sin Riesgo</v>
      </c>
    </row>
    <row r="98" spans="1:19" s="120" customFormat="1" ht="32.1" customHeight="1" x14ac:dyDescent="0.2">
      <c r="A98" s="361" t="s">
        <v>901</v>
      </c>
      <c r="B98" s="406" t="s">
        <v>584</v>
      </c>
      <c r="C98" s="477" t="s">
        <v>585</v>
      </c>
      <c r="D98" s="364">
        <v>320</v>
      </c>
      <c r="E98" s="47"/>
      <c r="F98" s="47">
        <v>0</v>
      </c>
      <c r="G98" s="47"/>
      <c r="H98" s="47"/>
      <c r="I98" s="47"/>
      <c r="J98" s="47"/>
      <c r="K98" s="47">
        <v>0</v>
      </c>
      <c r="L98" s="47"/>
      <c r="M98" s="47"/>
      <c r="N98" s="47">
        <v>0</v>
      </c>
      <c r="O98" s="47"/>
      <c r="P98" s="47">
        <v>0</v>
      </c>
      <c r="Q98" s="374">
        <f t="shared" si="5"/>
        <v>0</v>
      </c>
      <c r="R98" s="375" t="str">
        <f t="shared" si="6"/>
        <v>SI</v>
      </c>
      <c r="S98" s="376" t="str">
        <f t="shared" si="7"/>
        <v>Sin Riesgo</v>
      </c>
    </row>
    <row r="99" spans="1:19" s="120" customFormat="1" ht="32.1" customHeight="1" x14ac:dyDescent="0.2">
      <c r="A99" s="361" t="s">
        <v>901</v>
      </c>
      <c r="B99" s="406" t="s">
        <v>586</v>
      </c>
      <c r="C99" s="477" t="s">
        <v>587</v>
      </c>
      <c r="D99" s="364">
        <v>78</v>
      </c>
      <c r="E99" s="47"/>
      <c r="F99" s="47">
        <v>0</v>
      </c>
      <c r="G99" s="47"/>
      <c r="H99" s="47"/>
      <c r="I99" s="47"/>
      <c r="J99" s="47"/>
      <c r="K99" s="47">
        <v>0</v>
      </c>
      <c r="L99" s="47"/>
      <c r="M99" s="47"/>
      <c r="N99" s="47">
        <v>0</v>
      </c>
      <c r="O99" s="47"/>
      <c r="P99" s="47">
        <v>0</v>
      </c>
      <c r="Q99" s="374">
        <f t="shared" si="5"/>
        <v>0</v>
      </c>
      <c r="R99" s="375" t="str">
        <f t="shared" si="6"/>
        <v>SI</v>
      </c>
      <c r="S99" s="376" t="str">
        <f t="shared" si="7"/>
        <v>Sin Riesgo</v>
      </c>
    </row>
    <row r="100" spans="1:19" s="120" customFormat="1" ht="32.1" customHeight="1" x14ac:dyDescent="0.2">
      <c r="A100" s="361" t="s">
        <v>901</v>
      </c>
      <c r="B100" s="406" t="s">
        <v>588</v>
      </c>
      <c r="C100" s="477" t="s">
        <v>589</v>
      </c>
      <c r="D100" s="364">
        <v>17</v>
      </c>
      <c r="E100" s="47"/>
      <c r="F100" s="47">
        <v>0</v>
      </c>
      <c r="G100" s="47"/>
      <c r="H100" s="47"/>
      <c r="I100" s="47"/>
      <c r="J100" s="47"/>
      <c r="K100" s="47">
        <v>0</v>
      </c>
      <c r="L100" s="47"/>
      <c r="M100" s="47"/>
      <c r="N100" s="47">
        <v>0</v>
      </c>
      <c r="O100" s="47"/>
      <c r="P100" s="47">
        <v>0</v>
      </c>
      <c r="Q100" s="374">
        <f t="shared" si="5"/>
        <v>0</v>
      </c>
      <c r="R100" s="375" t="str">
        <f t="shared" si="6"/>
        <v>SI</v>
      </c>
      <c r="S100" s="376" t="str">
        <f t="shared" si="7"/>
        <v>Sin Riesgo</v>
      </c>
    </row>
    <row r="101" spans="1:19" s="120" customFormat="1" ht="32.1" customHeight="1" x14ac:dyDescent="0.2">
      <c r="A101" s="361" t="s">
        <v>901</v>
      </c>
      <c r="B101" s="406" t="s">
        <v>590</v>
      </c>
      <c r="C101" s="477" t="s">
        <v>591</v>
      </c>
      <c r="D101" s="364">
        <v>311</v>
      </c>
      <c r="E101" s="47"/>
      <c r="F101" s="47">
        <v>0</v>
      </c>
      <c r="G101" s="47"/>
      <c r="H101" s="47"/>
      <c r="I101" s="47">
        <v>0</v>
      </c>
      <c r="J101" s="47"/>
      <c r="K101" s="47">
        <v>0</v>
      </c>
      <c r="L101" s="47"/>
      <c r="M101" s="47"/>
      <c r="N101" s="47">
        <v>0</v>
      </c>
      <c r="O101" s="47"/>
      <c r="P101" s="47">
        <v>72.37</v>
      </c>
      <c r="Q101" s="374">
        <f t="shared" si="5"/>
        <v>14.474</v>
      </c>
      <c r="R101" s="375" t="str">
        <f t="shared" si="6"/>
        <v>NO</v>
      </c>
      <c r="S101" s="376" t="str">
        <f t="shared" si="7"/>
        <v>Medio</v>
      </c>
    </row>
    <row r="102" spans="1:19" s="120" customFormat="1" ht="32.1" customHeight="1" x14ac:dyDescent="0.2">
      <c r="A102" s="361" t="s">
        <v>901</v>
      </c>
      <c r="B102" s="406" t="s">
        <v>8</v>
      </c>
      <c r="C102" s="477" t="s">
        <v>592</v>
      </c>
      <c r="D102" s="364">
        <v>341</v>
      </c>
      <c r="E102" s="47"/>
      <c r="F102" s="47">
        <v>0</v>
      </c>
      <c r="G102" s="47"/>
      <c r="H102" s="47"/>
      <c r="I102" s="47">
        <v>0</v>
      </c>
      <c r="J102" s="47"/>
      <c r="K102" s="47">
        <v>0</v>
      </c>
      <c r="L102" s="47"/>
      <c r="M102" s="47"/>
      <c r="N102" s="47">
        <v>0</v>
      </c>
      <c r="O102" s="47"/>
      <c r="P102" s="47">
        <v>23.68</v>
      </c>
      <c r="Q102" s="374">
        <f t="shared" si="5"/>
        <v>4.7359999999999998</v>
      </c>
      <c r="R102" s="375" t="str">
        <f t="shared" si="6"/>
        <v>SI</v>
      </c>
      <c r="S102" s="376" t="str">
        <f t="shared" si="7"/>
        <v>Sin Riesgo</v>
      </c>
    </row>
    <row r="103" spans="1:19" s="120" customFormat="1" ht="32.1" customHeight="1" x14ac:dyDescent="0.2">
      <c r="A103" s="361" t="s">
        <v>901</v>
      </c>
      <c r="B103" s="406" t="s">
        <v>593</v>
      </c>
      <c r="C103" s="477" t="s">
        <v>594</v>
      </c>
      <c r="D103" s="364">
        <v>190</v>
      </c>
      <c r="E103" s="47"/>
      <c r="F103" s="47">
        <v>0</v>
      </c>
      <c r="G103" s="47"/>
      <c r="H103" s="47"/>
      <c r="I103" s="47">
        <v>0</v>
      </c>
      <c r="J103" s="47"/>
      <c r="K103" s="47">
        <v>0</v>
      </c>
      <c r="L103" s="47"/>
      <c r="M103" s="47"/>
      <c r="N103" s="47">
        <v>0</v>
      </c>
      <c r="O103" s="47"/>
      <c r="P103" s="47">
        <v>19.739999999999998</v>
      </c>
      <c r="Q103" s="374">
        <f t="shared" si="5"/>
        <v>3.9479999999999995</v>
      </c>
      <c r="R103" s="375" t="str">
        <f t="shared" si="6"/>
        <v>SI</v>
      </c>
      <c r="S103" s="376" t="str">
        <f t="shared" si="7"/>
        <v>Sin Riesgo</v>
      </c>
    </row>
    <row r="104" spans="1:19" s="120" customFormat="1" ht="32.1" customHeight="1" x14ac:dyDescent="0.2">
      <c r="A104" s="361" t="s">
        <v>901</v>
      </c>
      <c r="B104" s="406" t="s">
        <v>595</v>
      </c>
      <c r="C104" s="477" t="s">
        <v>596</v>
      </c>
      <c r="D104" s="364">
        <v>452</v>
      </c>
      <c r="E104" s="47">
        <v>0</v>
      </c>
      <c r="F104" s="47"/>
      <c r="G104" s="47">
        <v>0</v>
      </c>
      <c r="H104" s="47"/>
      <c r="I104" s="47"/>
      <c r="J104" s="47"/>
      <c r="K104" s="47"/>
      <c r="L104" s="47"/>
      <c r="M104" s="47"/>
      <c r="N104" s="47">
        <v>0</v>
      </c>
      <c r="O104" s="47"/>
      <c r="P104" s="47">
        <v>0</v>
      </c>
      <c r="Q104" s="374">
        <f t="shared" si="5"/>
        <v>0</v>
      </c>
      <c r="R104" s="375" t="str">
        <f t="shared" si="6"/>
        <v>SI</v>
      </c>
      <c r="S104" s="376" t="str">
        <f t="shared" si="7"/>
        <v>Sin Riesgo</v>
      </c>
    </row>
    <row r="105" spans="1:19" s="120" customFormat="1" ht="32.1" customHeight="1" x14ac:dyDescent="0.2">
      <c r="A105" s="361" t="s">
        <v>901</v>
      </c>
      <c r="B105" s="406" t="s">
        <v>597</v>
      </c>
      <c r="C105" s="477" t="s">
        <v>598</v>
      </c>
      <c r="D105" s="364">
        <v>452</v>
      </c>
      <c r="E105" s="47"/>
      <c r="F105" s="47">
        <v>0</v>
      </c>
      <c r="G105" s="47"/>
      <c r="H105" s="47">
        <v>0</v>
      </c>
      <c r="I105" s="47"/>
      <c r="J105" s="47">
        <v>0</v>
      </c>
      <c r="K105" s="47"/>
      <c r="L105" s="47">
        <v>0</v>
      </c>
      <c r="M105" s="47"/>
      <c r="N105" s="47">
        <v>0</v>
      </c>
      <c r="O105" s="47">
        <v>0</v>
      </c>
      <c r="P105" s="47"/>
      <c r="Q105" s="374">
        <f t="shared" si="5"/>
        <v>0</v>
      </c>
      <c r="R105" s="375" t="str">
        <f t="shared" si="6"/>
        <v>SI</v>
      </c>
      <c r="S105" s="376" t="str">
        <f t="shared" si="7"/>
        <v>Sin Riesgo</v>
      </c>
    </row>
    <row r="106" spans="1:19" s="120" customFormat="1" ht="32.1" customHeight="1" x14ac:dyDescent="0.2">
      <c r="A106" s="361" t="s">
        <v>901</v>
      </c>
      <c r="B106" s="406" t="s">
        <v>599</v>
      </c>
      <c r="C106" s="477" t="s">
        <v>600</v>
      </c>
      <c r="D106" s="364">
        <v>40</v>
      </c>
      <c r="E106" s="47">
        <v>0</v>
      </c>
      <c r="F106" s="47"/>
      <c r="G106" s="47">
        <v>0</v>
      </c>
      <c r="H106" s="47"/>
      <c r="I106" s="47"/>
      <c r="J106" s="47"/>
      <c r="K106" s="47">
        <v>0</v>
      </c>
      <c r="L106" s="47"/>
      <c r="M106" s="47"/>
      <c r="N106" s="47">
        <v>0</v>
      </c>
      <c r="O106" s="47"/>
      <c r="P106" s="47">
        <v>0</v>
      </c>
      <c r="Q106" s="374">
        <f t="shared" si="5"/>
        <v>0</v>
      </c>
      <c r="R106" s="375" t="str">
        <f t="shared" si="6"/>
        <v>SI</v>
      </c>
      <c r="S106" s="376" t="str">
        <f t="shared" si="7"/>
        <v>Sin Riesgo</v>
      </c>
    </row>
    <row r="107" spans="1:19" s="120" customFormat="1" ht="32.1" customHeight="1" x14ac:dyDescent="0.2">
      <c r="A107" s="361" t="s">
        <v>901</v>
      </c>
      <c r="B107" s="406" t="s">
        <v>601</v>
      </c>
      <c r="C107" s="477" t="s">
        <v>602</v>
      </c>
      <c r="D107" s="364">
        <v>200</v>
      </c>
      <c r="E107" s="47"/>
      <c r="F107" s="47"/>
      <c r="G107" s="47">
        <v>0</v>
      </c>
      <c r="H107" s="47"/>
      <c r="I107" s="47"/>
      <c r="J107" s="47"/>
      <c r="K107" s="47"/>
      <c r="L107" s="47"/>
      <c r="M107" s="47"/>
      <c r="N107" s="47"/>
      <c r="O107" s="47"/>
      <c r="P107" s="47"/>
      <c r="Q107" s="374">
        <f>AVERAGE(E107:P107)</f>
        <v>0</v>
      </c>
      <c r="R107" s="375" t="str">
        <f>IF(Q107&lt;5,"SI","NO")</f>
        <v>SI</v>
      </c>
      <c r="S107" s="376" t="str">
        <f>IF(Q107&lt;5,"Sin Riesgo",IF(Q107 &lt;=14,"Bajo",IF(Q107&lt;=35,"Medio",IF(Q107&lt;=80,"Alto","Inviable Sanitariamente"))))</f>
        <v>Sin Riesgo</v>
      </c>
    </row>
    <row r="108" spans="1:19" s="120" customFormat="1" ht="32.1" customHeight="1" x14ac:dyDescent="0.2">
      <c r="A108" s="361" t="s">
        <v>901</v>
      </c>
      <c r="B108" s="406" t="s">
        <v>4285</v>
      </c>
      <c r="C108" s="477" t="s">
        <v>602</v>
      </c>
      <c r="D108" s="364"/>
      <c r="E108" s="47"/>
      <c r="F108" s="47"/>
      <c r="G108" s="47"/>
      <c r="H108" s="47"/>
      <c r="I108" s="47"/>
      <c r="J108" s="47"/>
      <c r="K108" s="47">
        <v>0</v>
      </c>
      <c r="L108" s="47"/>
      <c r="M108" s="47"/>
      <c r="N108" s="47"/>
      <c r="O108" s="47"/>
      <c r="P108" s="47"/>
      <c r="Q108" s="374">
        <f t="shared" si="5"/>
        <v>0</v>
      </c>
      <c r="R108" s="375" t="str">
        <f t="shared" si="6"/>
        <v>SI</v>
      </c>
      <c r="S108" s="376" t="str">
        <f t="shared" si="7"/>
        <v>Sin Riesgo</v>
      </c>
    </row>
    <row r="109" spans="1:19" s="120" customFormat="1" ht="32.1" customHeight="1" x14ac:dyDescent="0.2">
      <c r="A109" s="361" t="s">
        <v>901</v>
      </c>
      <c r="B109" s="406" t="s">
        <v>4286</v>
      </c>
      <c r="C109" s="477" t="s">
        <v>603</v>
      </c>
      <c r="D109" s="364"/>
      <c r="E109" s="47">
        <v>0</v>
      </c>
      <c r="F109" s="47"/>
      <c r="G109" s="47"/>
      <c r="H109" s="47"/>
      <c r="I109" s="47"/>
      <c r="J109" s="47"/>
      <c r="K109" s="47">
        <v>0</v>
      </c>
      <c r="L109" s="47"/>
      <c r="M109" s="47"/>
      <c r="N109" s="47"/>
      <c r="O109" s="47"/>
      <c r="P109" s="47">
        <v>0</v>
      </c>
      <c r="Q109" s="374">
        <f>AVERAGE(E109:P109)</f>
        <v>0</v>
      </c>
      <c r="R109" s="375" t="str">
        <f>IF(Q109&lt;5,"SI","NO")</f>
        <v>SI</v>
      </c>
      <c r="S109" s="376" t="str">
        <f>IF(Q109&lt;5,"Sin Riesgo",IF(Q109 &lt;=14,"Bajo",IF(Q109&lt;=35,"Medio",IF(Q109&lt;=80,"Alto","Inviable Sanitariamente"))))</f>
        <v>Sin Riesgo</v>
      </c>
    </row>
    <row r="110" spans="1:19" s="120" customFormat="1" ht="32.1" customHeight="1" x14ac:dyDescent="0.2">
      <c r="A110" s="361" t="s">
        <v>901</v>
      </c>
      <c r="B110" s="406" t="s">
        <v>4287</v>
      </c>
      <c r="C110" s="477" t="s">
        <v>603</v>
      </c>
      <c r="D110" s="364">
        <v>200</v>
      </c>
      <c r="E110" s="47"/>
      <c r="F110" s="47"/>
      <c r="G110" s="47"/>
      <c r="H110" s="47"/>
      <c r="I110" s="47"/>
      <c r="J110" s="47"/>
      <c r="K110" s="47"/>
      <c r="L110" s="47"/>
      <c r="M110" s="47"/>
      <c r="N110" s="47"/>
      <c r="O110" s="47"/>
      <c r="P110" s="47">
        <v>0</v>
      </c>
      <c r="Q110" s="374">
        <f t="shared" si="5"/>
        <v>0</v>
      </c>
      <c r="R110" s="375" t="str">
        <f t="shared" si="6"/>
        <v>SI</v>
      </c>
      <c r="S110" s="376" t="str">
        <f t="shared" si="7"/>
        <v>Sin Riesgo</v>
      </c>
    </row>
    <row r="111" spans="1:19" s="120" customFormat="1" ht="32.1" customHeight="1" x14ac:dyDescent="0.2">
      <c r="A111" s="361" t="s">
        <v>901</v>
      </c>
      <c r="B111" s="406" t="s">
        <v>604</v>
      </c>
      <c r="C111" s="477" t="s">
        <v>605</v>
      </c>
      <c r="D111" s="364">
        <v>32</v>
      </c>
      <c r="E111" s="47">
        <v>0</v>
      </c>
      <c r="F111" s="47"/>
      <c r="G111" s="47"/>
      <c r="H111" s="47"/>
      <c r="I111" s="47">
        <v>0</v>
      </c>
      <c r="J111" s="47">
        <v>0</v>
      </c>
      <c r="K111" s="47"/>
      <c r="L111" s="47"/>
      <c r="M111" s="47">
        <v>0</v>
      </c>
      <c r="N111" s="47"/>
      <c r="O111" s="47">
        <v>0</v>
      </c>
      <c r="P111" s="47"/>
      <c r="Q111" s="374">
        <f t="shared" si="5"/>
        <v>0</v>
      </c>
      <c r="R111" s="375" t="str">
        <f t="shared" si="6"/>
        <v>SI</v>
      </c>
      <c r="S111" s="376" t="str">
        <f t="shared" si="7"/>
        <v>Sin Riesgo</v>
      </c>
    </row>
    <row r="112" spans="1:19" s="120" customFormat="1" ht="32.1" customHeight="1" x14ac:dyDescent="0.2">
      <c r="A112" s="361" t="s">
        <v>901</v>
      </c>
      <c r="B112" s="406" t="s">
        <v>463</v>
      </c>
      <c r="C112" s="477" t="s">
        <v>606</v>
      </c>
      <c r="D112" s="364">
        <v>495</v>
      </c>
      <c r="E112" s="47">
        <v>0</v>
      </c>
      <c r="F112" s="47"/>
      <c r="G112" s="47"/>
      <c r="H112" s="47"/>
      <c r="I112" s="47">
        <v>0</v>
      </c>
      <c r="J112" s="47">
        <v>0</v>
      </c>
      <c r="K112" s="47"/>
      <c r="L112" s="47"/>
      <c r="M112" s="47">
        <v>0</v>
      </c>
      <c r="N112" s="47"/>
      <c r="O112" s="47">
        <v>0</v>
      </c>
      <c r="P112" s="47"/>
      <c r="Q112" s="374">
        <f t="shared" si="5"/>
        <v>0</v>
      </c>
      <c r="R112" s="375" t="str">
        <f t="shared" si="6"/>
        <v>SI</v>
      </c>
      <c r="S112" s="376" t="str">
        <f t="shared" si="7"/>
        <v>Sin Riesgo</v>
      </c>
    </row>
    <row r="113" spans="1:19" s="120" customFormat="1" ht="32.1" customHeight="1" x14ac:dyDescent="0.2">
      <c r="A113" s="361" t="s">
        <v>901</v>
      </c>
      <c r="B113" s="406" t="s">
        <v>607</v>
      </c>
      <c r="C113" s="477" t="s">
        <v>608</v>
      </c>
      <c r="D113" s="364">
        <v>489</v>
      </c>
      <c r="E113" s="47">
        <v>0</v>
      </c>
      <c r="F113" s="47"/>
      <c r="G113" s="47"/>
      <c r="H113" s="47"/>
      <c r="I113" s="47">
        <v>0</v>
      </c>
      <c r="J113" s="47">
        <v>0</v>
      </c>
      <c r="K113" s="47"/>
      <c r="L113" s="47"/>
      <c r="M113" s="47">
        <v>0</v>
      </c>
      <c r="N113" s="47"/>
      <c r="O113" s="47">
        <v>0</v>
      </c>
      <c r="P113" s="47"/>
      <c r="Q113" s="374">
        <f t="shared" si="5"/>
        <v>0</v>
      </c>
      <c r="R113" s="375" t="str">
        <f t="shared" si="6"/>
        <v>SI</v>
      </c>
      <c r="S113" s="376" t="str">
        <f t="shared" si="7"/>
        <v>Sin Riesgo</v>
      </c>
    </row>
    <row r="114" spans="1:19" s="120" customFormat="1" ht="32.1" customHeight="1" x14ac:dyDescent="0.2">
      <c r="A114" s="361" t="s">
        <v>901</v>
      </c>
      <c r="B114" s="406" t="s">
        <v>609</v>
      </c>
      <c r="C114" s="477" t="s">
        <v>610</v>
      </c>
      <c r="D114" s="364">
        <v>85</v>
      </c>
      <c r="E114" s="47">
        <v>0</v>
      </c>
      <c r="F114" s="47"/>
      <c r="G114" s="47"/>
      <c r="H114" s="47"/>
      <c r="I114" s="47">
        <v>0</v>
      </c>
      <c r="J114" s="47">
        <v>0</v>
      </c>
      <c r="K114" s="47"/>
      <c r="L114" s="47"/>
      <c r="M114" s="47">
        <v>0</v>
      </c>
      <c r="N114" s="47"/>
      <c r="O114" s="47">
        <v>0</v>
      </c>
      <c r="P114" s="47"/>
      <c r="Q114" s="374">
        <f t="shared" si="5"/>
        <v>0</v>
      </c>
      <c r="R114" s="375" t="str">
        <f t="shared" si="6"/>
        <v>SI</v>
      </c>
      <c r="S114" s="376" t="str">
        <f t="shared" si="7"/>
        <v>Sin Riesgo</v>
      </c>
    </row>
    <row r="115" spans="1:19" s="120" customFormat="1" ht="32.1" customHeight="1" x14ac:dyDescent="0.2">
      <c r="A115" s="361" t="s">
        <v>901</v>
      </c>
      <c r="B115" s="406" t="s">
        <v>604</v>
      </c>
      <c r="C115" s="477" t="s">
        <v>628</v>
      </c>
      <c r="D115" s="364">
        <v>80</v>
      </c>
      <c r="E115" s="47"/>
      <c r="F115" s="47">
        <v>0</v>
      </c>
      <c r="G115" s="47"/>
      <c r="H115" s="47"/>
      <c r="I115" s="47">
        <v>0</v>
      </c>
      <c r="J115" s="47">
        <v>0</v>
      </c>
      <c r="K115" s="47"/>
      <c r="L115" s="47"/>
      <c r="M115" s="47">
        <v>0</v>
      </c>
      <c r="N115" s="47"/>
      <c r="O115" s="47">
        <v>0</v>
      </c>
      <c r="P115" s="47"/>
      <c r="Q115" s="374">
        <f t="shared" si="5"/>
        <v>0</v>
      </c>
      <c r="R115" s="375" t="str">
        <f t="shared" si="6"/>
        <v>SI</v>
      </c>
      <c r="S115" s="376" t="str">
        <f t="shared" si="7"/>
        <v>Sin Riesgo</v>
      </c>
    </row>
    <row r="116" spans="1:19" s="120" customFormat="1" ht="32.1" customHeight="1" x14ac:dyDescent="0.2">
      <c r="A116" s="361" t="s">
        <v>901</v>
      </c>
      <c r="B116" s="406" t="s">
        <v>62</v>
      </c>
      <c r="C116" s="477" t="s">
        <v>629</v>
      </c>
      <c r="D116" s="364">
        <v>253</v>
      </c>
      <c r="E116" s="47"/>
      <c r="F116" s="47">
        <v>2.65</v>
      </c>
      <c r="G116" s="47"/>
      <c r="H116" s="47"/>
      <c r="I116" s="47">
        <v>0</v>
      </c>
      <c r="J116" s="47">
        <v>0</v>
      </c>
      <c r="K116" s="47"/>
      <c r="L116" s="47"/>
      <c r="M116" s="47">
        <v>0</v>
      </c>
      <c r="N116" s="47"/>
      <c r="O116" s="47">
        <v>0</v>
      </c>
      <c r="P116" s="47"/>
      <c r="Q116" s="374">
        <f t="shared" si="5"/>
        <v>0.53</v>
      </c>
      <c r="R116" s="375" t="str">
        <f t="shared" si="6"/>
        <v>SI</v>
      </c>
      <c r="S116" s="376" t="str">
        <f t="shared" si="7"/>
        <v>Sin Riesgo</v>
      </c>
    </row>
    <row r="117" spans="1:19" s="120" customFormat="1" ht="32.1" customHeight="1" x14ac:dyDescent="0.2">
      <c r="A117" s="361" t="s">
        <v>901</v>
      </c>
      <c r="B117" s="406" t="s">
        <v>609</v>
      </c>
      <c r="C117" s="477" t="s">
        <v>630</v>
      </c>
      <c r="D117" s="364">
        <v>585</v>
      </c>
      <c r="E117" s="47"/>
      <c r="F117" s="47">
        <v>0</v>
      </c>
      <c r="G117" s="47"/>
      <c r="H117" s="47"/>
      <c r="I117" s="47">
        <v>0</v>
      </c>
      <c r="J117" s="47">
        <v>0</v>
      </c>
      <c r="K117" s="47"/>
      <c r="L117" s="47"/>
      <c r="M117" s="47">
        <v>0</v>
      </c>
      <c r="N117" s="47"/>
      <c r="O117" s="47">
        <v>0</v>
      </c>
      <c r="P117" s="47"/>
      <c r="Q117" s="374">
        <f t="shared" si="5"/>
        <v>0</v>
      </c>
      <c r="R117" s="375" t="str">
        <f t="shared" si="6"/>
        <v>SI</v>
      </c>
      <c r="S117" s="376" t="str">
        <f t="shared" si="7"/>
        <v>Sin Riesgo</v>
      </c>
    </row>
    <row r="118" spans="1:19" s="120" customFormat="1" ht="32.1" customHeight="1" x14ac:dyDescent="0.2">
      <c r="A118" s="361" t="s">
        <v>901</v>
      </c>
      <c r="B118" s="406" t="s">
        <v>611</v>
      </c>
      <c r="C118" s="477" t="s">
        <v>612</v>
      </c>
      <c r="D118" s="364">
        <v>110</v>
      </c>
      <c r="E118" s="47"/>
      <c r="F118" s="47">
        <v>0</v>
      </c>
      <c r="G118" s="47"/>
      <c r="H118" s="47"/>
      <c r="I118" s="47">
        <v>0</v>
      </c>
      <c r="J118" s="47">
        <v>0</v>
      </c>
      <c r="K118" s="47"/>
      <c r="L118" s="47"/>
      <c r="M118" s="47">
        <v>0</v>
      </c>
      <c r="N118" s="47"/>
      <c r="O118" s="47">
        <v>0</v>
      </c>
      <c r="P118" s="47"/>
      <c r="Q118" s="374">
        <f t="shared" si="5"/>
        <v>0</v>
      </c>
      <c r="R118" s="375" t="str">
        <f t="shared" si="6"/>
        <v>SI</v>
      </c>
      <c r="S118" s="376" t="str">
        <f t="shared" si="7"/>
        <v>Sin Riesgo</v>
      </c>
    </row>
    <row r="119" spans="1:19" s="120" customFormat="1" ht="32.1" customHeight="1" x14ac:dyDescent="0.2">
      <c r="A119" s="361" t="s">
        <v>901</v>
      </c>
      <c r="B119" s="406" t="s">
        <v>613</v>
      </c>
      <c r="C119" s="477" t="s">
        <v>614</v>
      </c>
      <c r="D119" s="364">
        <v>570</v>
      </c>
      <c r="E119" s="47"/>
      <c r="F119" s="47">
        <v>0</v>
      </c>
      <c r="G119" s="47"/>
      <c r="H119" s="47"/>
      <c r="I119" s="47">
        <v>0</v>
      </c>
      <c r="J119" s="47">
        <v>0</v>
      </c>
      <c r="K119" s="47"/>
      <c r="L119" s="47"/>
      <c r="M119" s="47">
        <v>0</v>
      </c>
      <c r="N119" s="47"/>
      <c r="O119" s="47">
        <v>0</v>
      </c>
      <c r="P119" s="47"/>
      <c r="Q119" s="374">
        <f t="shared" si="5"/>
        <v>0</v>
      </c>
      <c r="R119" s="375" t="str">
        <f t="shared" si="6"/>
        <v>SI</v>
      </c>
      <c r="S119" s="376" t="str">
        <f t="shared" si="7"/>
        <v>Sin Riesgo</v>
      </c>
    </row>
    <row r="120" spans="1:19" s="120" customFormat="1" ht="32.1" customHeight="1" x14ac:dyDescent="0.2">
      <c r="A120" s="361" t="s">
        <v>901</v>
      </c>
      <c r="B120" s="406" t="s">
        <v>615</v>
      </c>
      <c r="C120" s="477" t="s">
        <v>616</v>
      </c>
      <c r="D120" s="364">
        <v>395</v>
      </c>
      <c r="E120" s="47"/>
      <c r="F120" s="47">
        <v>0</v>
      </c>
      <c r="G120" s="47"/>
      <c r="H120" s="47"/>
      <c r="I120" s="47">
        <v>0</v>
      </c>
      <c r="J120" s="47">
        <v>2.65</v>
      </c>
      <c r="K120" s="47"/>
      <c r="L120" s="47"/>
      <c r="M120" s="47">
        <v>0</v>
      </c>
      <c r="N120" s="47"/>
      <c r="O120" s="47">
        <v>0</v>
      </c>
      <c r="P120" s="47"/>
      <c r="Q120" s="374">
        <f t="shared" si="5"/>
        <v>0.53</v>
      </c>
      <c r="R120" s="375" t="str">
        <f t="shared" si="6"/>
        <v>SI</v>
      </c>
      <c r="S120" s="376" t="str">
        <f t="shared" si="7"/>
        <v>Sin Riesgo</v>
      </c>
    </row>
    <row r="121" spans="1:19" s="120" customFormat="1" ht="32.1" customHeight="1" x14ac:dyDescent="0.2">
      <c r="A121" s="361" t="s">
        <v>901</v>
      </c>
      <c r="B121" s="406" t="s">
        <v>617</v>
      </c>
      <c r="C121" s="477" t="s">
        <v>618</v>
      </c>
      <c r="D121" s="364">
        <v>383</v>
      </c>
      <c r="E121" s="47">
        <v>0</v>
      </c>
      <c r="F121" s="47"/>
      <c r="G121" s="47"/>
      <c r="H121" s="47"/>
      <c r="I121" s="47">
        <v>0</v>
      </c>
      <c r="J121" s="47">
        <v>0</v>
      </c>
      <c r="K121" s="47"/>
      <c r="L121" s="47"/>
      <c r="M121" s="47"/>
      <c r="N121" s="47">
        <v>0</v>
      </c>
      <c r="O121" s="47"/>
      <c r="P121" s="47">
        <v>0</v>
      </c>
      <c r="Q121" s="374">
        <f t="shared" si="5"/>
        <v>0</v>
      </c>
      <c r="R121" s="375" t="str">
        <f t="shared" si="6"/>
        <v>SI</v>
      </c>
      <c r="S121" s="376" t="str">
        <f t="shared" si="7"/>
        <v>Sin Riesgo</v>
      </c>
    </row>
    <row r="122" spans="1:19" s="120" customFormat="1" ht="32.1" customHeight="1" x14ac:dyDescent="0.2">
      <c r="A122" s="361" t="s">
        <v>901</v>
      </c>
      <c r="B122" s="406" t="s">
        <v>619</v>
      </c>
      <c r="C122" s="477" t="s">
        <v>620</v>
      </c>
      <c r="D122" s="364">
        <v>259</v>
      </c>
      <c r="E122" s="47">
        <v>0</v>
      </c>
      <c r="F122" s="47"/>
      <c r="G122" s="47"/>
      <c r="H122" s="47"/>
      <c r="I122" s="47">
        <v>0</v>
      </c>
      <c r="J122" s="47">
        <v>0</v>
      </c>
      <c r="K122" s="47"/>
      <c r="L122" s="47"/>
      <c r="M122" s="47"/>
      <c r="N122" s="47">
        <v>0</v>
      </c>
      <c r="O122" s="47"/>
      <c r="P122" s="47">
        <v>0</v>
      </c>
      <c r="Q122" s="374">
        <f t="shared" si="5"/>
        <v>0</v>
      </c>
      <c r="R122" s="375" t="str">
        <f t="shared" si="6"/>
        <v>SI</v>
      </c>
      <c r="S122" s="376" t="str">
        <f t="shared" si="7"/>
        <v>Sin Riesgo</v>
      </c>
    </row>
    <row r="123" spans="1:19" s="120" customFormat="1" ht="32.1" customHeight="1" x14ac:dyDescent="0.2">
      <c r="A123" s="361" t="s">
        <v>901</v>
      </c>
      <c r="B123" s="406" t="s">
        <v>621</v>
      </c>
      <c r="C123" s="477" t="s">
        <v>622</v>
      </c>
      <c r="D123" s="364">
        <v>220</v>
      </c>
      <c r="E123" s="47"/>
      <c r="F123" s="47"/>
      <c r="G123" s="47">
        <v>0</v>
      </c>
      <c r="H123" s="47"/>
      <c r="I123" s="47"/>
      <c r="J123" s="47"/>
      <c r="K123" s="47"/>
      <c r="L123" s="47">
        <v>0</v>
      </c>
      <c r="M123" s="47">
        <v>0</v>
      </c>
      <c r="N123" s="47"/>
      <c r="O123" s="47">
        <v>0</v>
      </c>
      <c r="P123" s="47"/>
      <c r="Q123" s="374">
        <f t="shared" si="5"/>
        <v>0</v>
      </c>
      <c r="R123" s="375" t="str">
        <f t="shared" si="6"/>
        <v>SI</v>
      </c>
      <c r="S123" s="376" t="str">
        <f t="shared" si="7"/>
        <v>Sin Riesgo</v>
      </c>
    </row>
    <row r="124" spans="1:19" s="120" customFormat="1" ht="32.1" customHeight="1" x14ac:dyDescent="0.2">
      <c r="A124" s="361" t="s">
        <v>901</v>
      </c>
      <c r="B124" s="406" t="s">
        <v>623</v>
      </c>
      <c r="C124" s="477" t="s">
        <v>624</v>
      </c>
      <c r="D124" s="364">
        <v>140</v>
      </c>
      <c r="E124" s="47"/>
      <c r="F124" s="47"/>
      <c r="G124" s="47">
        <v>0</v>
      </c>
      <c r="H124" s="47"/>
      <c r="I124" s="47"/>
      <c r="J124" s="47"/>
      <c r="K124" s="47"/>
      <c r="L124" s="47">
        <v>0</v>
      </c>
      <c r="M124" s="47">
        <v>72.37</v>
      </c>
      <c r="N124" s="47"/>
      <c r="O124" s="47">
        <v>0</v>
      </c>
      <c r="P124" s="47"/>
      <c r="Q124" s="374">
        <f t="shared" si="5"/>
        <v>18.092500000000001</v>
      </c>
      <c r="R124" s="375" t="str">
        <f t="shared" si="6"/>
        <v>NO</v>
      </c>
      <c r="S124" s="376" t="str">
        <f t="shared" si="7"/>
        <v>Medio</v>
      </c>
    </row>
    <row r="125" spans="1:19" s="120" customFormat="1" ht="32.1" customHeight="1" x14ac:dyDescent="0.2">
      <c r="A125" s="361" t="s">
        <v>901</v>
      </c>
      <c r="B125" s="406" t="s">
        <v>2</v>
      </c>
      <c r="C125" s="477" t="s">
        <v>625</v>
      </c>
      <c r="D125" s="364">
        <v>52</v>
      </c>
      <c r="E125" s="47"/>
      <c r="F125" s="47"/>
      <c r="G125" s="47">
        <v>0</v>
      </c>
      <c r="H125" s="47"/>
      <c r="I125" s="47"/>
      <c r="J125" s="47"/>
      <c r="K125" s="47"/>
      <c r="L125" s="47">
        <v>0</v>
      </c>
      <c r="M125" s="47">
        <v>0</v>
      </c>
      <c r="N125" s="47"/>
      <c r="O125" s="47"/>
      <c r="P125" s="47">
        <v>0</v>
      </c>
      <c r="Q125" s="374">
        <f t="shared" si="5"/>
        <v>0</v>
      </c>
      <c r="R125" s="375" t="str">
        <f t="shared" si="6"/>
        <v>SI</v>
      </c>
      <c r="S125" s="376" t="str">
        <f t="shared" si="7"/>
        <v>Sin Riesgo</v>
      </c>
    </row>
    <row r="126" spans="1:19" s="120" customFormat="1" ht="32.1" customHeight="1" x14ac:dyDescent="0.2">
      <c r="A126" s="361" t="s">
        <v>901</v>
      </c>
      <c r="B126" s="406" t="s">
        <v>626</v>
      </c>
      <c r="C126" s="477" t="s">
        <v>627</v>
      </c>
      <c r="D126" s="364">
        <v>143</v>
      </c>
      <c r="E126" s="47"/>
      <c r="F126" s="47">
        <v>0</v>
      </c>
      <c r="G126" s="47"/>
      <c r="H126" s="47"/>
      <c r="I126" s="47">
        <v>0</v>
      </c>
      <c r="J126" s="47"/>
      <c r="K126" s="47">
        <v>0</v>
      </c>
      <c r="L126" s="47"/>
      <c r="M126" s="47"/>
      <c r="N126" s="47">
        <v>0</v>
      </c>
      <c r="O126" s="47"/>
      <c r="P126" s="47">
        <v>0</v>
      </c>
      <c r="Q126" s="374">
        <f t="shared" si="5"/>
        <v>0</v>
      </c>
      <c r="R126" s="375" t="str">
        <f t="shared" si="6"/>
        <v>SI</v>
      </c>
      <c r="S126" s="376" t="str">
        <f t="shared" si="7"/>
        <v>Sin Riesgo</v>
      </c>
    </row>
    <row r="127" spans="1:19" s="120" customFormat="1" ht="32.1" customHeight="1" x14ac:dyDescent="0.2">
      <c r="A127" s="361" t="s">
        <v>207</v>
      </c>
      <c r="B127" s="406" t="s">
        <v>660</v>
      </c>
      <c r="C127" s="477" t="s">
        <v>661</v>
      </c>
      <c r="D127" s="364">
        <v>186</v>
      </c>
      <c r="E127" s="495"/>
      <c r="F127" s="495"/>
      <c r="G127" s="495"/>
      <c r="H127" s="495"/>
      <c r="I127" s="495"/>
      <c r="J127" s="495"/>
      <c r="K127" s="495"/>
      <c r="L127" s="495"/>
      <c r="M127" s="495"/>
      <c r="N127" s="495"/>
      <c r="O127" s="495"/>
      <c r="P127" s="495">
        <v>97.3</v>
      </c>
      <c r="Q127" s="374">
        <f t="shared" si="5"/>
        <v>97.3</v>
      </c>
      <c r="R127" s="375" t="str">
        <f t="shared" si="6"/>
        <v>NO</v>
      </c>
      <c r="S127" s="376" t="str">
        <f t="shared" si="7"/>
        <v>Inviable Sanitariamente</v>
      </c>
    </row>
    <row r="128" spans="1:19" s="120" customFormat="1" ht="32.1" customHeight="1" x14ac:dyDescent="0.2">
      <c r="A128" s="361" t="s">
        <v>207</v>
      </c>
      <c r="B128" s="406" t="s">
        <v>73</v>
      </c>
      <c r="C128" s="477" t="s">
        <v>662</v>
      </c>
      <c r="D128" s="364">
        <v>130</v>
      </c>
      <c r="E128" s="495"/>
      <c r="F128" s="495"/>
      <c r="G128" s="495"/>
      <c r="H128" s="495"/>
      <c r="I128" s="495"/>
      <c r="J128" s="495"/>
      <c r="K128" s="495"/>
      <c r="L128" s="495"/>
      <c r="M128" s="495"/>
      <c r="N128" s="495"/>
      <c r="O128" s="495"/>
      <c r="P128" s="495">
        <v>97.3</v>
      </c>
      <c r="Q128" s="374">
        <f t="shared" si="5"/>
        <v>97.3</v>
      </c>
      <c r="R128" s="375" t="str">
        <f t="shared" si="6"/>
        <v>NO</v>
      </c>
      <c r="S128" s="376" t="str">
        <f t="shared" si="7"/>
        <v>Inviable Sanitariamente</v>
      </c>
    </row>
    <row r="129" spans="1:19" s="120" customFormat="1" ht="32.1" customHeight="1" x14ac:dyDescent="0.2">
      <c r="A129" s="361" t="s">
        <v>207</v>
      </c>
      <c r="B129" s="406" t="s">
        <v>663</v>
      </c>
      <c r="C129" s="477" t="s">
        <v>664</v>
      </c>
      <c r="D129" s="364">
        <v>70</v>
      </c>
      <c r="E129" s="495"/>
      <c r="F129" s="495"/>
      <c r="G129" s="495"/>
      <c r="H129" s="495"/>
      <c r="I129" s="495"/>
      <c r="J129" s="495"/>
      <c r="K129" s="495"/>
      <c r="L129" s="495"/>
      <c r="M129" s="495"/>
      <c r="N129" s="495"/>
      <c r="O129" s="495"/>
      <c r="P129" s="495">
        <v>97.3</v>
      </c>
      <c r="Q129" s="374">
        <f t="shared" si="5"/>
        <v>97.3</v>
      </c>
      <c r="R129" s="375" t="str">
        <f t="shared" si="6"/>
        <v>NO</v>
      </c>
      <c r="S129" s="376" t="str">
        <f t="shared" si="7"/>
        <v>Inviable Sanitariamente</v>
      </c>
    </row>
    <row r="130" spans="1:19" s="120" customFormat="1" ht="32.1" customHeight="1" x14ac:dyDescent="0.2">
      <c r="A130" s="361" t="s">
        <v>207</v>
      </c>
      <c r="B130" s="406" t="s">
        <v>576</v>
      </c>
      <c r="C130" s="477" t="s">
        <v>4257</v>
      </c>
      <c r="D130" s="364">
        <v>44</v>
      </c>
      <c r="E130" s="495"/>
      <c r="F130" s="495"/>
      <c r="G130" s="495"/>
      <c r="H130" s="495"/>
      <c r="I130" s="495"/>
      <c r="J130" s="495"/>
      <c r="K130" s="495"/>
      <c r="L130" s="495"/>
      <c r="M130" s="495"/>
      <c r="N130" s="495"/>
      <c r="O130" s="495"/>
      <c r="P130" s="495">
        <v>0</v>
      </c>
      <c r="Q130" s="374">
        <f t="shared" si="5"/>
        <v>0</v>
      </c>
      <c r="R130" s="375" t="str">
        <f t="shared" si="6"/>
        <v>SI</v>
      </c>
      <c r="S130" s="376" t="str">
        <f t="shared" si="7"/>
        <v>Sin Riesgo</v>
      </c>
    </row>
    <row r="131" spans="1:19" s="120" customFormat="1" ht="32.1" customHeight="1" x14ac:dyDescent="0.2">
      <c r="A131" s="361" t="s">
        <v>207</v>
      </c>
      <c r="B131" s="406" t="s">
        <v>665</v>
      </c>
      <c r="C131" s="477" t="s">
        <v>4465</v>
      </c>
      <c r="D131" s="364">
        <v>11</v>
      </c>
      <c r="E131" s="495"/>
      <c r="F131" s="495"/>
      <c r="G131" s="495"/>
      <c r="H131" s="495"/>
      <c r="I131" s="495"/>
      <c r="J131" s="495"/>
      <c r="K131" s="495"/>
      <c r="L131" s="495"/>
      <c r="M131" s="495"/>
      <c r="N131" s="495"/>
      <c r="O131" s="495"/>
      <c r="P131" s="495">
        <v>0</v>
      </c>
      <c r="Q131" s="374">
        <f t="shared" si="5"/>
        <v>0</v>
      </c>
      <c r="R131" s="375" t="str">
        <f t="shared" si="6"/>
        <v>SI</v>
      </c>
      <c r="S131" s="376" t="str">
        <f t="shared" ref="S131:S167" si="8">IF(Q131&lt;5,"Sin Riesgo",IF(Q131 &lt;=14,"Bajo",IF(Q131&lt;=35,"Medio",IF(Q131&lt;=80,"Alto","Inviable Sanitariamente"))))</f>
        <v>Sin Riesgo</v>
      </c>
    </row>
    <row r="132" spans="1:19" s="120" customFormat="1" ht="32.1" customHeight="1" x14ac:dyDescent="0.2">
      <c r="A132" s="361" t="s">
        <v>207</v>
      </c>
      <c r="B132" s="406" t="s">
        <v>533</v>
      </c>
      <c r="C132" s="477" t="s">
        <v>666</v>
      </c>
      <c r="D132" s="364">
        <v>55</v>
      </c>
      <c r="E132" s="495"/>
      <c r="F132" s="495"/>
      <c r="G132" s="495"/>
      <c r="H132" s="495"/>
      <c r="I132" s="495"/>
      <c r="J132" s="495"/>
      <c r="K132" s="495"/>
      <c r="L132" s="495"/>
      <c r="M132" s="495"/>
      <c r="N132" s="495"/>
      <c r="O132" s="495"/>
      <c r="P132" s="495">
        <v>0</v>
      </c>
      <c r="Q132" s="374">
        <f t="shared" si="5"/>
        <v>0</v>
      </c>
      <c r="R132" s="375" t="str">
        <f t="shared" si="6"/>
        <v>SI</v>
      </c>
      <c r="S132" s="376" t="str">
        <f t="shared" si="8"/>
        <v>Sin Riesgo</v>
      </c>
    </row>
    <row r="133" spans="1:19" s="120" customFormat="1" ht="32.1" customHeight="1" x14ac:dyDescent="0.2">
      <c r="A133" s="361" t="s">
        <v>207</v>
      </c>
      <c r="B133" s="406" t="s">
        <v>644</v>
      </c>
      <c r="C133" s="477" t="s">
        <v>667</v>
      </c>
      <c r="D133" s="364">
        <v>220</v>
      </c>
      <c r="E133" s="495"/>
      <c r="F133" s="495"/>
      <c r="G133" s="495"/>
      <c r="H133" s="495"/>
      <c r="I133" s="495"/>
      <c r="J133" s="495"/>
      <c r="K133" s="495"/>
      <c r="L133" s="495"/>
      <c r="M133" s="495"/>
      <c r="N133" s="495"/>
      <c r="O133" s="495"/>
      <c r="P133" s="495">
        <v>0</v>
      </c>
      <c r="Q133" s="374">
        <f t="shared" si="5"/>
        <v>0</v>
      </c>
      <c r="R133" s="375" t="str">
        <f t="shared" si="6"/>
        <v>SI</v>
      </c>
      <c r="S133" s="376" t="str">
        <f t="shared" si="8"/>
        <v>Sin Riesgo</v>
      </c>
    </row>
    <row r="134" spans="1:19" s="120" customFormat="1" ht="32.1" customHeight="1" x14ac:dyDescent="0.2">
      <c r="A134" s="361" t="s">
        <v>207</v>
      </c>
      <c r="B134" s="406" t="s">
        <v>668</v>
      </c>
      <c r="C134" s="477" t="s">
        <v>4466</v>
      </c>
      <c r="D134" s="364">
        <v>60</v>
      </c>
      <c r="E134" s="495"/>
      <c r="F134" s="495"/>
      <c r="G134" s="495"/>
      <c r="H134" s="495"/>
      <c r="I134" s="495"/>
      <c r="J134" s="495"/>
      <c r="K134" s="495"/>
      <c r="L134" s="495"/>
      <c r="M134" s="495"/>
      <c r="N134" s="495"/>
      <c r="O134" s="495"/>
      <c r="P134" s="495">
        <v>97.3</v>
      </c>
      <c r="Q134" s="374">
        <f t="shared" si="5"/>
        <v>97.3</v>
      </c>
      <c r="R134" s="375" t="str">
        <f t="shared" si="6"/>
        <v>NO</v>
      </c>
      <c r="S134" s="376" t="str">
        <f t="shared" si="8"/>
        <v>Inviable Sanitariamente</v>
      </c>
    </row>
    <row r="135" spans="1:19" s="120" customFormat="1" ht="32.1" customHeight="1" x14ac:dyDescent="0.2">
      <c r="A135" s="361" t="s">
        <v>207</v>
      </c>
      <c r="B135" s="406" t="s">
        <v>654</v>
      </c>
      <c r="C135" s="477" t="s">
        <v>669</v>
      </c>
      <c r="D135" s="364">
        <v>70</v>
      </c>
      <c r="E135" s="495"/>
      <c r="F135" s="495"/>
      <c r="G135" s="495"/>
      <c r="H135" s="495"/>
      <c r="I135" s="495"/>
      <c r="J135" s="495"/>
      <c r="K135" s="495"/>
      <c r="L135" s="495"/>
      <c r="M135" s="495"/>
      <c r="N135" s="495"/>
      <c r="O135" s="495"/>
      <c r="P135" s="495">
        <v>97.3</v>
      </c>
      <c r="Q135" s="374">
        <f t="shared" si="5"/>
        <v>97.3</v>
      </c>
      <c r="R135" s="375" t="str">
        <f t="shared" si="6"/>
        <v>NO</v>
      </c>
      <c r="S135" s="376" t="str">
        <f t="shared" si="8"/>
        <v>Inviable Sanitariamente</v>
      </c>
    </row>
    <row r="136" spans="1:19" s="120" customFormat="1" ht="32.1" customHeight="1" x14ac:dyDescent="0.2">
      <c r="A136" s="361" t="s">
        <v>207</v>
      </c>
      <c r="B136" s="406" t="s">
        <v>670</v>
      </c>
      <c r="C136" s="477" t="s">
        <v>4467</v>
      </c>
      <c r="D136" s="364">
        <v>63</v>
      </c>
      <c r="E136" s="495"/>
      <c r="F136" s="495"/>
      <c r="G136" s="495"/>
      <c r="H136" s="495"/>
      <c r="I136" s="495"/>
      <c r="J136" s="495"/>
      <c r="K136" s="495"/>
      <c r="L136" s="495"/>
      <c r="M136" s="495"/>
      <c r="N136" s="495"/>
      <c r="O136" s="495"/>
      <c r="P136" s="495">
        <v>26.5</v>
      </c>
      <c r="Q136" s="374">
        <f t="shared" si="5"/>
        <v>26.5</v>
      </c>
      <c r="R136" s="375" t="str">
        <f t="shared" si="6"/>
        <v>NO</v>
      </c>
      <c r="S136" s="376" t="str">
        <f t="shared" si="8"/>
        <v>Medio</v>
      </c>
    </row>
    <row r="137" spans="1:19" s="120" customFormat="1" ht="32.1" customHeight="1" x14ac:dyDescent="0.2">
      <c r="A137" s="361" t="s">
        <v>207</v>
      </c>
      <c r="B137" s="406" t="s">
        <v>71</v>
      </c>
      <c r="C137" s="477" t="s">
        <v>4468</v>
      </c>
      <c r="D137" s="364">
        <v>50</v>
      </c>
      <c r="E137" s="495"/>
      <c r="F137" s="495"/>
      <c r="G137" s="495"/>
      <c r="H137" s="495"/>
      <c r="I137" s="495"/>
      <c r="J137" s="495"/>
      <c r="K137" s="495"/>
      <c r="L137" s="495"/>
      <c r="M137" s="495"/>
      <c r="N137" s="495"/>
      <c r="O137" s="495"/>
      <c r="P137" s="495">
        <v>97.3</v>
      </c>
      <c r="Q137" s="374">
        <f t="shared" si="5"/>
        <v>97.3</v>
      </c>
      <c r="R137" s="375" t="str">
        <f t="shared" si="6"/>
        <v>NO</v>
      </c>
      <c r="S137" s="376" t="str">
        <f t="shared" si="8"/>
        <v>Inviable Sanitariamente</v>
      </c>
    </row>
    <row r="138" spans="1:19" s="120" customFormat="1" ht="32.1" customHeight="1" x14ac:dyDescent="0.2">
      <c r="A138" s="361" t="s">
        <v>207</v>
      </c>
      <c r="B138" s="406" t="s">
        <v>671</v>
      </c>
      <c r="C138" s="477" t="s">
        <v>672</v>
      </c>
      <c r="D138" s="364">
        <v>20</v>
      </c>
      <c r="E138" s="495"/>
      <c r="F138" s="495"/>
      <c r="G138" s="495"/>
      <c r="H138" s="495"/>
      <c r="I138" s="495"/>
      <c r="J138" s="495"/>
      <c r="K138" s="495"/>
      <c r="L138" s="495"/>
      <c r="M138" s="495"/>
      <c r="N138" s="495"/>
      <c r="O138" s="495"/>
      <c r="P138" s="495">
        <v>97.3</v>
      </c>
      <c r="Q138" s="374">
        <f t="shared" si="5"/>
        <v>97.3</v>
      </c>
      <c r="R138" s="375" t="str">
        <f t="shared" si="6"/>
        <v>NO</v>
      </c>
      <c r="S138" s="376" t="str">
        <f t="shared" si="8"/>
        <v>Inviable Sanitariamente</v>
      </c>
    </row>
    <row r="139" spans="1:19" s="120" customFormat="1" ht="32.1" customHeight="1" x14ac:dyDescent="0.2">
      <c r="A139" s="361" t="s">
        <v>207</v>
      </c>
      <c r="B139" s="406" t="s">
        <v>4469</v>
      </c>
      <c r="C139" s="477" t="s">
        <v>4470</v>
      </c>
      <c r="D139" s="364">
        <v>300</v>
      </c>
      <c r="E139" s="495"/>
      <c r="F139" s="495"/>
      <c r="G139" s="495"/>
      <c r="H139" s="495"/>
      <c r="I139" s="495"/>
      <c r="J139" s="495"/>
      <c r="K139" s="495"/>
      <c r="L139" s="495"/>
      <c r="M139" s="495"/>
      <c r="N139" s="495"/>
      <c r="O139" s="495"/>
      <c r="P139" s="495">
        <v>97.3</v>
      </c>
      <c r="Q139" s="374">
        <f t="shared" si="5"/>
        <v>97.3</v>
      </c>
      <c r="R139" s="375" t="str">
        <f t="shared" si="6"/>
        <v>NO</v>
      </c>
      <c r="S139" s="376" t="str">
        <f t="shared" si="8"/>
        <v>Inviable Sanitariamente</v>
      </c>
    </row>
    <row r="140" spans="1:19" s="120" customFormat="1" ht="32.1" customHeight="1" x14ac:dyDescent="0.2">
      <c r="A140" s="361" t="s">
        <v>207</v>
      </c>
      <c r="B140" s="406" t="s">
        <v>674</v>
      </c>
      <c r="C140" s="477" t="s">
        <v>4471</v>
      </c>
      <c r="D140" s="364">
        <v>65</v>
      </c>
      <c r="E140" s="495"/>
      <c r="F140" s="495"/>
      <c r="G140" s="495"/>
      <c r="H140" s="495"/>
      <c r="I140" s="495"/>
      <c r="J140" s="495"/>
      <c r="K140" s="495"/>
      <c r="L140" s="495"/>
      <c r="M140" s="495"/>
      <c r="N140" s="495"/>
      <c r="O140" s="495"/>
      <c r="P140" s="495">
        <v>97.3</v>
      </c>
      <c r="Q140" s="374">
        <f t="shared" si="5"/>
        <v>97.3</v>
      </c>
      <c r="R140" s="375" t="str">
        <f t="shared" si="6"/>
        <v>NO</v>
      </c>
      <c r="S140" s="376" t="str">
        <f t="shared" si="8"/>
        <v>Inviable Sanitariamente</v>
      </c>
    </row>
    <row r="141" spans="1:19" s="120" customFormat="1" ht="32.1" customHeight="1" x14ac:dyDescent="0.2">
      <c r="A141" s="361" t="s">
        <v>207</v>
      </c>
      <c r="B141" s="406" t="s">
        <v>675</v>
      </c>
      <c r="C141" s="477" t="s">
        <v>4472</v>
      </c>
      <c r="D141" s="364">
        <v>40</v>
      </c>
      <c r="E141" s="495"/>
      <c r="F141" s="495"/>
      <c r="G141" s="495"/>
      <c r="H141" s="495"/>
      <c r="I141" s="495"/>
      <c r="J141" s="495"/>
      <c r="K141" s="495"/>
      <c r="L141" s="495"/>
      <c r="M141" s="495"/>
      <c r="N141" s="495"/>
      <c r="O141" s="495"/>
      <c r="P141" s="495">
        <v>97.3</v>
      </c>
      <c r="Q141" s="374">
        <f t="shared" si="5"/>
        <v>97.3</v>
      </c>
      <c r="R141" s="375" t="str">
        <f t="shared" si="6"/>
        <v>NO</v>
      </c>
      <c r="S141" s="376" t="str">
        <f t="shared" si="8"/>
        <v>Inviable Sanitariamente</v>
      </c>
    </row>
    <row r="142" spans="1:19" s="120" customFormat="1" ht="32.1" customHeight="1" x14ac:dyDescent="0.2">
      <c r="A142" s="361" t="s">
        <v>207</v>
      </c>
      <c r="B142" s="406" t="s">
        <v>676</v>
      </c>
      <c r="C142" s="477" t="s">
        <v>677</v>
      </c>
      <c r="D142" s="364">
        <v>105</v>
      </c>
      <c r="E142" s="495"/>
      <c r="F142" s="495"/>
      <c r="G142" s="495"/>
      <c r="H142" s="495"/>
      <c r="I142" s="495"/>
      <c r="J142" s="495"/>
      <c r="K142" s="495"/>
      <c r="L142" s="495"/>
      <c r="M142" s="495"/>
      <c r="N142" s="495"/>
      <c r="O142" s="495"/>
      <c r="P142" s="495">
        <v>97.3</v>
      </c>
      <c r="Q142" s="374">
        <f t="shared" si="5"/>
        <v>97.3</v>
      </c>
      <c r="R142" s="375" t="str">
        <f t="shared" si="6"/>
        <v>NO</v>
      </c>
      <c r="S142" s="376" t="str">
        <f t="shared" si="8"/>
        <v>Inviable Sanitariamente</v>
      </c>
    </row>
    <row r="143" spans="1:19" s="120" customFormat="1" ht="32.1" customHeight="1" x14ac:dyDescent="0.2">
      <c r="A143" s="361" t="s">
        <v>207</v>
      </c>
      <c r="B143" s="406" t="s">
        <v>678</v>
      </c>
      <c r="C143" s="477" t="s">
        <v>679</v>
      </c>
      <c r="D143" s="364">
        <v>87</v>
      </c>
      <c r="E143" s="495"/>
      <c r="F143" s="495"/>
      <c r="G143" s="495"/>
      <c r="H143" s="495"/>
      <c r="I143" s="495"/>
      <c r="J143" s="495"/>
      <c r="K143" s="495"/>
      <c r="L143" s="495"/>
      <c r="M143" s="495"/>
      <c r="N143" s="495"/>
      <c r="O143" s="495"/>
      <c r="P143" s="495">
        <v>97.3</v>
      </c>
      <c r="Q143" s="374">
        <f t="shared" si="5"/>
        <v>97.3</v>
      </c>
      <c r="R143" s="375" t="str">
        <f t="shared" si="6"/>
        <v>NO</v>
      </c>
      <c r="S143" s="376" t="str">
        <f t="shared" si="8"/>
        <v>Inviable Sanitariamente</v>
      </c>
    </row>
    <row r="144" spans="1:19" s="120" customFormat="1" ht="32.1" customHeight="1" x14ac:dyDescent="0.2">
      <c r="A144" s="361" t="s">
        <v>207</v>
      </c>
      <c r="B144" s="406" t="s">
        <v>680</v>
      </c>
      <c r="C144" s="477" t="s">
        <v>4473</v>
      </c>
      <c r="D144" s="364">
        <v>42</v>
      </c>
      <c r="E144" s="495"/>
      <c r="F144" s="495"/>
      <c r="G144" s="496"/>
      <c r="H144" s="495"/>
      <c r="I144" s="495"/>
      <c r="J144" s="495"/>
      <c r="K144" s="495"/>
      <c r="L144" s="495"/>
      <c r="M144" s="495"/>
      <c r="N144" s="495"/>
      <c r="O144" s="495"/>
      <c r="P144" s="495">
        <v>97.3</v>
      </c>
      <c r="Q144" s="374">
        <f>AVERAGE(E144:P144)</f>
        <v>97.3</v>
      </c>
      <c r="R144" s="375" t="str">
        <f>IF(Q144&lt;5,"SI","NO")</f>
        <v>NO</v>
      </c>
      <c r="S144" s="376" t="str">
        <f>IF(Q144&lt;5,"Sin Riesgo",IF(Q144 &lt;=14,"Bajo",IF(Q144&lt;=35,"Medio",IF(Q144&lt;=80,"Alto","Inviable Sanitariamente"))))</f>
        <v>Inviable Sanitariamente</v>
      </c>
    </row>
    <row r="145" spans="1:19" s="120" customFormat="1" ht="32.1" customHeight="1" x14ac:dyDescent="0.2">
      <c r="A145" s="361" t="s">
        <v>207</v>
      </c>
      <c r="B145" s="406" t="s">
        <v>681</v>
      </c>
      <c r="C145" s="477" t="s">
        <v>682</v>
      </c>
      <c r="D145" s="364">
        <v>125</v>
      </c>
      <c r="E145" s="495"/>
      <c r="F145" s="495"/>
      <c r="G145" s="496"/>
      <c r="H145" s="495"/>
      <c r="I145" s="495"/>
      <c r="J145" s="495"/>
      <c r="K145" s="495"/>
      <c r="L145" s="495"/>
      <c r="M145" s="495"/>
      <c r="N145" s="495"/>
      <c r="O145" s="495"/>
      <c r="P145" s="495">
        <v>97.3</v>
      </c>
      <c r="Q145" s="374">
        <f>AVERAGE(E145:P145)</f>
        <v>97.3</v>
      </c>
      <c r="R145" s="375" t="str">
        <f>IF(Q145&lt;5,"SI","NO")</f>
        <v>NO</v>
      </c>
      <c r="S145" s="376" t="str">
        <f>IF(Q145&lt;5,"Sin Riesgo",IF(Q145 &lt;=14,"Bajo",IF(Q145&lt;=35,"Medio",IF(Q145&lt;=80,"Alto","Inviable Sanitariamente"))))</f>
        <v>Inviable Sanitariamente</v>
      </c>
    </row>
    <row r="146" spans="1:19" s="120" customFormat="1" ht="32.1" customHeight="1" x14ac:dyDescent="0.2">
      <c r="A146" s="361" t="s">
        <v>207</v>
      </c>
      <c r="B146" s="406" t="s">
        <v>3604</v>
      </c>
      <c r="C146" s="477" t="s">
        <v>4253</v>
      </c>
      <c r="D146" s="364">
        <v>18</v>
      </c>
      <c r="E146" s="495"/>
      <c r="F146" s="495"/>
      <c r="G146" s="496"/>
      <c r="H146" s="495"/>
      <c r="I146" s="495"/>
      <c r="J146" s="495"/>
      <c r="K146" s="495"/>
      <c r="L146" s="495"/>
      <c r="M146" s="495"/>
      <c r="N146" s="495"/>
      <c r="O146" s="495"/>
      <c r="P146" s="495">
        <v>0</v>
      </c>
      <c r="Q146" s="374">
        <f>AVERAGE(E146:P146)</f>
        <v>0</v>
      </c>
      <c r="R146" s="375" t="str">
        <f>IF(Q146&lt;5,"SI","NO")</f>
        <v>SI</v>
      </c>
      <c r="S146" s="376" t="str">
        <f>IF(Q146&lt;5,"Sin Riesgo",IF(Q146 &lt;=14,"Bajo",IF(Q146&lt;=35,"Medio",IF(Q146&lt;=80,"Alto","Inviable Sanitariamente"))))</f>
        <v>Sin Riesgo</v>
      </c>
    </row>
    <row r="147" spans="1:19" s="120" customFormat="1" ht="32.1" customHeight="1" x14ac:dyDescent="0.2">
      <c r="A147" s="361" t="s">
        <v>207</v>
      </c>
      <c r="B147" s="406" t="s">
        <v>1303</v>
      </c>
      <c r="C147" s="477" t="s">
        <v>4254</v>
      </c>
      <c r="D147" s="364">
        <v>52</v>
      </c>
      <c r="E147" s="495"/>
      <c r="F147" s="495"/>
      <c r="G147" s="496"/>
      <c r="H147" s="495"/>
      <c r="I147" s="495"/>
      <c r="J147" s="495"/>
      <c r="K147" s="495"/>
      <c r="L147" s="495"/>
      <c r="M147" s="495"/>
      <c r="N147" s="495"/>
      <c r="O147" s="495"/>
      <c r="P147" s="495">
        <v>0</v>
      </c>
      <c r="Q147" s="374">
        <f>AVERAGE(E147:P147)</f>
        <v>0</v>
      </c>
      <c r="R147" s="375" t="str">
        <f>IF(Q147&lt;5,"SI","NO")</f>
        <v>SI</v>
      </c>
      <c r="S147" s="376" t="str">
        <f>IF(Q147&lt;5,"Sin Riesgo",IF(Q147 &lt;=14,"Bajo",IF(Q147&lt;=35,"Medio",IF(Q147&lt;=80,"Alto","Inviable Sanitariamente"))))</f>
        <v>Sin Riesgo</v>
      </c>
    </row>
    <row r="148" spans="1:19" s="120" customFormat="1" ht="32.1" customHeight="1" x14ac:dyDescent="0.2">
      <c r="A148" s="361" t="s">
        <v>207</v>
      </c>
      <c r="B148" s="406" t="s">
        <v>995</v>
      </c>
      <c r="C148" s="477" t="s">
        <v>4255</v>
      </c>
      <c r="D148" s="364">
        <v>45</v>
      </c>
      <c r="E148" s="495"/>
      <c r="F148" s="495"/>
      <c r="G148" s="496"/>
      <c r="H148" s="495"/>
      <c r="I148" s="495"/>
      <c r="J148" s="495"/>
      <c r="K148" s="495"/>
      <c r="L148" s="495"/>
      <c r="M148" s="495"/>
      <c r="N148" s="495"/>
      <c r="O148" s="495"/>
      <c r="P148" s="495">
        <v>97.3</v>
      </c>
      <c r="Q148" s="374">
        <f>AVERAGE(E148:P148)</f>
        <v>97.3</v>
      </c>
      <c r="R148" s="375" t="str">
        <f>IF(Q148&lt;5,"SI","NO")</f>
        <v>NO</v>
      </c>
      <c r="S148" s="376" t="str">
        <f>IF(Q148&lt;5,"Sin Riesgo",IF(Q148 &lt;=14,"Bajo",IF(Q148&lt;=35,"Medio",IF(Q148&lt;=80,"Alto","Inviable Sanitariamente"))))</f>
        <v>Inviable Sanitariamente</v>
      </c>
    </row>
    <row r="149" spans="1:19" s="120" customFormat="1" ht="32.1" customHeight="1" x14ac:dyDescent="0.2">
      <c r="A149" s="361" t="s">
        <v>207</v>
      </c>
      <c r="B149" s="406" t="s">
        <v>60</v>
      </c>
      <c r="C149" s="477" t="s">
        <v>4256</v>
      </c>
      <c r="D149" s="364">
        <v>50</v>
      </c>
      <c r="E149" s="495"/>
      <c r="F149" s="495"/>
      <c r="G149" s="496"/>
      <c r="H149" s="495"/>
      <c r="I149" s="495"/>
      <c r="J149" s="495"/>
      <c r="K149" s="495"/>
      <c r="L149" s="495"/>
      <c r="M149" s="495"/>
      <c r="N149" s="495"/>
      <c r="O149" s="495"/>
      <c r="P149" s="495">
        <v>97.3</v>
      </c>
      <c r="Q149" s="374">
        <f t="shared" si="5"/>
        <v>97.3</v>
      </c>
      <c r="R149" s="375" t="str">
        <f t="shared" si="6"/>
        <v>NO</v>
      </c>
      <c r="S149" s="376" t="str">
        <f t="shared" si="8"/>
        <v>Inviable Sanitariamente</v>
      </c>
    </row>
    <row r="150" spans="1:19" s="120" customFormat="1" ht="32.1" customHeight="1" x14ac:dyDescent="0.2">
      <c r="A150" s="361" t="s">
        <v>208</v>
      </c>
      <c r="B150" s="445" t="s">
        <v>683</v>
      </c>
      <c r="C150" s="477" t="s">
        <v>684</v>
      </c>
      <c r="D150" s="364">
        <v>30</v>
      </c>
      <c r="E150" s="47"/>
      <c r="F150" s="47"/>
      <c r="G150" s="47"/>
      <c r="H150" s="47"/>
      <c r="I150" s="47"/>
      <c r="J150" s="47">
        <v>97.3</v>
      </c>
      <c r="K150" s="47"/>
      <c r="L150" s="47"/>
      <c r="M150" s="47"/>
      <c r="N150" s="47"/>
      <c r="O150" s="47"/>
      <c r="P150" s="47">
        <v>53.1</v>
      </c>
      <c r="Q150" s="374">
        <f>AVERAGE(E150:P150)</f>
        <v>75.2</v>
      </c>
      <c r="R150" s="375" t="str">
        <f t="shared" ref="R150:R214" si="9">IF(Q150&lt;5,"SI","NO")</f>
        <v>NO</v>
      </c>
      <c r="S150" s="376" t="str">
        <f t="shared" si="8"/>
        <v>Alto</v>
      </c>
    </row>
    <row r="151" spans="1:19" s="120" customFormat="1" ht="32.1" customHeight="1" x14ac:dyDescent="0.2">
      <c r="A151" s="361" t="s">
        <v>208</v>
      </c>
      <c r="B151" s="445" t="s">
        <v>685</v>
      </c>
      <c r="C151" s="477" t="s">
        <v>686</v>
      </c>
      <c r="D151" s="364">
        <v>180</v>
      </c>
      <c r="E151" s="47"/>
      <c r="F151" s="47"/>
      <c r="G151" s="47"/>
      <c r="H151" s="47"/>
      <c r="I151" s="47"/>
      <c r="J151" s="47"/>
      <c r="K151" s="47"/>
      <c r="L151" s="47"/>
      <c r="M151" s="47"/>
      <c r="N151" s="47"/>
      <c r="O151" s="47">
        <v>53.1</v>
      </c>
      <c r="P151" s="47"/>
      <c r="Q151" s="374">
        <f t="shared" ref="Q151:Q214" si="10">AVERAGE(E151:P151)</f>
        <v>53.1</v>
      </c>
      <c r="R151" s="375" t="str">
        <f t="shared" si="9"/>
        <v>NO</v>
      </c>
      <c r="S151" s="376" t="str">
        <f t="shared" si="8"/>
        <v>Alto</v>
      </c>
    </row>
    <row r="152" spans="1:19" s="120" customFormat="1" ht="32.1" customHeight="1" x14ac:dyDescent="0.2">
      <c r="A152" s="361" t="s">
        <v>208</v>
      </c>
      <c r="B152" s="445" t="s">
        <v>687</v>
      </c>
      <c r="C152" s="477" t="s">
        <v>688</v>
      </c>
      <c r="D152" s="364">
        <v>151</v>
      </c>
      <c r="E152" s="47"/>
      <c r="F152" s="47"/>
      <c r="G152" s="47">
        <v>97.3</v>
      </c>
      <c r="H152" s="47"/>
      <c r="I152" s="47"/>
      <c r="J152" s="47"/>
      <c r="K152" s="47"/>
      <c r="L152" s="47"/>
      <c r="M152" s="47"/>
      <c r="N152" s="47"/>
      <c r="O152" s="47">
        <v>53.1</v>
      </c>
      <c r="P152" s="47"/>
      <c r="Q152" s="374">
        <f t="shared" si="10"/>
        <v>75.2</v>
      </c>
      <c r="R152" s="375" t="str">
        <f t="shared" si="9"/>
        <v>NO</v>
      </c>
      <c r="S152" s="376" t="str">
        <f t="shared" si="8"/>
        <v>Alto</v>
      </c>
    </row>
    <row r="153" spans="1:19" s="120" customFormat="1" ht="32.1" customHeight="1" x14ac:dyDescent="0.2">
      <c r="A153" s="361" t="s">
        <v>208</v>
      </c>
      <c r="B153" s="445" t="s">
        <v>689</v>
      </c>
      <c r="C153" s="477" t="s">
        <v>690</v>
      </c>
      <c r="D153" s="364">
        <v>13</v>
      </c>
      <c r="E153" s="47"/>
      <c r="F153" s="47"/>
      <c r="G153" s="47"/>
      <c r="H153" s="47"/>
      <c r="I153" s="47"/>
      <c r="J153" s="47">
        <v>97.3</v>
      </c>
      <c r="K153" s="47"/>
      <c r="L153" s="47"/>
      <c r="M153" s="47"/>
      <c r="N153" s="47"/>
      <c r="O153" s="47">
        <v>53.1</v>
      </c>
      <c r="P153" s="47"/>
      <c r="Q153" s="374">
        <f t="shared" si="10"/>
        <v>75.2</v>
      </c>
      <c r="R153" s="375" t="str">
        <f t="shared" si="9"/>
        <v>NO</v>
      </c>
      <c r="S153" s="376" t="str">
        <f t="shared" si="8"/>
        <v>Alto</v>
      </c>
    </row>
    <row r="154" spans="1:19" s="120" customFormat="1" ht="32.1" customHeight="1" x14ac:dyDescent="0.2">
      <c r="A154" s="361" t="s">
        <v>210</v>
      </c>
      <c r="B154" s="406" t="s">
        <v>691</v>
      </c>
      <c r="C154" s="477" t="s">
        <v>692</v>
      </c>
      <c r="D154" s="364">
        <v>140</v>
      </c>
      <c r="E154" s="47"/>
      <c r="F154" s="47"/>
      <c r="G154" s="47"/>
      <c r="H154" s="47"/>
      <c r="I154" s="47"/>
      <c r="J154" s="47">
        <v>56.5</v>
      </c>
      <c r="K154" s="47"/>
      <c r="L154" s="47"/>
      <c r="M154" s="47"/>
      <c r="N154" s="47"/>
      <c r="O154" s="47"/>
      <c r="P154" s="47"/>
      <c r="Q154" s="374">
        <f t="shared" si="10"/>
        <v>56.5</v>
      </c>
      <c r="R154" s="375" t="str">
        <f t="shared" si="9"/>
        <v>NO</v>
      </c>
      <c r="S154" s="376" t="str">
        <f t="shared" si="8"/>
        <v>Alto</v>
      </c>
    </row>
    <row r="155" spans="1:19" s="120" customFormat="1" ht="32.1" customHeight="1" x14ac:dyDescent="0.2">
      <c r="A155" s="361" t="s">
        <v>210</v>
      </c>
      <c r="B155" s="406" t="s">
        <v>693</v>
      </c>
      <c r="C155" s="477" t="s">
        <v>694</v>
      </c>
      <c r="D155" s="364">
        <v>90</v>
      </c>
      <c r="E155" s="47">
        <v>0</v>
      </c>
      <c r="F155" s="47"/>
      <c r="G155" s="47"/>
      <c r="H155" s="47"/>
      <c r="I155" s="47"/>
      <c r="J155" s="47"/>
      <c r="K155" s="47"/>
      <c r="L155" s="47"/>
      <c r="M155" s="47"/>
      <c r="N155" s="47"/>
      <c r="O155" s="47"/>
      <c r="P155" s="47"/>
      <c r="Q155" s="374">
        <f t="shared" si="10"/>
        <v>0</v>
      </c>
      <c r="R155" s="375" t="str">
        <f t="shared" si="9"/>
        <v>SI</v>
      </c>
      <c r="S155" s="376" t="str">
        <f t="shared" si="8"/>
        <v>Sin Riesgo</v>
      </c>
    </row>
    <row r="156" spans="1:19" s="120" customFormat="1" ht="32.1" customHeight="1" x14ac:dyDescent="0.2">
      <c r="A156" s="361" t="s">
        <v>210</v>
      </c>
      <c r="B156" s="406" t="s">
        <v>695</v>
      </c>
      <c r="C156" s="477" t="s">
        <v>696</v>
      </c>
      <c r="D156" s="364">
        <v>60</v>
      </c>
      <c r="E156" s="47">
        <v>0</v>
      </c>
      <c r="F156" s="47"/>
      <c r="G156" s="47"/>
      <c r="H156" s="47"/>
      <c r="I156" s="47"/>
      <c r="J156" s="47"/>
      <c r="K156" s="47"/>
      <c r="L156" s="47"/>
      <c r="M156" s="47"/>
      <c r="N156" s="47"/>
      <c r="O156" s="47"/>
      <c r="P156" s="47"/>
      <c r="Q156" s="374">
        <f t="shared" si="10"/>
        <v>0</v>
      </c>
      <c r="R156" s="375" t="str">
        <f t="shared" si="9"/>
        <v>SI</v>
      </c>
      <c r="S156" s="376" t="str">
        <f t="shared" si="8"/>
        <v>Sin Riesgo</v>
      </c>
    </row>
    <row r="157" spans="1:19" s="120" customFormat="1" ht="32.1" customHeight="1" x14ac:dyDescent="0.2">
      <c r="A157" s="361" t="s">
        <v>210</v>
      </c>
      <c r="B157" s="406" t="s">
        <v>697</v>
      </c>
      <c r="C157" s="477" t="s">
        <v>698</v>
      </c>
      <c r="D157" s="364">
        <v>235</v>
      </c>
      <c r="E157" s="47"/>
      <c r="F157" s="47">
        <v>26.3</v>
      </c>
      <c r="G157" s="47"/>
      <c r="H157" s="47"/>
      <c r="I157" s="47"/>
      <c r="J157" s="47"/>
      <c r="K157" s="47"/>
      <c r="L157" s="47"/>
      <c r="M157" s="47"/>
      <c r="N157" s="47"/>
      <c r="O157" s="47"/>
      <c r="P157" s="47"/>
      <c r="Q157" s="374">
        <f t="shared" si="10"/>
        <v>26.3</v>
      </c>
      <c r="R157" s="375" t="str">
        <f t="shared" si="9"/>
        <v>NO</v>
      </c>
      <c r="S157" s="376" t="str">
        <f t="shared" si="8"/>
        <v>Medio</v>
      </c>
    </row>
    <row r="158" spans="1:19" s="120" customFormat="1" ht="32.1" customHeight="1" x14ac:dyDescent="0.2">
      <c r="A158" s="361" t="s">
        <v>210</v>
      </c>
      <c r="B158" s="406" t="s">
        <v>699</v>
      </c>
      <c r="C158" s="477" t="s">
        <v>700</v>
      </c>
      <c r="D158" s="364">
        <v>385</v>
      </c>
      <c r="E158" s="47">
        <v>0</v>
      </c>
      <c r="F158" s="47">
        <v>0</v>
      </c>
      <c r="G158" s="47"/>
      <c r="H158" s="47"/>
      <c r="I158" s="47"/>
      <c r="J158" s="47">
        <v>0</v>
      </c>
      <c r="K158" s="47"/>
      <c r="L158" s="47">
        <v>0</v>
      </c>
      <c r="M158" s="47"/>
      <c r="N158" s="47"/>
      <c r="O158" s="47"/>
      <c r="P158" s="47"/>
      <c r="Q158" s="374">
        <f t="shared" si="10"/>
        <v>0</v>
      </c>
      <c r="R158" s="375" t="str">
        <f t="shared" si="9"/>
        <v>SI</v>
      </c>
      <c r="S158" s="376" t="str">
        <f t="shared" si="8"/>
        <v>Sin Riesgo</v>
      </c>
    </row>
    <row r="159" spans="1:19" s="120" customFormat="1" ht="32.1" customHeight="1" x14ac:dyDescent="0.2">
      <c r="A159" s="361" t="s">
        <v>210</v>
      </c>
      <c r="B159" s="406" t="s">
        <v>701</v>
      </c>
      <c r="C159" s="477" t="s">
        <v>702</v>
      </c>
      <c r="D159" s="364">
        <v>140</v>
      </c>
      <c r="E159" s="47"/>
      <c r="F159" s="47"/>
      <c r="G159" s="47"/>
      <c r="H159" s="47"/>
      <c r="I159" s="47"/>
      <c r="J159" s="47"/>
      <c r="K159" s="47">
        <v>100</v>
      </c>
      <c r="L159" s="47"/>
      <c r="M159" s="47"/>
      <c r="N159" s="47"/>
      <c r="O159" s="47"/>
      <c r="P159" s="47"/>
      <c r="Q159" s="374">
        <f t="shared" si="10"/>
        <v>100</v>
      </c>
      <c r="R159" s="375" t="str">
        <f t="shared" si="9"/>
        <v>NO</v>
      </c>
      <c r="S159" s="376" t="str">
        <f t="shared" si="8"/>
        <v>Inviable Sanitariamente</v>
      </c>
    </row>
    <row r="160" spans="1:19" s="120" customFormat="1" ht="32.1" customHeight="1" x14ac:dyDescent="0.2">
      <c r="A160" s="361" t="s">
        <v>210</v>
      </c>
      <c r="B160" s="406" t="s">
        <v>703</v>
      </c>
      <c r="C160" s="477" t="s">
        <v>704</v>
      </c>
      <c r="D160" s="364">
        <v>170</v>
      </c>
      <c r="E160" s="47"/>
      <c r="F160" s="47"/>
      <c r="G160" s="47"/>
      <c r="H160" s="47"/>
      <c r="I160" s="47"/>
      <c r="J160" s="47">
        <v>26.55</v>
      </c>
      <c r="K160" s="47"/>
      <c r="L160" s="47"/>
      <c r="M160" s="47"/>
      <c r="N160" s="47">
        <v>0</v>
      </c>
      <c r="O160" s="47"/>
      <c r="P160" s="47"/>
      <c r="Q160" s="374">
        <f t="shared" si="10"/>
        <v>13.275</v>
      </c>
      <c r="R160" s="375" t="str">
        <f t="shared" si="9"/>
        <v>NO</v>
      </c>
      <c r="S160" s="376" t="str">
        <f t="shared" si="8"/>
        <v>Bajo</v>
      </c>
    </row>
    <row r="161" spans="1:20" s="120" customFormat="1" ht="32.1" customHeight="1" x14ac:dyDescent="0.2">
      <c r="A161" s="361" t="s">
        <v>210</v>
      </c>
      <c r="B161" s="406" t="s">
        <v>705</v>
      </c>
      <c r="C161" s="477" t="s">
        <v>706</v>
      </c>
      <c r="D161" s="364">
        <v>580</v>
      </c>
      <c r="E161" s="47">
        <v>0</v>
      </c>
      <c r="F161" s="47">
        <v>0</v>
      </c>
      <c r="G161" s="47"/>
      <c r="H161" s="47"/>
      <c r="I161" s="47">
        <v>0</v>
      </c>
      <c r="J161" s="47"/>
      <c r="K161" s="47">
        <v>0</v>
      </c>
      <c r="L161" s="47"/>
      <c r="M161" s="47"/>
      <c r="N161" s="47"/>
      <c r="O161" s="47"/>
      <c r="P161" s="47"/>
      <c r="Q161" s="374">
        <f t="shared" si="10"/>
        <v>0</v>
      </c>
      <c r="R161" s="375" t="str">
        <f t="shared" si="9"/>
        <v>SI</v>
      </c>
      <c r="S161" s="376" t="str">
        <f t="shared" si="8"/>
        <v>Sin Riesgo</v>
      </c>
    </row>
    <row r="162" spans="1:20" s="120" customFormat="1" ht="32.1" customHeight="1" x14ac:dyDescent="0.2">
      <c r="A162" s="361" t="s">
        <v>210</v>
      </c>
      <c r="B162" s="406" t="s">
        <v>707</v>
      </c>
      <c r="C162" s="477" t="s">
        <v>708</v>
      </c>
      <c r="D162" s="364">
        <v>182</v>
      </c>
      <c r="E162" s="47"/>
      <c r="F162" s="47">
        <v>0</v>
      </c>
      <c r="G162" s="47"/>
      <c r="H162" s="47"/>
      <c r="I162" s="47">
        <v>0</v>
      </c>
      <c r="J162" s="47"/>
      <c r="K162" s="47">
        <v>0</v>
      </c>
      <c r="L162" s="47"/>
      <c r="M162" s="47"/>
      <c r="N162" s="47"/>
      <c r="O162" s="47"/>
      <c r="P162" s="47"/>
      <c r="Q162" s="374">
        <f t="shared" si="10"/>
        <v>0</v>
      </c>
      <c r="R162" s="375" t="str">
        <f t="shared" si="9"/>
        <v>SI</v>
      </c>
      <c r="S162" s="376" t="str">
        <f t="shared" si="8"/>
        <v>Sin Riesgo</v>
      </c>
    </row>
    <row r="163" spans="1:20" s="120" customFormat="1" ht="32.1" customHeight="1" x14ac:dyDescent="0.2">
      <c r="A163" s="361" t="s">
        <v>210</v>
      </c>
      <c r="B163" s="406" t="s">
        <v>709</v>
      </c>
      <c r="C163" s="477" t="s">
        <v>710</v>
      </c>
      <c r="D163" s="364">
        <v>48</v>
      </c>
      <c r="E163" s="47">
        <v>0</v>
      </c>
      <c r="F163" s="47">
        <v>0</v>
      </c>
      <c r="G163" s="47"/>
      <c r="H163" s="47"/>
      <c r="I163" s="47">
        <v>53.1</v>
      </c>
      <c r="J163" s="47"/>
      <c r="K163" s="47">
        <v>70.8</v>
      </c>
      <c r="L163" s="47"/>
      <c r="M163" s="47"/>
      <c r="N163" s="47"/>
      <c r="O163" s="47"/>
      <c r="P163" s="47"/>
      <c r="Q163" s="374">
        <f t="shared" si="10"/>
        <v>30.975000000000001</v>
      </c>
      <c r="R163" s="375" t="str">
        <f t="shared" si="9"/>
        <v>NO</v>
      </c>
      <c r="S163" s="376" t="str">
        <f t="shared" si="8"/>
        <v>Medio</v>
      </c>
    </row>
    <row r="164" spans="1:20" s="120" customFormat="1" ht="32.1" customHeight="1" x14ac:dyDescent="0.2">
      <c r="A164" s="361" t="s">
        <v>210</v>
      </c>
      <c r="B164" s="406" t="s">
        <v>711</v>
      </c>
      <c r="C164" s="477" t="s">
        <v>712</v>
      </c>
      <c r="D164" s="364">
        <v>180</v>
      </c>
      <c r="E164" s="47">
        <v>0</v>
      </c>
      <c r="F164" s="47">
        <v>0</v>
      </c>
      <c r="G164" s="47"/>
      <c r="H164" s="47"/>
      <c r="I164" s="47">
        <v>0</v>
      </c>
      <c r="J164" s="47"/>
      <c r="K164" s="47">
        <v>0</v>
      </c>
      <c r="L164" s="47"/>
      <c r="M164" s="47"/>
      <c r="N164" s="47"/>
      <c r="O164" s="47"/>
      <c r="P164" s="47"/>
      <c r="Q164" s="374">
        <f t="shared" si="10"/>
        <v>0</v>
      </c>
      <c r="R164" s="375" t="str">
        <f t="shared" si="9"/>
        <v>SI</v>
      </c>
      <c r="S164" s="376" t="str">
        <f t="shared" si="8"/>
        <v>Sin Riesgo</v>
      </c>
    </row>
    <row r="165" spans="1:20" s="120" customFormat="1" ht="32.1" customHeight="1" x14ac:dyDescent="0.2">
      <c r="A165" s="361" t="s">
        <v>210</v>
      </c>
      <c r="B165" s="406" t="s">
        <v>713</v>
      </c>
      <c r="C165" s="477" t="s">
        <v>714</v>
      </c>
      <c r="D165" s="364">
        <v>385</v>
      </c>
      <c r="E165" s="47">
        <v>0</v>
      </c>
      <c r="F165" s="47">
        <v>0</v>
      </c>
      <c r="G165" s="47"/>
      <c r="H165" s="47"/>
      <c r="I165" s="47"/>
      <c r="J165" s="47">
        <v>0</v>
      </c>
      <c r="K165" s="47"/>
      <c r="L165" s="47">
        <v>0</v>
      </c>
      <c r="M165" s="47"/>
      <c r="N165" s="47"/>
      <c r="O165" s="47"/>
      <c r="P165" s="47"/>
      <c r="Q165" s="374">
        <f t="shared" si="10"/>
        <v>0</v>
      </c>
      <c r="R165" s="375" t="str">
        <f t="shared" si="9"/>
        <v>SI</v>
      </c>
      <c r="S165" s="376" t="str">
        <f t="shared" si="8"/>
        <v>Sin Riesgo</v>
      </c>
    </row>
    <row r="166" spans="1:20" s="120" customFormat="1" ht="32.1" customHeight="1" x14ac:dyDescent="0.2">
      <c r="A166" s="361" t="s">
        <v>210</v>
      </c>
      <c r="B166" s="406" t="s">
        <v>715</v>
      </c>
      <c r="C166" s="477" t="s">
        <v>716</v>
      </c>
      <c r="D166" s="364">
        <v>1350</v>
      </c>
      <c r="E166" s="47"/>
      <c r="F166" s="47"/>
      <c r="G166" s="47"/>
      <c r="H166" s="47"/>
      <c r="I166" s="47"/>
      <c r="J166" s="47">
        <v>26.55</v>
      </c>
      <c r="K166" s="47"/>
      <c r="L166" s="47"/>
      <c r="M166" s="47"/>
      <c r="N166" s="47"/>
      <c r="O166" s="47"/>
      <c r="P166" s="47"/>
      <c r="Q166" s="374">
        <f t="shared" si="10"/>
        <v>26.55</v>
      </c>
      <c r="R166" s="375" t="str">
        <f t="shared" si="9"/>
        <v>NO</v>
      </c>
      <c r="S166" s="376" t="str">
        <f t="shared" si="8"/>
        <v>Medio</v>
      </c>
    </row>
    <row r="167" spans="1:20" s="120" customFormat="1" ht="32.1" customHeight="1" x14ac:dyDescent="0.2">
      <c r="A167" s="361" t="s">
        <v>210</v>
      </c>
      <c r="B167" s="406" t="s">
        <v>717</v>
      </c>
      <c r="C167" s="477" t="s">
        <v>718</v>
      </c>
      <c r="D167" s="364">
        <v>509</v>
      </c>
      <c r="E167" s="47">
        <v>0</v>
      </c>
      <c r="F167" s="47"/>
      <c r="G167" s="47">
        <v>0</v>
      </c>
      <c r="H167" s="47"/>
      <c r="I167" s="47">
        <v>0</v>
      </c>
      <c r="J167" s="47"/>
      <c r="K167" s="47"/>
      <c r="L167" s="47"/>
      <c r="M167" s="47"/>
      <c r="N167" s="47"/>
      <c r="O167" s="47"/>
      <c r="P167" s="47"/>
      <c r="Q167" s="374">
        <f t="shared" si="10"/>
        <v>0</v>
      </c>
      <c r="R167" s="375" t="str">
        <f t="shared" si="9"/>
        <v>SI</v>
      </c>
      <c r="S167" s="376" t="str">
        <f t="shared" si="8"/>
        <v>Sin Riesgo</v>
      </c>
      <c r="T167" s="121"/>
    </row>
    <row r="168" spans="1:20" s="120" customFormat="1" ht="32.1" customHeight="1" x14ac:dyDescent="0.2">
      <c r="A168" s="361" t="s">
        <v>210</v>
      </c>
      <c r="B168" s="406" t="s">
        <v>719</v>
      </c>
      <c r="C168" s="477" t="s">
        <v>720</v>
      </c>
      <c r="D168" s="364">
        <v>186</v>
      </c>
      <c r="E168" s="47">
        <v>0</v>
      </c>
      <c r="F168" s="47"/>
      <c r="G168" s="47"/>
      <c r="H168" s="47"/>
      <c r="I168" s="47"/>
      <c r="J168" s="47"/>
      <c r="K168" s="47"/>
      <c r="L168" s="47"/>
      <c r="M168" s="47"/>
      <c r="N168" s="47"/>
      <c r="O168" s="47"/>
      <c r="P168" s="47"/>
      <c r="Q168" s="374">
        <f t="shared" si="10"/>
        <v>0</v>
      </c>
      <c r="R168" s="375" t="str">
        <f t="shared" si="9"/>
        <v>SI</v>
      </c>
      <c r="S168" s="376" t="str">
        <f t="shared" ref="S168:S199" si="11">IF(Q168&lt;5,"Sin Riesgo",IF(Q168 &lt;=14,"Bajo",IF(Q168&lt;=35,"Medio",IF(Q168&lt;=80,"Alto","Inviable Sanitariamente"))))</f>
        <v>Sin Riesgo</v>
      </c>
      <c r="T168" s="121"/>
    </row>
    <row r="169" spans="1:20" s="120" customFormat="1" ht="32.1" customHeight="1" x14ac:dyDescent="0.2">
      <c r="A169" s="361" t="s">
        <v>210</v>
      </c>
      <c r="B169" s="406" t="s">
        <v>721</v>
      </c>
      <c r="C169" s="477" t="s">
        <v>722</v>
      </c>
      <c r="D169" s="364">
        <v>467</v>
      </c>
      <c r="E169" s="47"/>
      <c r="F169" s="47"/>
      <c r="G169" s="47"/>
      <c r="H169" s="47"/>
      <c r="I169" s="47"/>
      <c r="J169" s="47"/>
      <c r="K169" s="47">
        <v>0</v>
      </c>
      <c r="L169" s="47"/>
      <c r="M169" s="47"/>
      <c r="N169" s="47"/>
      <c r="O169" s="47"/>
      <c r="P169" s="47"/>
      <c r="Q169" s="374">
        <f t="shared" si="10"/>
        <v>0</v>
      </c>
      <c r="R169" s="375" t="str">
        <f t="shared" si="9"/>
        <v>SI</v>
      </c>
      <c r="S169" s="376" t="str">
        <f t="shared" si="11"/>
        <v>Sin Riesgo</v>
      </c>
      <c r="T169" s="121"/>
    </row>
    <row r="170" spans="1:20" s="120" customFormat="1" ht="32.1" customHeight="1" x14ac:dyDescent="0.2">
      <c r="A170" s="361" t="s">
        <v>210</v>
      </c>
      <c r="B170" s="406" t="s">
        <v>723</v>
      </c>
      <c r="C170" s="477" t="s">
        <v>724</v>
      </c>
      <c r="D170" s="364">
        <v>150</v>
      </c>
      <c r="E170" s="47"/>
      <c r="F170" s="47">
        <v>0</v>
      </c>
      <c r="G170" s="47"/>
      <c r="H170" s="47"/>
      <c r="I170" s="47"/>
      <c r="J170" s="47">
        <v>20.98</v>
      </c>
      <c r="K170" s="47"/>
      <c r="L170" s="47"/>
      <c r="M170" s="47"/>
      <c r="N170" s="47"/>
      <c r="O170" s="47"/>
      <c r="P170" s="47"/>
      <c r="Q170" s="374">
        <f t="shared" si="10"/>
        <v>10.49</v>
      </c>
      <c r="R170" s="375" t="str">
        <f t="shared" si="9"/>
        <v>NO</v>
      </c>
      <c r="S170" s="376" t="str">
        <f t="shared" si="11"/>
        <v>Bajo</v>
      </c>
      <c r="T170" s="121"/>
    </row>
    <row r="171" spans="1:20" s="120" customFormat="1" ht="32.1" customHeight="1" x14ac:dyDescent="0.2">
      <c r="A171" s="361" t="s">
        <v>210</v>
      </c>
      <c r="B171" s="406" t="s">
        <v>725</v>
      </c>
      <c r="C171" s="477" t="s">
        <v>726</v>
      </c>
      <c r="D171" s="364">
        <v>232</v>
      </c>
      <c r="E171" s="47">
        <v>0</v>
      </c>
      <c r="F171" s="47"/>
      <c r="G171" s="494">
        <v>0</v>
      </c>
      <c r="H171" s="47"/>
      <c r="I171" s="47">
        <v>0</v>
      </c>
      <c r="J171" s="47"/>
      <c r="K171" s="47"/>
      <c r="L171" s="47"/>
      <c r="M171" s="47"/>
      <c r="N171" s="47"/>
      <c r="O171" s="47"/>
      <c r="P171" s="47"/>
      <c r="Q171" s="374">
        <f t="shared" si="10"/>
        <v>0</v>
      </c>
      <c r="R171" s="375" t="str">
        <f t="shared" si="9"/>
        <v>SI</v>
      </c>
      <c r="S171" s="376" t="str">
        <f t="shared" si="11"/>
        <v>Sin Riesgo</v>
      </c>
      <c r="T171" s="121"/>
    </row>
    <row r="172" spans="1:20" s="120" customFormat="1" ht="32.1" customHeight="1" x14ac:dyDescent="0.2">
      <c r="A172" s="361" t="s">
        <v>210</v>
      </c>
      <c r="B172" s="406" t="s">
        <v>727</v>
      </c>
      <c r="C172" s="477" t="s">
        <v>728</v>
      </c>
      <c r="D172" s="364">
        <v>590</v>
      </c>
      <c r="E172" s="47"/>
      <c r="F172" s="47">
        <v>97.35</v>
      </c>
      <c r="G172" s="47"/>
      <c r="H172" s="47"/>
      <c r="I172" s="47"/>
      <c r="J172" s="47">
        <v>0</v>
      </c>
      <c r="K172" s="47"/>
      <c r="L172" s="47"/>
      <c r="M172" s="47"/>
      <c r="N172" s="47"/>
      <c r="O172" s="47"/>
      <c r="P172" s="47"/>
      <c r="Q172" s="374">
        <f t="shared" si="10"/>
        <v>48.674999999999997</v>
      </c>
      <c r="R172" s="375" t="str">
        <f t="shared" si="9"/>
        <v>NO</v>
      </c>
      <c r="S172" s="376" t="str">
        <f t="shared" si="11"/>
        <v>Alto</v>
      </c>
      <c r="T172" s="121"/>
    </row>
    <row r="173" spans="1:20" s="120" customFormat="1" ht="32.1" customHeight="1" x14ac:dyDescent="0.2">
      <c r="A173" s="361" t="s">
        <v>210</v>
      </c>
      <c r="B173" s="406" t="s">
        <v>729</v>
      </c>
      <c r="C173" s="477" t="s">
        <v>730</v>
      </c>
      <c r="D173" s="364">
        <v>134</v>
      </c>
      <c r="E173" s="47"/>
      <c r="F173" s="47">
        <v>97.35</v>
      </c>
      <c r="G173" s="47"/>
      <c r="H173" s="47"/>
      <c r="I173" s="47"/>
      <c r="J173" s="47">
        <v>0</v>
      </c>
      <c r="K173" s="47"/>
      <c r="L173" s="47"/>
      <c r="M173" s="47"/>
      <c r="N173" s="47"/>
      <c r="O173" s="47"/>
      <c r="P173" s="47"/>
      <c r="Q173" s="374">
        <f t="shared" si="10"/>
        <v>48.674999999999997</v>
      </c>
      <c r="R173" s="375" t="str">
        <f t="shared" si="9"/>
        <v>NO</v>
      </c>
      <c r="S173" s="376" t="str">
        <f t="shared" si="11"/>
        <v>Alto</v>
      </c>
      <c r="T173" s="121"/>
    </row>
    <row r="174" spans="1:20" s="120" customFormat="1" ht="32.1" customHeight="1" x14ac:dyDescent="0.2">
      <c r="A174" s="361" t="s">
        <v>210</v>
      </c>
      <c r="B174" s="406" t="s">
        <v>731</v>
      </c>
      <c r="C174" s="477" t="s">
        <v>732</v>
      </c>
      <c r="D174" s="364">
        <v>420</v>
      </c>
      <c r="E174" s="47"/>
      <c r="F174" s="47">
        <v>97.35</v>
      </c>
      <c r="G174" s="47"/>
      <c r="H174" s="47"/>
      <c r="I174" s="47"/>
      <c r="J174" s="47">
        <v>0</v>
      </c>
      <c r="K174" s="47"/>
      <c r="L174" s="47"/>
      <c r="M174" s="47"/>
      <c r="N174" s="47"/>
      <c r="O174" s="47"/>
      <c r="P174" s="47"/>
      <c r="Q174" s="374">
        <f t="shared" si="10"/>
        <v>48.674999999999997</v>
      </c>
      <c r="R174" s="375" t="str">
        <f t="shared" si="9"/>
        <v>NO</v>
      </c>
      <c r="S174" s="376" t="str">
        <f t="shared" si="11"/>
        <v>Alto</v>
      </c>
      <c r="T174" s="121"/>
    </row>
    <row r="175" spans="1:20" s="120" customFormat="1" ht="32.1" customHeight="1" x14ac:dyDescent="0.2">
      <c r="A175" s="361" t="s">
        <v>210</v>
      </c>
      <c r="B175" s="406" t="s">
        <v>733</v>
      </c>
      <c r="C175" s="477" t="s">
        <v>734</v>
      </c>
      <c r="D175" s="364">
        <v>210</v>
      </c>
      <c r="E175" s="47">
        <v>0</v>
      </c>
      <c r="F175" s="47"/>
      <c r="G175" s="47"/>
      <c r="H175" s="47"/>
      <c r="I175" s="47"/>
      <c r="J175" s="47">
        <v>0</v>
      </c>
      <c r="K175" s="47"/>
      <c r="L175" s="47">
        <v>0</v>
      </c>
      <c r="M175" s="47"/>
      <c r="N175" s="47"/>
      <c r="O175" s="47"/>
      <c r="P175" s="47"/>
      <c r="Q175" s="374">
        <f t="shared" si="10"/>
        <v>0</v>
      </c>
      <c r="R175" s="375" t="str">
        <f t="shared" si="9"/>
        <v>SI</v>
      </c>
      <c r="S175" s="376" t="str">
        <f t="shared" si="11"/>
        <v>Sin Riesgo</v>
      </c>
      <c r="T175" s="121"/>
    </row>
    <row r="176" spans="1:20" s="120" customFormat="1" ht="32.1" customHeight="1" x14ac:dyDescent="0.2">
      <c r="A176" s="361" t="s">
        <v>210</v>
      </c>
      <c r="B176" s="406" t="s">
        <v>735</v>
      </c>
      <c r="C176" s="477" t="s">
        <v>736</v>
      </c>
      <c r="D176" s="364">
        <v>160</v>
      </c>
      <c r="E176" s="47">
        <v>0</v>
      </c>
      <c r="F176" s="47"/>
      <c r="G176" s="47"/>
      <c r="H176" s="47"/>
      <c r="I176" s="47"/>
      <c r="J176" s="47"/>
      <c r="K176" s="47">
        <v>0</v>
      </c>
      <c r="L176" s="47"/>
      <c r="M176" s="47"/>
      <c r="N176" s="47"/>
      <c r="O176" s="47"/>
      <c r="P176" s="47"/>
      <c r="Q176" s="374">
        <f t="shared" si="10"/>
        <v>0</v>
      </c>
      <c r="R176" s="375" t="str">
        <f t="shared" si="9"/>
        <v>SI</v>
      </c>
      <c r="S176" s="376" t="str">
        <f t="shared" si="11"/>
        <v>Sin Riesgo</v>
      </c>
      <c r="T176" s="121"/>
    </row>
    <row r="177" spans="1:20" s="120" customFormat="1" ht="32.1" customHeight="1" x14ac:dyDescent="0.2">
      <c r="A177" s="361" t="s">
        <v>210</v>
      </c>
      <c r="B177" s="406" t="s">
        <v>729</v>
      </c>
      <c r="C177" s="477" t="s">
        <v>737</v>
      </c>
      <c r="D177" s="364">
        <v>134</v>
      </c>
      <c r="E177" s="47"/>
      <c r="F177" s="47"/>
      <c r="G177" s="47"/>
      <c r="H177" s="47"/>
      <c r="I177" s="47"/>
      <c r="J177" s="47">
        <v>97.35</v>
      </c>
      <c r="K177" s="47"/>
      <c r="L177" s="47"/>
      <c r="M177" s="47"/>
      <c r="N177" s="47"/>
      <c r="O177" s="47"/>
      <c r="P177" s="47"/>
      <c r="Q177" s="374">
        <f t="shared" si="10"/>
        <v>97.35</v>
      </c>
      <c r="R177" s="375" t="str">
        <f t="shared" si="9"/>
        <v>NO</v>
      </c>
      <c r="S177" s="376" t="str">
        <f t="shared" si="11"/>
        <v>Inviable Sanitariamente</v>
      </c>
      <c r="T177" s="121"/>
    </row>
    <row r="178" spans="1:20" s="120" customFormat="1" ht="32.1" customHeight="1" x14ac:dyDescent="0.2">
      <c r="A178" s="361" t="s">
        <v>210</v>
      </c>
      <c r="B178" s="406" t="s">
        <v>731</v>
      </c>
      <c r="C178" s="477" t="s">
        <v>738</v>
      </c>
      <c r="D178" s="364">
        <v>420</v>
      </c>
      <c r="E178" s="47">
        <v>0</v>
      </c>
      <c r="F178" s="47"/>
      <c r="G178" s="47">
        <v>0</v>
      </c>
      <c r="H178" s="47"/>
      <c r="I178" s="47">
        <v>0</v>
      </c>
      <c r="J178" s="47"/>
      <c r="K178" s="47"/>
      <c r="L178" s="47"/>
      <c r="M178" s="47"/>
      <c r="N178" s="47"/>
      <c r="O178" s="47"/>
      <c r="P178" s="47"/>
      <c r="Q178" s="374">
        <f t="shared" si="10"/>
        <v>0</v>
      </c>
      <c r="R178" s="375" t="str">
        <f t="shared" si="9"/>
        <v>SI</v>
      </c>
      <c r="S178" s="376" t="str">
        <f t="shared" si="11"/>
        <v>Sin Riesgo</v>
      </c>
      <c r="T178" s="121"/>
    </row>
    <row r="179" spans="1:20" s="120" customFormat="1" ht="32.1" customHeight="1" x14ac:dyDescent="0.2">
      <c r="A179" s="361" t="s">
        <v>210</v>
      </c>
      <c r="B179" s="406" t="s">
        <v>739</v>
      </c>
      <c r="C179" s="477" t="s">
        <v>740</v>
      </c>
      <c r="D179" s="364">
        <v>85</v>
      </c>
      <c r="E179" s="47">
        <v>0</v>
      </c>
      <c r="F179" s="47"/>
      <c r="G179" s="47">
        <v>0</v>
      </c>
      <c r="H179" s="47"/>
      <c r="I179" s="47">
        <v>0</v>
      </c>
      <c r="J179" s="47"/>
      <c r="K179" s="47"/>
      <c r="L179" s="47"/>
      <c r="M179" s="47"/>
      <c r="N179" s="47"/>
      <c r="O179" s="47"/>
      <c r="P179" s="47"/>
      <c r="Q179" s="374">
        <f t="shared" si="10"/>
        <v>0</v>
      </c>
      <c r="R179" s="375" t="str">
        <f t="shared" si="9"/>
        <v>SI</v>
      </c>
      <c r="S179" s="376" t="str">
        <f t="shared" si="11"/>
        <v>Sin Riesgo</v>
      </c>
      <c r="T179" s="121"/>
    </row>
    <row r="180" spans="1:20" s="120" customFormat="1" ht="32.1" customHeight="1" x14ac:dyDescent="0.2">
      <c r="A180" s="361" t="s">
        <v>210</v>
      </c>
      <c r="B180" s="406" t="s">
        <v>717</v>
      </c>
      <c r="C180" s="477" t="s">
        <v>741</v>
      </c>
      <c r="D180" s="364">
        <v>12</v>
      </c>
      <c r="E180" s="47">
        <v>0</v>
      </c>
      <c r="F180" s="47"/>
      <c r="G180" s="47"/>
      <c r="H180" s="47"/>
      <c r="I180" s="47"/>
      <c r="J180" s="47"/>
      <c r="K180" s="47"/>
      <c r="L180" s="47"/>
      <c r="M180" s="47"/>
      <c r="N180" s="47"/>
      <c r="O180" s="47">
        <v>0</v>
      </c>
      <c r="P180" s="47"/>
      <c r="Q180" s="374">
        <f t="shared" si="10"/>
        <v>0</v>
      </c>
      <c r="R180" s="375" t="str">
        <f t="shared" si="9"/>
        <v>SI</v>
      </c>
      <c r="S180" s="376" t="str">
        <f t="shared" si="11"/>
        <v>Sin Riesgo</v>
      </c>
      <c r="T180" s="121"/>
    </row>
    <row r="181" spans="1:20" s="120" customFormat="1" ht="32.1" customHeight="1" x14ac:dyDescent="0.2">
      <c r="A181" s="361" t="s">
        <v>210</v>
      </c>
      <c r="B181" s="406" t="s">
        <v>707</v>
      </c>
      <c r="C181" s="477" t="s">
        <v>742</v>
      </c>
      <c r="D181" s="364"/>
      <c r="E181" s="47"/>
      <c r="F181" s="47"/>
      <c r="G181" s="47"/>
      <c r="H181" s="47"/>
      <c r="I181" s="47"/>
      <c r="J181" s="47"/>
      <c r="K181" s="47"/>
      <c r="L181" s="47"/>
      <c r="M181" s="47"/>
      <c r="N181" s="47"/>
      <c r="O181" s="47"/>
      <c r="P181" s="47"/>
      <c r="Q181" s="374" t="e">
        <f t="shared" si="10"/>
        <v>#DIV/0!</v>
      </c>
      <c r="R181" s="375" t="e">
        <f t="shared" si="9"/>
        <v>#DIV/0!</v>
      </c>
      <c r="S181" s="376" t="e">
        <f t="shared" si="11"/>
        <v>#DIV/0!</v>
      </c>
      <c r="T181" s="121"/>
    </row>
    <row r="182" spans="1:20" s="120" customFormat="1" ht="32.1" customHeight="1" x14ac:dyDescent="0.2">
      <c r="A182" s="361" t="s">
        <v>211</v>
      </c>
      <c r="B182" s="380" t="s">
        <v>902</v>
      </c>
      <c r="C182" s="472" t="s">
        <v>915</v>
      </c>
      <c r="D182" s="364">
        <v>95</v>
      </c>
      <c r="E182" s="47">
        <v>47.62</v>
      </c>
      <c r="F182" s="47"/>
      <c r="G182" s="494"/>
      <c r="H182" s="47">
        <v>76.92</v>
      </c>
      <c r="I182" s="47"/>
      <c r="J182" s="47">
        <v>41.96</v>
      </c>
      <c r="K182" s="47"/>
      <c r="L182" s="47"/>
      <c r="M182" s="47"/>
      <c r="N182" s="47"/>
      <c r="O182" s="47"/>
      <c r="P182" s="47"/>
      <c r="Q182" s="374">
        <f t="shared" si="10"/>
        <v>55.5</v>
      </c>
      <c r="R182" s="375" t="str">
        <f t="shared" si="9"/>
        <v>NO</v>
      </c>
      <c r="S182" s="376" t="str">
        <f t="shared" si="11"/>
        <v>Alto</v>
      </c>
      <c r="T182" s="121"/>
    </row>
    <row r="183" spans="1:20" s="120" customFormat="1" ht="32.1" customHeight="1" x14ac:dyDescent="0.2">
      <c r="A183" s="361" t="s">
        <v>211</v>
      </c>
      <c r="B183" s="479" t="s">
        <v>903</v>
      </c>
      <c r="C183" s="472" t="s">
        <v>916</v>
      </c>
      <c r="D183" s="449">
        <v>61</v>
      </c>
      <c r="E183" s="47">
        <v>47.62</v>
      </c>
      <c r="F183" s="47"/>
      <c r="G183" s="494"/>
      <c r="H183" s="47">
        <v>76.900000000000006</v>
      </c>
      <c r="I183" s="47"/>
      <c r="J183" s="47">
        <v>0</v>
      </c>
      <c r="K183" s="47"/>
      <c r="L183" s="47"/>
      <c r="M183" s="47"/>
      <c r="N183" s="47"/>
      <c r="O183" s="47"/>
      <c r="P183" s="47"/>
      <c r="Q183" s="374">
        <f t="shared" si="10"/>
        <v>41.506666666666668</v>
      </c>
      <c r="R183" s="375" t="str">
        <f t="shared" si="9"/>
        <v>NO</v>
      </c>
      <c r="S183" s="376" t="str">
        <f t="shared" si="11"/>
        <v>Alto</v>
      </c>
      <c r="T183" s="121"/>
    </row>
    <row r="184" spans="1:20" s="120" customFormat="1" ht="32.1" customHeight="1" x14ac:dyDescent="0.2">
      <c r="A184" s="361" t="s">
        <v>211</v>
      </c>
      <c r="B184" s="479" t="s">
        <v>745</v>
      </c>
      <c r="C184" s="472" t="s">
        <v>917</v>
      </c>
      <c r="D184" s="364">
        <v>56</v>
      </c>
      <c r="E184" s="47"/>
      <c r="F184" s="47"/>
      <c r="G184" s="47"/>
      <c r="H184" s="47"/>
      <c r="I184" s="47">
        <v>20.98</v>
      </c>
      <c r="J184" s="47"/>
      <c r="K184" s="47"/>
      <c r="L184" s="47"/>
      <c r="M184" s="47"/>
      <c r="N184" s="47"/>
      <c r="O184" s="47"/>
      <c r="P184" s="47"/>
      <c r="Q184" s="374">
        <f t="shared" si="10"/>
        <v>20.98</v>
      </c>
      <c r="R184" s="375" t="str">
        <f t="shared" si="9"/>
        <v>NO</v>
      </c>
      <c r="S184" s="376" t="str">
        <f t="shared" si="11"/>
        <v>Medio</v>
      </c>
      <c r="T184" s="121"/>
    </row>
    <row r="185" spans="1:20" s="120" customFormat="1" ht="32.1" customHeight="1" x14ac:dyDescent="0.2">
      <c r="A185" s="361" t="s">
        <v>211</v>
      </c>
      <c r="B185" s="479" t="s">
        <v>743</v>
      </c>
      <c r="C185" s="472" t="s">
        <v>744</v>
      </c>
      <c r="D185" s="364">
        <v>172</v>
      </c>
      <c r="E185" s="47">
        <v>23.8</v>
      </c>
      <c r="F185" s="47"/>
      <c r="G185" s="47"/>
      <c r="H185" s="47">
        <v>10.5</v>
      </c>
      <c r="I185" s="47"/>
      <c r="J185" s="47">
        <v>10.5</v>
      </c>
      <c r="K185" s="47"/>
      <c r="L185" s="47"/>
      <c r="M185" s="47"/>
      <c r="N185" s="47"/>
      <c r="O185" s="47"/>
      <c r="P185" s="47"/>
      <c r="Q185" s="374">
        <f t="shared" si="10"/>
        <v>14.933333333333332</v>
      </c>
      <c r="R185" s="375" t="str">
        <f t="shared" si="9"/>
        <v>NO</v>
      </c>
      <c r="S185" s="376" t="str">
        <f t="shared" si="11"/>
        <v>Medio</v>
      </c>
      <c r="T185" s="121"/>
    </row>
    <row r="186" spans="1:20" s="120" customFormat="1" ht="32.1" customHeight="1" x14ac:dyDescent="0.2">
      <c r="A186" s="361" t="s">
        <v>211</v>
      </c>
      <c r="B186" s="480" t="s">
        <v>750</v>
      </c>
      <c r="C186" s="481" t="s">
        <v>918</v>
      </c>
      <c r="D186" s="482">
        <v>101</v>
      </c>
      <c r="E186" s="47">
        <v>47.62</v>
      </c>
      <c r="F186" s="47"/>
      <c r="G186" s="47"/>
      <c r="H186" s="47">
        <v>41.96</v>
      </c>
      <c r="I186" s="47"/>
      <c r="J186" s="47">
        <v>31.5</v>
      </c>
      <c r="K186" s="47"/>
      <c r="L186" s="47"/>
      <c r="M186" s="47"/>
      <c r="N186" s="47"/>
      <c r="O186" s="47"/>
      <c r="P186" s="47"/>
      <c r="Q186" s="374">
        <f t="shared" si="10"/>
        <v>40.36</v>
      </c>
      <c r="R186" s="375" t="str">
        <f t="shared" si="9"/>
        <v>NO</v>
      </c>
      <c r="S186" s="376" t="str">
        <f t="shared" si="11"/>
        <v>Alto</v>
      </c>
      <c r="T186" s="121"/>
    </row>
    <row r="187" spans="1:20" s="120" customFormat="1" ht="32.1" customHeight="1" x14ac:dyDescent="0.2">
      <c r="A187" s="361" t="s">
        <v>211</v>
      </c>
      <c r="B187" s="380" t="s">
        <v>904</v>
      </c>
      <c r="C187" s="472" t="s">
        <v>919</v>
      </c>
      <c r="D187" s="364">
        <v>61</v>
      </c>
      <c r="E187" s="47"/>
      <c r="F187" s="47"/>
      <c r="G187" s="47"/>
      <c r="H187" s="47">
        <v>76.92</v>
      </c>
      <c r="I187" s="47"/>
      <c r="J187" s="47"/>
      <c r="K187" s="47"/>
      <c r="L187" s="47"/>
      <c r="M187" s="47"/>
      <c r="N187" s="47"/>
      <c r="O187" s="47"/>
      <c r="P187" s="47"/>
      <c r="Q187" s="374">
        <f t="shared" si="10"/>
        <v>76.92</v>
      </c>
      <c r="R187" s="375" t="str">
        <f t="shared" si="9"/>
        <v>NO</v>
      </c>
      <c r="S187" s="376" t="str">
        <f t="shared" si="11"/>
        <v>Alto</v>
      </c>
      <c r="T187" s="121"/>
    </row>
    <row r="188" spans="1:20" s="120" customFormat="1" ht="32.1" customHeight="1" x14ac:dyDescent="0.2">
      <c r="A188" s="361" t="s">
        <v>211</v>
      </c>
      <c r="B188" s="479" t="s">
        <v>751</v>
      </c>
      <c r="C188" s="472" t="s">
        <v>920</v>
      </c>
      <c r="D188" s="364">
        <v>117</v>
      </c>
      <c r="E188" s="497"/>
      <c r="F188" s="497"/>
      <c r="G188" s="497"/>
      <c r="H188" s="497">
        <v>97.9</v>
      </c>
      <c r="I188" s="497"/>
      <c r="J188" s="497">
        <v>76.92</v>
      </c>
      <c r="K188" s="497"/>
      <c r="L188" s="497"/>
      <c r="M188" s="497"/>
      <c r="N188" s="497"/>
      <c r="O188" s="497"/>
      <c r="P188" s="497"/>
      <c r="Q188" s="374">
        <f t="shared" si="10"/>
        <v>87.41</v>
      </c>
      <c r="R188" s="498" t="str">
        <f t="shared" si="9"/>
        <v>NO</v>
      </c>
      <c r="S188" s="376" t="str">
        <f t="shared" si="11"/>
        <v>Inviable Sanitariamente</v>
      </c>
      <c r="T188" s="121"/>
    </row>
    <row r="189" spans="1:20" s="120" customFormat="1" ht="32.1" customHeight="1" x14ac:dyDescent="0.2">
      <c r="A189" s="361" t="s">
        <v>211</v>
      </c>
      <c r="B189" s="479" t="s">
        <v>746</v>
      </c>
      <c r="C189" s="472" t="s">
        <v>921</v>
      </c>
      <c r="D189" s="364">
        <v>47</v>
      </c>
      <c r="E189" s="499">
        <v>47.62</v>
      </c>
      <c r="F189" s="499"/>
      <c r="G189" s="499"/>
      <c r="H189" s="499">
        <v>41.96</v>
      </c>
      <c r="I189" s="499"/>
      <c r="J189" s="499">
        <v>20.98</v>
      </c>
      <c r="K189" s="499"/>
      <c r="L189" s="499"/>
      <c r="M189" s="499"/>
      <c r="N189" s="499"/>
      <c r="O189" s="499"/>
      <c r="P189" s="499"/>
      <c r="Q189" s="374">
        <f t="shared" si="10"/>
        <v>36.853333333333332</v>
      </c>
      <c r="R189" s="500" t="str">
        <f t="shared" si="9"/>
        <v>NO</v>
      </c>
      <c r="S189" s="376" t="str">
        <f t="shared" si="11"/>
        <v>Alto</v>
      </c>
      <c r="T189" s="121"/>
    </row>
    <row r="190" spans="1:20" s="120" customFormat="1" ht="32.1" customHeight="1" x14ac:dyDescent="0.2">
      <c r="A190" s="361" t="s">
        <v>211</v>
      </c>
      <c r="B190" s="479" t="s">
        <v>905</v>
      </c>
      <c r="C190" s="472" t="s">
        <v>922</v>
      </c>
      <c r="D190" s="364"/>
      <c r="E190" s="497"/>
      <c r="F190" s="497"/>
      <c r="G190" s="497"/>
      <c r="H190" s="497"/>
      <c r="I190" s="497"/>
      <c r="J190" s="497"/>
      <c r="K190" s="497"/>
      <c r="L190" s="497"/>
      <c r="M190" s="497"/>
      <c r="N190" s="497"/>
      <c r="O190" s="497"/>
      <c r="P190" s="497"/>
      <c r="Q190" s="374" t="e">
        <f t="shared" si="10"/>
        <v>#DIV/0!</v>
      </c>
      <c r="R190" s="375" t="e">
        <f t="shared" si="9"/>
        <v>#DIV/0!</v>
      </c>
      <c r="S190" s="376" t="e">
        <f t="shared" si="11"/>
        <v>#DIV/0!</v>
      </c>
      <c r="T190" s="121"/>
    </row>
    <row r="191" spans="1:20" s="120" customFormat="1" ht="32.1" customHeight="1" x14ac:dyDescent="0.2">
      <c r="A191" s="361" t="s">
        <v>211</v>
      </c>
      <c r="B191" s="479" t="s">
        <v>748</v>
      </c>
      <c r="C191" s="472" t="s">
        <v>923</v>
      </c>
      <c r="D191" s="364">
        <v>35</v>
      </c>
      <c r="E191" s="47">
        <v>47.62</v>
      </c>
      <c r="F191" s="47"/>
      <c r="G191" s="47"/>
      <c r="H191" s="47">
        <v>76.92</v>
      </c>
      <c r="I191" s="47"/>
      <c r="J191" s="47">
        <v>76.92</v>
      </c>
      <c r="K191" s="47"/>
      <c r="L191" s="47"/>
      <c r="M191" s="47"/>
      <c r="N191" s="47"/>
      <c r="O191" s="47"/>
      <c r="P191" s="47"/>
      <c r="Q191" s="374">
        <f t="shared" si="10"/>
        <v>67.153333333333322</v>
      </c>
      <c r="R191" s="375" t="str">
        <f t="shared" si="9"/>
        <v>NO</v>
      </c>
      <c r="S191" s="376" t="str">
        <f t="shared" si="11"/>
        <v>Alto</v>
      </c>
      <c r="T191" s="121"/>
    </row>
    <row r="192" spans="1:20" s="120" customFormat="1" ht="32.1" customHeight="1" x14ac:dyDescent="0.2">
      <c r="A192" s="361" t="s">
        <v>211</v>
      </c>
      <c r="B192" s="380" t="s">
        <v>906</v>
      </c>
      <c r="C192" s="472" t="s">
        <v>924</v>
      </c>
      <c r="D192" s="364">
        <v>115</v>
      </c>
      <c r="E192" s="47"/>
      <c r="F192" s="47"/>
      <c r="G192" s="47"/>
      <c r="H192" s="47"/>
      <c r="I192" s="47"/>
      <c r="J192" s="47">
        <v>21</v>
      </c>
      <c r="K192" s="47"/>
      <c r="L192" s="47"/>
      <c r="M192" s="47"/>
      <c r="N192" s="47"/>
      <c r="O192" s="47"/>
      <c r="P192" s="47"/>
      <c r="Q192" s="374">
        <f t="shared" si="10"/>
        <v>21</v>
      </c>
      <c r="R192" s="375" t="str">
        <f t="shared" si="9"/>
        <v>NO</v>
      </c>
      <c r="S192" s="376" t="str">
        <f t="shared" si="11"/>
        <v>Medio</v>
      </c>
      <c r="T192" s="121"/>
    </row>
    <row r="193" spans="1:20" s="120" customFormat="1" ht="32.1" customHeight="1" x14ac:dyDescent="0.2">
      <c r="A193" s="361" t="s">
        <v>211</v>
      </c>
      <c r="B193" s="380" t="s">
        <v>907</v>
      </c>
      <c r="C193" s="472" t="s">
        <v>925</v>
      </c>
      <c r="D193" s="364">
        <v>127</v>
      </c>
      <c r="E193" s="47">
        <v>0</v>
      </c>
      <c r="F193" s="47"/>
      <c r="G193" s="47"/>
      <c r="H193" s="47">
        <v>20.98</v>
      </c>
      <c r="I193" s="47"/>
      <c r="J193" s="47">
        <v>20.98</v>
      </c>
      <c r="K193" s="47"/>
      <c r="L193" s="47"/>
      <c r="M193" s="47"/>
      <c r="N193" s="47"/>
      <c r="O193" s="47"/>
      <c r="P193" s="47"/>
      <c r="Q193" s="374">
        <f t="shared" si="10"/>
        <v>13.986666666666666</v>
      </c>
      <c r="R193" s="375" t="str">
        <f t="shared" si="9"/>
        <v>NO</v>
      </c>
      <c r="S193" s="376" t="str">
        <f t="shared" si="11"/>
        <v>Bajo</v>
      </c>
      <c r="T193" s="121"/>
    </row>
    <row r="194" spans="1:20" s="120" customFormat="1" ht="32.1" customHeight="1" x14ac:dyDescent="0.2">
      <c r="A194" s="361" t="s">
        <v>211</v>
      </c>
      <c r="B194" s="380" t="s">
        <v>908</v>
      </c>
      <c r="C194" s="472" t="s">
        <v>926</v>
      </c>
      <c r="D194" s="364"/>
      <c r="E194" s="47"/>
      <c r="F194" s="47"/>
      <c r="G194" s="47"/>
      <c r="H194" s="47"/>
      <c r="I194" s="47"/>
      <c r="J194" s="47">
        <v>76.900000000000006</v>
      </c>
      <c r="K194" s="47"/>
      <c r="L194" s="47"/>
      <c r="M194" s="47"/>
      <c r="N194" s="47"/>
      <c r="O194" s="47"/>
      <c r="P194" s="47"/>
      <c r="Q194" s="374">
        <f t="shared" si="10"/>
        <v>76.900000000000006</v>
      </c>
      <c r="R194" s="375" t="str">
        <f t="shared" si="9"/>
        <v>NO</v>
      </c>
      <c r="S194" s="376" t="str">
        <f t="shared" si="11"/>
        <v>Alto</v>
      </c>
      <c r="T194" s="121"/>
    </row>
    <row r="195" spans="1:20" s="120" customFormat="1" ht="32.1" customHeight="1" x14ac:dyDescent="0.2">
      <c r="A195" s="361" t="s">
        <v>211</v>
      </c>
      <c r="B195" s="380" t="s">
        <v>909</v>
      </c>
      <c r="C195" s="472" t="s">
        <v>927</v>
      </c>
      <c r="D195" s="364">
        <v>129</v>
      </c>
      <c r="E195" s="47">
        <v>0</v>
      </c>
      <c r="F195" s="47"/>
      <c r="G195" s="47"/>
      <c r="H195" s="47">
        <v>10.5</v>
      </c>
      <c r="I195" s="47"/>
      <c r="J195" s="47">
        <v>20.9</v>
      </c>
      <c r="K195" s="47"/>
      <c r="L195" s="47"/>
      <c r="M195" s="47"/>
      <c r="N195" s="47"/>
      <c r="O195" s="47"/>
      <c r="P195" s="47"/>
      <c r="Q195" s="374">
        <f t="shared" si="10"/>
        <v>10.466666666666667</v>
      </c>
      <c r="R195" s="375" t="str">
        <f t="shared" si="9"/>
        <v>NO</v>
      </c>
      <c r="S195" s="376" t="str">
        <f t="shared" si="11"/>
        <v>Bajo</v>
      </c>
      <c r="T195" s="121"/>
    </row>
    <row r="196" spans="1:20" s="120" customFormat="1" ht="32.1" customHeight="1" x14ac:dyDescent="0.2">
      <c r="A196" s="361" t="s">
        <v>211</v>
      </c>
      <c r="B196" s="380" t="s">
        <v>910</v>
      </c>
      <c r="C196" s="472" t="s">
        <v>928</v>
      </c>
      <c r="D196" s="364"/>
      <c r="E196" s="47"/>
      <c r="F196" s="47"/>
      <c r="G196" s="47"/>
      <c r="H196" s="47"/>
      <c r="I196" s="47"/>
      <c r="J196" s="47"/>
      <c r="K196" s="47"/>
      <c r="L196" s="47"/>
      <c r="M196" s="47"/>
      <c r="N196" s="47"/>
      <c r="O196" s="47"/>
      <c r="P196" s="47"/>
      <c r="Q196" s="374" t="e">
        <f t="shared" si="10"/>
        <v>#DIV/0!</v>
      </c>
      <c r="R196" s="375" t="e">
        <f t="shared" si="9"/>
        <v>#DIV/0!</v>
      </c>
      <c r="S196" s="376" t="e">
        <f t="shared" si="11"/>
        <v>#DIV/0!</v>
      </c>
      <c r="T196" s="121"/>
    </row>
    <row r="197" spans="1:20" s="120" customFormat="1" ht="32.1" customHeight="1" x14ac:dyDescent="0.2">
      <c r="A197" s="361" t="s">
        <v>211</v>
      </c>
      <c r="B197" s="479" t="s">
        <v>749</v>
      </c>
      <c r="C197" s="472" t="s">
        <v>929</v>
      </c>
      <c r="D197" s="364">
        <v>135</v>
      </c>
      <c r="E197" s="47"/>
      <c r="F197" s="47"/>
      <c r="G197" s="47"/>
      <c r="H197" s="47">
        <v>97.9</v>
      </c>
      <c r="I197" s="47"/>
      <c r="J197" s="47">
        <v>97.9</v>
      </c>
      <c r="K197" s="47"/>
      <c r="L197" s="47"/>
      <c r="M197" s="47"/>
      <c r="N197" s="47"/>
      <c r="O197" s="47"/>
      <c r="P197" s="47"/>
      <c r="Q197" s="374">
        <f t="shared" si="10"/>
        <v>97.9</v>
      </c>
      <c r="R197" s="375" t="str">
        <f t="shared" si="9"/>
        <v>NO</v>
      </c>
      <c r="S197" s="376" t="str">
        <f t="shared" si="11"/>
        <v>Inviable Sanitariamente</v>
      </c>
      <c r="T197" s="121"/>
    </row>
    <row r="198" spans="1:20" s="120" customFormat="1" ht="32.1" customHeight="1" x14ac:dyDescent="0.2">
      <c r="A198" s="361" t="s">
        <v>211</v>
      </c>
      <c r="B198" s="380" t="s">
        <v>911</v>
      </c>
      <c r="C198" s="472" t="s">
        <v>930</v>
      </c>
      <c r="D198" s="364">
        <v>187</v>
      </c>
      <c r="E198" s="47"/>
      <c r="F198" s="47"/>
      <c r="G198" s="47"/>
      <c r="H198" s="47">
        <v>97.9</v>
      </c>
      <c r="I198" s="47"/>
      <c r="J198" s="47">
        <v>76.92</v>
      </c>
      <c r="K198" s="47"/>
      <c r="L198" s="47"/>
      <c r="M198" s="47"/>
      <c r="N198" s="47"/>
      <c r="O198" s="47"/>
      <c r="P198" s="47"/>
      <c r="Q198" s="374">
        <f t="shared" si="10"/>
        <v>87.41</v>
      </c>
      <c r="R198" s="375" t="str">
        <f t="shared" si="9"/>
        <v>NO</v>
      </c>
      <c r="S198" s="376" t="str">
        <f t="shared" si="11"/>
        <v>Inviable Sanitariamente</v>
      </c>
      <c r="T198" s="121"/>
    </row>
    <row r="199" spans="1:20" s="120" customFormat="1" ht="32.1" customHeight="1" x14ac:dyDescent="0.2">
      <c r="A199" s="361" t="s">
        <v>211</v>
      </c>
      <c r="B199" s="380" t="s">
        <v>912</v>
      </c>
      <c r="C199" s="472" t="s">
        <v>931</v>
      </c>
      <c r="D199" s="364">
        <v>140</v>
      </c>
      <c r="E199" s="47">
        <v>0</v>
      </c>
      <c r="F199" s="47"/>
      <c r="G199" s="47"/>
      <c r="H199" s="47">
        <v>0</v>
      </c>
      <c r="I199" s="47"/>
      <c r="J199" s="47">
        <v>76.92</v>
      </c>
      <c r="K199" s="47"/>
      <c r="L199" s="47"/>
      <c r="M199" s="47"/>
      <c r="N199" s="47"/>
      <c r="O199" s="47"/>
      <c r="P199" s="47"/>
      <c r="Q199" s="374">
        <f t="shared" si="10"/>
        <v>25.64</v>
      </c>
      <c r="R199" s="375" t="str">
        <f t="shared" si="9"/>
        <v>NO</v>
      </c>
      <c r="S199" s="376" t="str">
        <f t="shared" si="11"/>
        <v>Medio</v>
      </c>
      <c r="T199" s="121"/>
    </row>
    <row r="200" spans="1:20" s="120" customFormat="1" ht="32.1" customHeight="1" x14ac:dyDescent="0.2">
      <c r="A200" s="361" t="s">
        <v>211</v>
      </c>
      <c r="B200" s="380" t="s">
        <v>913</v>
      </c>
      <c r="C200" s="472" t="s">
        <v>932</v>
      </c>
      <c r="D200" s="364"/>
      <c r="E200" s="497"/>
      <c r="F200" s="497"/>
      <c r="G200" s="497"/>
      <c r="H200" s="497"/>
      <c r="I200" s="497"/>
      <c r="J200" s="497"/>
      <c r="K200" s="497"/>
      <c r="L200" s="497"/>
      <c r="M200" s="497"/>
      <c r="N200" s="497"/>
      <c r="O200" s="497"/>
      <c r="P200" s="497"/>
      <c r="Q200" s="374" t="e">
        <f t="shared" si="10"/>
        <v>#DIV/0!</v>
      </c>
      <c r="R200" s="375" t="e">
        <f t="shared" si="9"/>
        <v>#DIV/0!</v>
      </c>
      <c r="S200" s="376" t="e">
        <f t="shared" ref="S200:S266" si="12">IF(Q200&lt;5,"Sin Riesgo",IF(Q200 &lt;=14,"Bajo",IF(Q200&lt;=35,"Medio",IF(Q200&lt;=80,"Alto","Inviable Sanitariamente"))))</f>
        <v>#DIV/0!</v>
      </c>
      <c r="T200" s="121"/>
    </row>
    <row r="201" spans="1:20" s="120" customFormat="1" ht="32.1" customHeight="1" x14ac:dyDescent="0.2">
      <c r="A201" s="361" t="s">
        <v>211</v>
      </c>
      <c r="B201" s="479" t="s">
        <v>914</v>
      </c>
      <c r="C201" s="472" t="s">
        <v>933</v>
      </c>
      <c r="D201" s="364">
        <v>119</v>
      </c>
      <c r="E201" s="47"/>
      <c r="F201" s="47"/>
      <c r="G201" s="47"/>
      <c r="H201" s="47">
        <v>76.900000000000006</v>
      </c>
      <c r="I201" s="47"/>
      <c r="J201" s="47"/>
      <c r="K201" s="47"/>
      <c r="L201" s="47"/>
      <c r="M201" s="47"/>
      <c r="N201" s="47"/>
      <c r="O201" s="47"/>
      <c r="P201" s="47"/>
      <c r="Q201" s="374">
        <f t="shared" si="10"/>
        <v>76.900000000000006</v>
      </c>
      <c r="R201" s="375" t="str">
        <f t="shared" si="9"/>
        <v>NO</v>
      </c>
      <c r="S201" s="376" t="str">
        <f t="shared" si="12"/>
        <v>Alto</v>
      </c>
      <c r="T201" s="121"/>
    </row>
    <row r="202" spans="1:20" s="120" customFormat="1" ht="32.1" customHeight="1" x14ac:dyDescent="0.2">
      <c r="A202" s="361" t="s">
        <v>211</v>
      </c>
      <c r="B202" s="477" t="s">
        <v>752</v>
      </c>
      <c r="C202" s="477" t="s">
        <v>753</v>
      </c>
      <c r="D202" s="364">
        <v>37</v>
      </c>
      <c r="E202" s="47"/>
      <c r="F202" s="47"/>
      <c r="G202" s="47">
        <v>0</v>
      </c>
      <c r="H202" s="47"/>
      <c r="I202" s="47">
        <v>0</v>
      </c>
      <c r="J202" s="47"/>
      <c r="K202" s="47"/>
      <c r="L202" s="47"/>
      <c r="M202" s="47">
        <v>0</v>
      </c>
      <c r="N202" s="47"/>
      <c r="O202" s="47"/>
      <c r="P202" s="47"/>
      <c r="Q202" s="374">
        <f>AVERAGE(E202:P202)</f>
        <v>0</v>
      </c>
      <c r="R202" s="501" t="str">
        <f>IF(Q202&lt;5,"SI","NO")</f>
        <v>SI</v>
      </c>
      <c r="S202" s="376" t="str">
        <f>IF(Q202&lt;5,"Sin Riesgo",IF(Q202 &lt;=14,"Bajo",IF(Q202&lt;=35,"Medio",IF(Q202&lt;=80,"Alto","Inviable Sanitariamente"))))</f>
        <v>Sin Riesgo</v>
      </c>
      <c r="T202" s="121"/>
    </row>
    <row r="203" spans="1:20" s="120" customFormat="1" ht="32.1" customHeight="1" x14ac:dyDescent="0.2">
      <c r="A203" s="361" t="s">
        <v>211</v>
      </c>
      <c r="B203" s="477" t="s">
        <v>4258</v>
      </c>
      <c r="C203" s="477" t="s">
        <v>4259</v>
      </c>
      <c r="D203" s="364">
        <v>72</v>
      </c>
      <c r="E203" s="47">
        <v>0</v>
      </c>
      <c r="F203" s="47"/>
      <c r="G203" s="47"/>
      <c r="H203" s="47">
        <v>0</v>
      </c>
      <c r="I203" s="47"/>
      <c r="J203" s="47">
        <v>0</v>
      </c>
      <c r="K203" s="47"/>
      <c r="L203" s="47"/>
      <c r="M203" s="47"/>
      <c r="N203" s="47"/>
      <c r="O203" s="47"/>
      <c r="P203" s="47"/>
      <c r="Q203" s="374">
        <f t="shared" si="10"/>
        <v>0</v>
      </c>
      <c r="R203" s="501" t="str">
        <f t="shared" si="9"/>
        <v>SI</v>
      </c>
      <c r="S203" s="376" t="str">
        <f t="shared" si="12"/>
        <v>Sin Riesgo</v>
      </c>
      <c r="T203" s="121"/>
    </row>
    <row r="204" spans="1:20" s="120" customFormat="1" ht="32.1" customHeight="1" x14ac:dyDescent="0.2">
      <c r="A204" s="361" t="s">
        <v>212</v>
      </c>
      <c r="B204" s="406" t="s">
        <v>959</v>
      </c>
      <c r="C204" s="477" t="s">
        <v>960</v>
      </c>
      <c r="D204" s="364">
        <v>180</v>
      </c>
      <c r="E204" s="47"/>
      <c r="F204" s="47"/>
      <c r="G204" s="47">
        <v>97.3</v>
      </c>
      <c r="H204" s="47"/>
      <c r="I204" s="47"/>
      <c r="J204" s="47"/>
      <c r="K204" s="47"/>
      <c r="L204" s="47"/>
      <c r="M204" s="47"/>
      <c r="N204" s="47"/>
      <c r="O204" s="47"/>
      <c r="P204" s="47"/>
      <c r="Q204" s="374">
        <f t="shared" si="10"/>
        <v>97.3</v>
      </c>
      <c r="R204" s="375" t="str">
        <f t="shared" si="9"/>
        <v>NO</v>
      </c>
      <c r="S204" s="376" t="str">
        <f t="shared" si="12"/>
        <v>Inviable Sanitariamente</v>
      </c>
      <c r="T204" s="121"/>
    </row>
    <row r="205" spans="1:20" s="120" customFormat="1" ht="32.1" customHeight="1" x14ac:dyDescent="0.2">
      <c r="A205" s="361" t="s">
        <v>212</v>
      </c>
      <c r="B205" s="406" t="s">
        <v>747</v>
      </c>
      <c r="C205" s="477" t="s">
        <v>961</v>
      </c>
      <c r="D205" s="364">
        <v>139</v>
      </c>
      <c r="E205" s="47"/>
      <c r="F205" s="47"/>
      <c r="G205" s="47">
        <v>97.4</v>
      </c>
      <c r="H205" s="47"/>
      <c r="I205" s="47"/>
      <c r="J205" s="47"/>
      <c r="K205" s="47"/>
      <c r="L205" s="47"/>
      <c r="M205" s="47"/>
      <c r="N205" s="47"/>
      <c r="O205" s="47"/>
      <c r="P205" s="47"/>
      <c r="Q205" s="374">
        <f t="shared" si="10"/>
        <v>97.4</v>
      </c>
      <c r="R205" s="375" t="str">
        <f t="shared" si="9"/>
        <v>NO</v>
      </c>
      <c r="S205" s="376" t="str">
        <f t="shared" si="12"/>
        <v>Inviable Sanitariamente</v>
      </c>
      <c r="T205" s="121"/>
    </row>
    <row r="206" spans="1:20" s="120" customFormat="1" ht="32.1" customHeight="1" x14ac:dyDescent="0.2">
      <c r="A206" s="361" t="s">
        <v>212</v>
      </c>
      <c r="B206" s="406" t="s">
        <v>962</v>
      </c>
      <c r="C206" s="477" t="s">
        <v>963</v>
      </c>
      <c r="D206" s="364">
        <v>82</v>
      </c>
      <c r="E206" s="47"/>
      <c r="F206" s="47"/>
      <c r="G206" s="47">
        <v>70.8</v>
      </c>
      <c r="H206" s="47"/>
      <c r="I206" s="47"/>
      <c r="J206" s="47"/>
      <c r="K206" s="47"/>
      <c r="L206" s="47"/>
      <c r="M206" s="47"/>
      <c r="N206" s="47"/>
      <c r="O206" s="47"/>
      <c r="P206" s="47"/>
      <c r="Q206" s="374">
        <f t="shared" si="10"/>
        <v>70.8</v>
      </c>
      <c r="R206" s="375" t="str">
        <f t="shared" si="9"/>
        <v>NO</v>
      </c>
      <c r="S206" s="376" t="str">
        <f t="shared" si="12"/>
        <v>Alto</v>
      </c>
      <c r="T206" s="121"/>
    </row>
    <row r="207" spans="1:20" s="120" customFormat="1" ht="32.1" customHeight="1" x14ac:dyDescent="0.2">
      <c r="A207" s="361" t="s">
        <v>212</v>
      </c>
      <c r="B207" s="406" t="s">
        <v>964</v>
      </c>
      <c r="C207" s="477" t="s">
        <v>965</v>
      </c>
      <c r="D207" s="364">
        <v>90</v>
      </c>
      <c r="E207" s="47"/>
      <c r="F207" s="47"/>
      <c r="G207" s="47">
        <v>0</v>
      </c>
      <c r="H207" s="47"/>
      <c r="I207" s="47"/>
      <c r="J207" s="47"/>
      <c r="K207" s="47"/>
      <c r="L207" s="47"/>
      <c r="M207" s="47"/>
      <c r="N207" s="47"/>
      <c r="O207" s="47"/>
      <c r="P207" s="47"/>
      <c r="Q207" s="374">
        <f t="shared" si="10"/>
        <v>0</v>
      </c>
      <c r="R207" s="375" t="str">
        <f t="shared" si="9"/>
        <v>SI</v>
      </c>
      <c r="S207" s="376" t="str">
        <f t="shared" si="12"/>
        <v>Sin Riesgo</v>
      </c>
      <c r="T207" s="121"/>
    </row>
    <row r="208" spans="1:20" s="120" customFormat="1" ht="32.1" customHeight="1" x14ac:dyDescent="0.2">
      <c r="A208" s="361" t="s">
        <v>212</v>
      </c>
      <c r="B208" s="406" t="s">
        <v>966</v>
      </c>
      <c r="C208" s="477" t="s">
        <v>967</v>
      </c>
      <c r="D208" s="364">
        <v>480</v>
      </c>
      <c r="E208" s="47"/>
      <c r="F208" s="47"/>
      <c r="G208" s="47">
        <v>53.1</v>
      </c>
      <c r="H208" s="47"/>
      <c r="I208" s="47"/>
      <c r="J208" s="47"/>
      <c r="K208" s="47"/>
      <c r="L208" s="47"/>
      <c r="M208" s="47"/>
      <c r="N208" s="47"/>
      <c r="O208" s="47"/>
      <c r="P208" s="47"/>
      <c r="Q208" s="374">
        <f t="shared" si="10"/>
        <v>53.1</v>
      </c>
      <c r="R208" s="375" t="str">
        <f t="shared" si="9"/>
        <v>NO</v>
      </c>
      <c r="S208" s="376" t="str">
        <f t="shared" si="12"/>
        <v>Alto</v>
      </c>
      <c r="T208" s="121"/>
    </row>
    <row r="209" spans="1:20" s="120" customFormat="1" ht="32.1" customHeight="1" x14ac:dyDescent="0.2">
      <c r="A209" s="361" t="s">
        <v>212</v>
      </c>
      <c r="B209" s="406" t="s">
        <v>968</v>
      </c>
      <c r="C209" s="477" t="s">
        <v>969</v>
      </c>
      <c r="D209" s="364">
        <v>80</v>
      </c>
      <c r="E209" s="47"/>
      <c r="F209" s="47"/>
      <c r="G209" s="47">
        <v>0</v>
      </c>
      <c r="H209" s="47"/>
      <c r="I209" s="47"/>
      <c r="J209" s="47"/>
      <c r="K209" s="47"/>
      <c r="L209" s="47"/>
      <c r="M209" s="47"/>
      <c r="N209" s="47"/>
      <c r="O209" s="47"/>
      <c r="P209" s="47"/>
      <c r="Q209" s="374">
        <f t="shared" si="10"/>
        <v>0</v>
      </c>
      <c r="R209" s="375" t="str">
        <f t="shared" si="9"/>
        <v>SI</v>
      </c>
      <c r="S209" s="376" t="str">
        <f t="shared" si="12"/>
        <v>Sin Riesgo</v>
      </c>
      <c r="T209" s="121"/>
    </row>
    <row r="210" spans="1:20" s="120" customFormat="1" ht="32.1" customHeight="1" x14ac:dyDescent="0.2">
      <c r="A210" s="361" t="s">
        <v>212</v>
      </c>
      <c r="B210" s="406" t="s">
        <v>449</v>
      </c>
      <c r="C210" s="477" t="s">
        <v>970</v>
      </c>
      <c r="D210" s="364">
        <v>80</v>
      </c>
      <c r="E210" s="47"/>
      <c r="F210" s="47">
        <v>29.2</v>
      </c>
      <c r="G210" s="47"/>
      <c r="H210" s="47">
        <v>2.65</v>
      </c>
      <c r="I210" s="47"/>
      <c r="J210" s="47">
        <v>2.65</v>
      </c>
      <c r="K210" s="47"/>
      <c r="L210" s="47">
        <v>2.65</v>
      </c>
      <c r="M210" s="47"/>
      <c r="N210" s="47">
        <v>0</v>
      </c>
      <c r="O210" s="47"/>
      <c r="P210" s="47"/>
      <c r="Q210" s="374">
        <f t="shared" si="10"/>
        <v>7.43</v>
      </c>
      <c r="R210" s="375" t="str">
        <f t="shared" si="9"/>
        <v>NO</v>
      </c>
      <c r="S210" s="376" t="str">
        <f t="shared" si="12"/>
        <v>Bajo</v>
      </c>
      <c r="T210" s="121"/>
    </row>
    <row r="211" spans="1:20" s="120" customFormat="1" ht="32.1" customHeight="1" x14ac:dyDescent="0.2">
      <c r="A211" s="361" t="s">
        <v>212</v>
      </c>
      <c r="B211" s="406" t="s">
        <v>604</v>
      </c>
      <c r="C211" s="477" t="s">
        <v>971</v>
      </c>
      <c r="D211" s="364">
        <v>42</v>
      </c>
      <c r="E211" s="47"/>
      <c r="F211" s="47">
        <v>100</v>
      </c>
      <c r="G211" s="47"/>
      <c r="H211" s="47">
        <v>16.5</v>
      </c>
      <c r="I211" s="47"/>
      <c r="J211" s="47">
        <v>100</v>
      </c>
      <c r="K211" s="47"/>
      <c r="L211" s="47">
        <v>0</v>
      </c>
      <c r="M211" s="47"/>
      <c r="N211" s="47">
        <v>97.35</v>
      </c>
      <c r="O211" s="47"/>
      <c r="P211" s="47"/>
      <c r="Q211" s="374">
        <f t="shared" si="10"/>
        <v>62.77</v>
      </c>
      <c r="R211" s="375" t="str">
        <f t="shared" si="9"/>
        <v>NO</v>
      </c>
      <c r="S211" s="376" t="str">
        <f t="shared" si="12"/>
        <v>Alto</v>
      </c>
      <c r="T211" s="121"/>
    </row>
    <row r="212" spans="1:20" s="120" customFormat="1" ht="32.1" customHeight="1" x14ac:dyDescent="0.2">
      <c r="A212" s="361" t="s">
        <v>212</v>
      </c>
      <c r="B212" s="406" t="s">
        <v>972</v>
      </c>
      <c r="C212" s="477" t="s">
        <v>973</v>
      </c>
      <c r="D212" s="364">
        <v>164</v>
      </c>
      <c r="E212" s="47"/>
      <c r="F212" s="47"/>
      <c r="G212" s="47">
        <v>26.6</v>
      </c>
      <c r="H212" s="47"/>
      <c r="I212" s="47"/>
      <c r="J212" s="47"/>
      <c r="K212" s="47"/>
      <c r="L212" s="47"/>
      <c r="M212" s="47"/>
      <c r="N212" s="47"/>
      <c r="O212" s="47"/>
      <c r="P212" s="47"/>
      <c r="Q212" s="374">
        <f t="shared" si="10"/>
        <v>26.6</v>
      </c>
      <c r="R212" s="375" t="str">
        <f t="shared" si="9"/>
        <v>NO</v>
      </c>
      <c r="S212" s="376" t="str">
        <f t="shared" si="12"/>
        <v>Medio</v>
      </c>
      <c r="T212" s="121"/>
    </row>
    <row r="213" spans="1:20" s="120" customFormat="1" ht="32.1" customHeight="1" x14ac:dyDescent="0.2">
      <c r="A213" s="361" t="s">
        <v>212</v>
      </c>
      <c r="B213" s="406" t="s">
        <v>974</v>
      </c>
      <c r="C213" s="477" t="s">
        <v>975</v>
      </c>
      <c r="D213" s="364">
        <v>150</v>
      </c>
      <c r="E213" s="47"/>
      <c r="F213" s="47">
        <v>29.2</v>
      </c>
      <c r="G213" s="47"/>
      <c r="H213" s="47">
        <v>29.2</v>
      </c>
      <c r="I213" s="47"/>
      <c r="J213" s="47">
        <v>29.2</v>
      </c>
      <c r="K213" s="47"/>
      <c r="L213" s="47">
        <v>2.65</v>
      </c>
      <c r="M213" s="47"/>
      <c r="N213" s="47">
        <v>0</v>
      </c>
      <c r="O213" s="47"/>
      <c r="P213" s="47"/>
      <c r="Q213" s="374">
        <f t="shared" si="10"/>
        <v>18.05</v>
      </c>
      <c r="R213" s="375" t="str">
        <f t="shared" si="9"/>
        <v>NO</v>
      </c>
      <c r="S213" s="376" t="str">
        <f t="shared" si="12"/>
        <v>Medio</v>
      </c>
      <c r="T213" s="121"/>
    </row>
    <row r="214" spans="1:20" s="120" customFormat="1" ht="32.1" customHeight="1" x14ac:dyDescent="0.2">
      <c r="A214" s="361" t="s">
        <v>212</v>
      </c>
      <c r="B214" s="406" t="s">
        <v>810</v>
      </c>
      <c r="C214" s="477" t="s">
        <v>976</v>
      </c>
      <c r="D214" s="364">
        <v>40</v>
      </c>
      <c r="E214" s="47"/>
      <c r="F214" s="47">
        <v>26.54</v>
      </c>
      <c r="G214" s="47"/>
      <c r="H214" s="47">
        <v>29.2</v>
      </c>
      <c r="I214" s="47"/>
      <c r="J214" s="47">
        <v>29.2</v>
      </c>
      <c r="K214" s="47"/>
      <c r="L214" s="47">
        <v>55.75</v>
      </c>
      <c r="M214" s="47"/>
      <c r="N214" s="47">
        <v>0</v>
      </c>
      <c r="O214" s="47"/>
      <c r="P214" s="47"/>
      <c r="Q214" s="374">
        <f t="shared" si="10"/>
        <v>28.137999999999998</v>
      </c>
      <c r="R214" s="375" t="str">
        <f t="shared" si="9"/>
        <v>NO</v>
      </c>
      <c r="S214" s="376" t="str">
        <f t="shared" si="12"/>
        <v>Medio</v>
      </c>
      <c r="T214" s="121"/>
    </row>
    <row r="215" spans="1:20" s="120" customFormat="1" ht="32.1" customHeight="1" x14ac:dyDescent="0.2">
      <c r="A215" s="361" t="s">
        <v>212</v>
      </c>
      <c r="B215" s="406" t="s">
        <v>977</v>
      </c>
      <c r="C215" s="477" t="s">
        <v>978</v>
      </c>
      <c r="D215" s="364">
        <v>160</v>
      </c>
      <c r="E215" s="47"/>
      <c r="F215" s="47"/>
      <c r="G215" s="47">
        <v>26.6</v>
      </c>
      <c r="H215" s="47"/>
      <c r="I215" s="47"/>
      <c r="J215" s="47"/>
      <c r="K215" s="47"/>
      <c r="L215" s="47"/>
      <c r="M215" s="47"/>
      <c r="N215" s="47"/>
      <c r="O215" s="47"/>
      <c r="P215" s="47"/>
      <c r="Q215" s="374">
        <f t="shared" ref="Q215:Q253" si="13">AVERAGE(E215:P215)</f>
        <v>26.6</v>
      </c>
      <c r="R215" s="375" t="str">
        <f t="shared" ref="R215:R253" si="14">IF(Q215&lt;5,"SI","NO")</f>
        <v>NO</v>
      </c>
      <c r="S215" s="376" t="str">
        <f t="shared" si="12"/>
        <v>Medio</v>
      </c>
      <c r="T215" s="121"/>
    </row>
    <row r="216" spans="1:20" s="120" customFormat="1" ht="32.1" customHeight="1" x14ac:dyDescent="0.2">
      <c r="A216" s="361" t="s">
        <v>212</v>
      </c>
      <c r="B216" s="406" t="s">
        <v>979</v>
      </c>
      <c r="C216" s="477" t="s">
        <v>980</v>
      </c>
      <c r="D216" s="364">
        <v>560</v>
      </c>
      <c r="E216" s="47"/>
      <c r="F216" s="47"/>
      <c r="G216" s="47"/>
      <c r="H216" s="47"/>
      <c r="I216" s="47"/>
      <c r="J216" s="47"/>
      <c r="K216" s="47"/>
      <c r="L216" s="47"/>
      <c r="M216" s="47"/>
      <c r="N216" s="47">
        <v>100</v>
      </c>
      <c r="O216" s="47"/>
      <c r="P216" s="47"/>
      <c r="Q216" s="374">
        <f t="shared" si="13"/>
        <v>100</v>
      </c>
      <c r="R216" s="375" t="str">
        <f t="shared" si="14"/>
        <v>NO</v>
      </c>
      <c r="S216" s="376" t="str">
        <f t="shared" si="12"/>
        <v>Inviable Sanitariamente</v>
      </c>
      <c r="T216" s="121"/>
    </row>
    <row r="217" spans="1:20" s="120" customFormat="1" ht="32.1" customHeight="1" x14ac:dyDescent="0.2">
      <c r="A217" s="361" t="s">
        <v>212</v>
      </c>
      <c r="B217" s="406" t="s">
        <v>981</v>
      </c>
      <c r="C217" s="477" t="s">
        <v>982</v>
      </c>
      <c r="D217" s="364"/>
      <c r="E217" s="47"/>
      <c r="F217" s="47"/>
      <c r="G217" s="47"/>
      <c r="H217" s="47"/>
      <c r="I217" s="47"/>
      <c r="J217" s="47"/>
      <c r="K217" s="47"/>
      <c r="L217" s="47"/>
      <c r="M217" s="47"/>
      <c r="N217" s="47"/>
      <c r="O217" s="47"/>
      <c r="P217" s="47"/>
      <c r="Q217" s="374" t="e">
        <f t="shared" si="13"/>
        <v>#DIV/0!</v>
      </c>
      <c r="R217" s="375" t="e">
        <f t="shared" si="14"/>
        <v>#DIV/0!</v>
      </c>
      <c r="S217" s="376" t="e">
        <f t="shared" si="12"/>
        <v>#DIV/0!</v>
      </c>
      <c r="T217" s="121"/>
    </row>
    <row r="218" spans="1:20" s="120" customFormat="1" ht="32.1" customHeight="1" x14ac:dyDescent="0.2">
      <c r="A218" s="361" t="s">
        <v>212</v>
      </c>
      <c r="B218" s="406" t="s">
        <v>983</v>
      </c>
      <c r="C218" s="477" t="s">
        <v>984</v>
      </c>
      <c r="D218" s="364"/>
      <c r="E218" s="47"/>
      <c r="F218" s="47"/>
      <c r="G218" s="47"/>
      <c r="H218" s="47"/>
      <c r="I218" s="47"/>
      <c r="J218" s="47"/>
      <c r="K218" s="47"/>
      <c r="L218" s="47"/>
      <c r="M218" s="47"/>
      <c r="N218" s="47"/>
      <c r="O218" s="47"/>
      <c r="P218" s="47"/>
      <c r="Q218" s="374" t="e">
        <f t="shared" si="13"/>
        <v>#DIV/0!</v>
      </c>
      <c r="R218" s="375" t="e">
        <f t="shared" si="14"/>
        <v>#DIV/0!</v>
      </c>
      <c r="S218" s="376" t="e">
        <f t="shared" si="12"/>
        <v>#DIV/0!</v>
      </c>
      <c r="T218" s="121"/>
    </row>
    <row r="219" spans="1:20" s="122" customFormat="1" ht="32.1" customHeight="1" x14ac:dyDescent="0.2">
      <c r="A219" s="361" t="s">
        <v>212</v>
      </c>
      <c r="B219" s="406" t="s">
        <v>5</v>
      </c>
      <c r="C219" s="477" t="s">
        <v>985</v>
      </c>
      <c r="D219" s="364"/>
      <c r="E219" s="47"/>
      <c r="F219" s="47"/>
      <c r="G219" s="47"/>
      <c r="H219" s="47"/>
      <c r="I219" s="47"/>
      <c r="J219" s="47"/>
      <c r="K219" s="47"/>
      <c r="L219" s="47"/>
      <c r="M219" s="47"/>
      <c r="N219" s="47"/>
      <c r="O219" s="47"/>
      <c r="P219" s="47"/>
      <c r="Q219" s="374" t="e">
        <f t="shared" si="13"/>
        <v>#DIV/0!</v>
      </c>
      <c r="R219" s="375" t="e">
        <f t="shared" si="14"/>
        <v>#DIV/0!</v>
      </c>
      <c r="S219" s="376" t="e">
        <f t="shared" si="12"/>
        <v>#DIV/0!</v>
      </c>
      <c r="T219" s="105"/>
    </row>
    <row r="220" spans="1:20" s="120" customFormat="1" ht="32.1" customHeight="1" x14ac:dyDescent="0.2">
      <c r="A220" s="361" t="s">
        <v>212</v>
      </c>
      <c r="B220" s="406" t="s">
        <v>986</v>
      </c>
      <c r="C220" s="477" t="s">
        <v>987</v>
      </c>
      <c r="D220" s="364"/>
      <c r="E220" s="47"/>
      <c r="F220" s="47"/>
      <c r="G220" s="494"/>
      <c r="H220" s="47"/>
      <c r="I220" s="47"/>
      <c r="J220" s="47"/>
      <c r="K220" s="47"/>
      <c r="L220" s="47"/>
      <c r="M220" s="47"/>
      <c r="N220" s="47"/>
      <c r="O220" s="47"/>
      <c r="P220" s="47"/>
      <c r="Q220" s="374" t="e">
        <f t="shared" si="13"/>
        <v>#DIV/0!</v>
      </c>
      <c r="R220" s="375" t="e">
        <f t="shared" si="14"/>
        <v>#DIV/0!</v>
      </c>
      <c r="S220" s="376" t="e">
        <f t="shared" si="12"/>
        <v>#DIV/0!</v>
      </c>
      <c r="T220" s="121"/>
    </row>
    <row r="221" spans="1:20" s="120" customFormat="1" ht="32.1" customHeight="1" x14ac:dyDescent="0.2">
      <c r="A221" s="361" t="s">
        <v>212</v>
      </c>
      <c r="B221" s="406" t="s">
        <v>717</v>
      </c>
      <c r="C221" s="477" t="s">
        <v>988</v>
      </c>
      <c r="D221" s="364"/>
      <c r="E221" s="47"/>
      <c r="F221" s="47"/>
      <c r="G221" s="47"/>
      <c r="H221" s="47"/>
      <c r="I221" s="47"/>
      <c r="J221" s="47"/>
      <c r="K221" s="47"/>
      <c r="L221" s="47"/>
      <c r="M221" s="47"/>
      <c r="N221" s="47"/>
      <c r="O221" s="47"/>
      <c r="P221" s="47"/>
      <c r="Q221" s="374" t="e">
        <f t="shared" si="13"/>
        <v>#DIV/0!</v>
      </c>
      <c r="R221" s="375" t="e">
        <f t="shared" si="14"/>
        <v>#DIV/0!</v>
      </c>
      <c r="S221" s="376" t="e">
        <f t="shared" si="12"/>
        <v>#DIV/0!</v>
      </c>
      <c r="T221" s="121"/>
    </row>
    <row r="222" spans="1:20" s="120" customFormat="1" ht="32.1" customHeight="1" x14ac:dyDescent="0.2">
      <c r="A222" s="361" t="s">
        <v>212</v>
      </c>
      <c r="B222" s="406" t="s">
        <v>989</v>
      </c>
      <c r="C222" s="477" t="s">
        <v>990</v>
      </c>
      <c r="D222" s="364"/>
      <c r="E222" s="47"/>
      <c r="F222" s="47"/>
      <c r="G222" s="47"/>
      <c r="H222" s="47"/>
      <c r="I222" s="47"/>
      <c r="J222" s="47"/>
      <c r="K222" s="47"/>
      <c r="L222" s="47"/>
      <c r="M222" s="47"/>
      <c r="N222" s="47"/>
      <c r="O222" s="47"/>
      <c r="P222" s="47"/>
      <c r="Q222" s="374" t="e">
        <f t="shared" si="13"/>
        <v>#DIV/0!</v>
      </c>
      <c r="R222" s="375" t="e">
        <f t="shared" si="14"/>
        <v>#DIV/0!</v>
      </c>
      <c r="S222" s="376" t="e">
        <f t="shared" si="12"/>
        <v>#DIV/0!</v>
      </c>
      <c r="T222" s="121"/>
    </row>
    <row r="223" spans="1:20" s="120" customFormat="1" ht="32.1" customHeight="1" x14ac:dyDescent="0.2">
      <c r="A223" s="361" t="s">
        <v>212</v>
      </c>
      <c r="B223" s="406" t="s">
        <v>991</v>
      </c>
      <c r="C223" s="477" t="s">
        <v>992</v>
      </c>
      <c r="D223" s="364">
        <v>75</v>
      </c>
      <c r="E223" s="47"/>
      <c r="F223" s="47"/>
      <c r="G223" s="47">
        <v>100</v>
      </c>
      <c r="H223" s="47"/>
      <c r="I223" s="47"/>
      <c r="J223" s="47"/>
      <c r="K223" s="47"/>
      <c r="L223" s="47"/>
      <c r="M223" s="47"/>
      <c r="N223" s="47"/>
      <c r="O223" s="47"/>
      <c r="P223" s="47"/>
      <c r="Q223" s="374">
        <f t="shared" si="13"/>
        <v>100</v>
      </c>
      <c r="R223" s="375" t="str">
        <f t="shared" si="14"/>
        <v>NO</v>
      </c>
      <c r="S223" s="376" t="str">
        <f t="shared" si="12"/>
        <v>Inviable Sanitariamente</v>
      </c>
      <c r="T223" s="121"/>
    </row>
    <row r="224" spans="1:20" s="120" customFormat="1" ht="32.1" customHeight="1" x14ac:dyDescent="0.2">
      <c r="A224" s="361" t="s">
        <v>212</v>
      </c>
      <c r="B224" s="406" t="s">
        <v>993</v>
      </c>
      <c r="C224" s="477" t="s">
        <v>994</v>
      </c>
      <c r="D224" s="364">
        <v>79</v>
      </c>
      <c r="E224" s="47"/>
      <c r="F224" s="47"/>
      <c r="G224" s="47">
        <v>26.6</v>
      </c>
      <c r="H224" s="47"/>
      <c r="I224" s="47"/>
      <c r="J224" s="47"/>
      <c r="K224" s="47"/>
      <c r="L224" s="47"/>
      <c r="M224" s="47"/>
      <c r="N224" s="47"/>
      <c r="O224" s="47"/>
      <c r="P224" s="47"/>
      <c r="Q224" s="374">
        <f t="shared" si="13"/>
        <v>26.6</v>
      </c>
      <c r="R224" s="375" t="str">
        <f t="shared" si="14"/>
        <v>NO</v>
      </c>
      <c r="S224" s="376" t="str">
        <f t="shared" si="12"/>
        <v>Medio</v>
      </c>
      <c r="T224" s="121"/>
    </row>
    <row r="225" spans="1:20" s="120" customFormat="1" ht="32.1" customHeight="1" x14ac:dyDescent="0.2">
      <c r="A225" s="361" t="s">
        <v>212</v>
      </c>
      <c r="B225" s="406" t="s">
        <v>995</v>
      </c>
      <c r="C225" s="477" t="s">
        <v>996</v>
      </c>
      <c r="D225" s="364">
        <v>100</v>
      </c>
      <c r="E225" s="47"/>
      <c r="F225" s="47"/>
      <c r="G225" s="47">
        <v>26.6</v>
      </c>
      <c r="H225" s="47"/>
      <c r="I225" s="47"/>
      <c r="J225" s="47"/>
      <c r="K225" s="47"/>
      <c r="L225" s="47"/>
      <c r="M225" s="47"/>
      <c r="N225" s="47"/>
      <c r="O225" s="47"/>
      <c r="P225" s="47"/>
      <c r="Q225" s="374">
        <f t="shared" si="13"/>
        <v>26.6</v>
      </c>
      <c r="R225" s="375" t="str">
        <f t="shared" si="14"/>
        <v>NO</v>
      </c>
      <c r="S225" s="376" t="str">
        <f t="shared" si="12"/>
        <v>Medio</v>
      </c>
      <c r="T225" s="121"/>
    </row>
    <row r="226" spans="1:20" s="120" customFormat="1" ht="32.1" customHeight="1" x14ac:dyDescent="0.2">
      <c r="A226" s="361" t="s">
        <v>212</v>
      </c>
      <c r="B226" s="406" t="s">
        <v>997</v>
      </c>
      <c r="C226" s="477" t="s">
        <v>998</v>
      </c>
      <c r="D226" s="364"/>
      <c r="E226" s="47"/>
      <c r="F226" s="47"/>
      <c r="G226" s="47"/>
      <c r="H226" s="47"/>
      <c r="I226" s="47"/>
      <c r="J226" s="47"/>
      <c r="K226" s="47"/>
      <c r="L226" s="47"/>
      <c r="M226" s="47"/>
      <c r="N226" s="47"/>
      <c r="O226" s="47"/>
      <c r="P226" s="47"/>
      <c r="Q226" s="374" t="e">
        <f t="shared" si="13"/>
        <v>#DIV/0!</v>
      </c>
      <c r="R226" s="375" t="e">
        <f t="shared" si="14"/>
        <v>#DIV/0!</v>
      </c>
      <c r="S226" s="376" t="e">
        <f t="shared" si="12"/>
        <v>#DIV/0!</v>
      </c>
      <c r="T226" s="121"/>
    </row>
    <row r="227" spans="1:20" s="120" customFormat="1" ht="32.1" customHeight="1" x14ac:dyDescent="0.2">
      <c r="A227" s="361" t="s">
        <v>212</v>
      </c>
      <c r="B227" s="406" t="s">
        <v>999</v>
      </c>
      <c r="C227" s="477" t="s">
        <v>1000</v>
      </c>
      <c r="D227" s="364"/>
      <c r="E227" s="47"/>
      <c r="F227" s="47"/>
      <c r="G227" s="47"/>
      <c r="H227" s="47"/>
      <c r="I227" s="47"/>
      <c r="J227" s="47"/>
      <c r="K227" s="47"/>
      <c r="L227" s="47"/>
      <c r="M227" s="47"/>
      <c r="N227" s="47"/>
      <c r="O227" s="47"/>
      <c r="P227" s="47"/>
      <c r="Q227" s="374" t="e">
        <f t="shared" si="13"/>
        <v>#DIV/0!</v>
      </c>
      <c r="R227" s="375" t="e">
        <f t="shared" si="14"/>
        <v>#DIV/0!</v>
      </c>
      <c r="S227" s="376" t="e">
        <f t="shared" si="12"/>
        <v>#DIV/0!</v>
      </c>
      <c r="T227" s="121"/>
    </row>
    <row r="228" spans="1:20" s="120" customFormat="1" ht="32.1" customHeight="1" x14ac:dyDescent="0.2">
      <c r="A228" s="361" t="s">
        <v>212</v>
      </c>
      <c r="B228" s="406" t="s">
        <v>1001</v>
      </c>
      <c r="C228" s="477" t="s">
        <v>1002</v>
      </c>
      <c r="D228" s="364"/>
      <c r="E228" s="47"/>
      <c r="F228" s="47"/>
      <c r="G228" s="47"/>
      <c r="H228" s="47"/>
      <c r="I228" s="47"/>
      <c r="J228" s="47"/>
      <c r="K228" s="47"/>
      <c r="L228" s="47"/>
      <c r="M228" s="47"/>
      <c r="N228" s="47"/>
      <c r="O228" s="47"/>
      <c r="P228" s="47"/>
      <c r="Q228" s="374" t="e">
        <f t="shared" si="13"/>
        <v>#DIV/0!</v>
      </c>
      <c r="R228" s="375" t="e">
        <f t="shared" si="14"/>
        <v>#DIV/0!</v>
      </c>
      <c r="S228" s="376" t="e">
        <f t="shared" si="12"/>
        <v>#DIV/0!</v>
      </c>
      <c r="T228" s="121"/>
    </row>
    <row r="229" spans="1:20" s="120" customFormat="1" ht="32.1" customHeight="1" x14ac:dyDescent="0.2">
      <c r="A229" s="361" t="s">
        <v>212</v>
      </c>
      <c r="B229" s="406" t="s">
        <v>1003</v>
      </c>
      <c r="C229" s="477" t="s">
        <v>1004</v>
      </c>
      <c r="D229" s="364">
        <v>94</v>
      </c>
      <c r="E229" s="47"/>
      <c r="F229" s="47">
        <v>26.54</v>
      </c>
      <c r="G229" s="47"/>
      <c r="H229" s="47">
        <v>2.65</v>
      </c>
      <c r="I229" s="47"/>
      <c r="J229" s="47">
        <v>100</v>
      </c>
      <c r="K229" s="47"/>
      <c r="L229" s="47">
        <v>2.7</v>
      </c>
      <c r="M229" s="47"/>
      <c r="N229" s="47">
        <v>2.7</v>
      </c>
      <c r="O229" s="47"/>
      <c r="P229" s="47"/>
      <c r="Q229" s="374">
        <f t="shared" si="13"/>
        <v>26.917999999999996</v>
      </c>
      <c r="R229" s="375" t="str">
        <f t="shared" si="14"/>
        <v>NO</v>
      </c>
      <c r="S229" s="376" t="str">
        <f t="shared" si="12"/>
        <v>Medio</v>
      </c>
      <c r="T229" s="121"/>
    </row>
    <row r="230" spans="1:20" s="120" customFormat="1" ht="32.1" customHeight="1" x14ac:dyDescent="0.2">
      <c r="A230" s="361" t="s">
        <v>212</v>
      </c>
      <c r="B230" s="406" t="s">
        <v>1005</v>
      </c>
      <c r="C230" s="477" t="s">
        <v>1006</v>
      </c>
      <c r="D230" s="364">
        <v>80</v>
      </c>
      <c r="E230" s="47"/>
      <c r="F230" s="47"/>
      <c r="G230" s="47">
        <v>53.1</v>
      </c>
      <c r="H230" s="47"/>
      <c r="I230" s="47"/>
      <c r="J230" s="47"/>
      <c r="K230" s="47"/>
      <c r="L230" s="47"/>
      <c r="M230" s="47"/>
      <c r="N230" s="47"/>
      <c r="O230" s="47"/>
      <c r="P230" s="47"/>
      <c r="Q230" s="374">
        <f t="shared" si="13"/>
        <v>53.1</v>
      </c>
      <c r="R230" s="375" t="str">
        <f t="shared" si="14"/>
        <v>NO</v>
      </c>
      <c r="S230" s="376" t="str">
        <f t="shared" si="12"/>
        <v>Alto</v>
      </c>
      <c r="T230" s="121"/>
    </row>
    <row r="231" spans="1:20" s="120" customFormat="1" ht="32.1" customHeight="1" x14ac:dyDescent="0.2">
      <c r="A231" s="361" t="s">
        <v>212</v>
      </c>
      <c r="B231" s="406" t="s">
        <v>989</v>
      </c>
      <c r="C231" s="477" t="s">
        <v>1007</v>
      </c>
      <c r="D231" s="364">
        <v>79</v>
      </c>
      <c r="E231" s="47"/>
      <c r="F231" s="47"/>
      <c r="G231" s="47"/>
      <c r="H231" s="47"/>
      <c r="I231" s="47"/>
      <c r="J231" s="47"/>
      <c r="K231" s="47"/>
      <c r="L231" s="47"/>
      <c r="M231" s="47"/>
      <c r="N231" s="47"/>
      <c r="O231" s="47"/>
      <c r="P231" s="47"/>
      <c r="Q231" s="374" t="e">
        <f t="shared" si="13"/>
        <v>#DIV/0!</v>
      </c>
      <c r="R231" s="375" t="e">
        <f t="shared" si="14"/>
        <v>#DIV/0!</v>
      </c>
      <c r="S231" s="376" t="e">
        <f t="shared" si="12"/>
        <v>#DIV/0!</v>
      </c>
      <c r="T231" s="121"/>
    </row>
    <row r="232" spans="1:20" s="120" customFormat="1" ht="32.1" customHeight="1" x14ac:dyDescent="0.2">
      <c r="A232" s="361" t="s">
        <v>212</v>
      </c>
      <c r="B232" s="406" t="s">
        <v>576</v>
      </c>
      <c r="C232" s="477" t="s">
        <v>1008</v>
      </c>
      <c r="D232" s="364"/>
      <c r="E232" s="47"/>
      <c r="F232" s="47"/>
      <c r="G232" s="47"/>
      <c r="H232" s="47"/>
      <c r="I232" s="47"/>
      <c r="J232" s="47"/>
      <c r="K232" s="47"/>
      <c r="L232" s="47"/>
      <c r="M232" s="47"/>
      <c r="N232" s="47"/>
      <c r="O232" s="47"/>
      <c r="P232" s="47"/>
      <c r="Q232" s="374" t="e">
        <f t="shared" si="13"/>
        <v>#DIV/0!</v>
      </c>
      <c r="R232" s="375" t="e">
        <f t="shared" si="14"/>
        <v>#DIV/0!</v>
      </c>
      <c r="S232" s="376" t="e">
        <f t="shared" si="12"/>
        <v>#DIV/0!</v>
      </c>
      <c r="T232" s="121"/>
    </row>
    <row r="233" spans="1:20" s="120" customFormat="1" ht="32.1" customHeight="1" x14ac:dyDescent="0.2">
      <c r="A233" s="361" t="s">
        <v>212</v>
      </c>
      <c r="B233" s="406" t="s">
        <v>1009</v>
      </c>
      <c r="C233" s="477" t="s">
        <v>1010</v>
      </c>
      <c r="D233" s="364"/>
      <c r="E233" s="47"/>
      <c r="F233" s="47"/>
      <c r="G233" s="47"/>
      <c r="H233" s="47"/>
      <c r="I233" s="47"/>
      <c r="J233" s="47"/>
      <c r="K233" s="47"/>
      <c r="L233" s="47"/>
      <c r="M233" s="47"/>
      <c r="N233" s="47"/>
      <c r="O233" s="47"/>
      <c r="P233" s="47"/>
      <c r="Q233" s="374" t="e">
        <f t="shared" si="13"/>
        <v>#DIV/0!</v>
      </c>
      <c r="R233" s="375" t="e">
        <f t="shared" si="14"/>
        <v>#DIV/0!</v>
      </c>
      <c r="S233" s="376" t="e">
        <f t="shared" si="12"/>
        <v>#DIV/0!</v>
      </c>
      <c r="T233" s="121"/>
    </row>
    <row r="234" spans="1:20" s="120" customFormat="1" ht="32.1" customHeight="1" x14ac:dyDescent="0.2">
      <c r="A234" s="361" t="s">
        <v>212</v>
      </c>
      <c r="B234" s="406" t="s">
        <v>1011</v>
      </c>
      <c r="C234" s="477" t="s">
        <v>1012</v>
      </c>
      <c r="D234" s="364">
        <v>18</v>
      </c>
      <c r="E234" s="47"/>
      <c r="F234" s="47"/>
      <c r="G234" s="47">
        <v>100</v>
      </c>
      <c r="H234" s="47"/>
      <c r="I234" s="47"/>
      <c r="J234" s="47"/>
      <c r="K234" s="47"/>
      <c r="L234" s="47"/>
      <c r="M234" s="47"/>
      <c r="N234" s="47"/>
      <c r="O234" s="47"/>
      <c r="P234" s="47"/>
      <c r="Q234" s="374">
        <f t="shared" si="13"/>
        <v>100</v>
      </c>
      <c r="R234" s="375" t="str">
        <f t="shared" si="14"/>
        <v>NO</v>
      </c>
      <c r="S234" s="376" t="str">
        <f t="shared" si="12"/>
        <v>Inviable Sanitariamente</v>
      </c>
      <c r="T234" s="121"/>
    </row>
    <row r="235" spans="1:20" s="120" customFormat="1" ht="32.1" customHeight="1" x14ac:dyDescent="0.2">
      <c r="A235" s="361" t="s">
        <v>212</v>
      </c>
      <c r="B235" s="406" t="s">
        <v>1013</v>
      </c>
      <c r="C235" s="477" t="s">
        <v>1014</v>
      </c>
      <c r="D235" s="364">
        <v>125</v>
      </c>
      <c r="E235" s="47"/>
      <c r="F235" s="47">
        <v>0</v>
      </c>
      <c r="G235" s="47"/>
      <c r="H235" s="47">
        <v>0</v>
      </c>
      <c r="I235" s="47"/>
      <c r="J235" s="47">
        <v>0</v>
      </c>
      <c r="K235" s="47"/>
      <c r="L235" s="47">
        <v>0</v>
      </c>
      <c r="M235" s="47"/>
      <c r="N235" s="47">
        <v>0</v>
      </c>
      <c r="O235" s="47"/>
      <c r="P235" s="47"/>
      <c r="Q235" s="374">
        <f t="shared" si="13"/>
        <v>0</v>
      </c>
      <c r="R235" s="375" t="str">
        <f t="shared" si="14"/>
        <v>SI</v>
      </c>
      <c r="S235" s="376" t="str">
        <f t="shared" si="12"/>
        <v>Sin Riesgo</v>
      </c>
      <c r="T235" s="121"/>
    </row>
    <row r="236" spans="1:20" s="120" customFormat="1" ht="32.1" customHeight="1" x14ac:dyDescent="0.2">
      <c r="A236" s="361" t="s">
        <v>212</v>
      </c>
      <c r="B236" s="406" t="s">
        <v>1015</v>
      </c>
      <c r="C236" s="477" t="s">
        <v>1016</v>
      </c>
      <c r="D236" s="364">
        <v>100</v>
      </c>
      <c r="E236" s="47"/>
      <c r="F236" s="47"/>
      <c r="G236" s="47">
        <v>100</v>
      </c>
      <c r="H236" s="47"/>
      <c r="I236" s="47"/>
      <c r="J236" s="47"/>
      <c r="K236" s="47"/>
      <c r="L236" s="47"/>
      <c r="M236" s="47"/>
      <c r="N236" s="47"/>
      <c r="O236" s="47"/>
      <c r="P236" s="47"/>
      <c r="Q236" s="374">
        <f t="shared" si="13"/>
        <v>100</v>
      </c>
      <c r="R236" s="375" t="str">
        <f t="shared" si="14"/>
        <v>NO</v>
      </c>
      <c r="S236" s="376" t="str">
        <f t="shared" si="12"/>
        <v>Inviable Sanitariamente</v>
      </c>
      <c r="T236" s="121"/>
    </row>
    <row r="237" spans="1:20" s="120" customFormat="1" ht="32.1" customHeight="1" x14ac:dyDescent="0.2">
      <c r="A237" s="361" t="s">
        <v>212</v>
      </c>
      <c r="B237" s="406" t="s">
        <v>707</v>
      </c>
      <c r="C237" s="477" t="s">
        <v>1017</v>
      </c>
      <c r="D237" s="364">
        <v>65</v>
      </c>
      <c r="E237" s="47"/>
      <c r="F237" s="47"/>
      <c r="G237" s="47"/>
      <c r="H237" s="47"/>
      <c r="I237" s="47"/>
      <c r="J237" s="47"/>
      <c r="K237" s="47"/>
      <c r="L237" s="47"/>
      <c r="M237" s="47">
        <v>100</v>
      </c>
      <c r="N237" s="47"/>
      <c r="O237" s="47"/>
      <c r="P237" s="47"/>
      <c r="Q237" s="374">
        <f t="shared" si="13"/>
        <v>100</v>
      </c>
      <c r="R237" s="375" t="str">
        <f t="shared" si="14"/>
        <v>NO</v>
      </c>
      <c r="S237" s="376" t="str">
        <f t="shared" si="12"/>
        <v>Inviable Sanitariamente</v>
      </c>
      <c r="T237" s="121"/>
    </row>
    <row r="238" spans="1:20" s="120" customFormat="1" ht="32.1" customHeight="1" x14ac:dyDescent="0.2">
      <c r="A238" s="361" t="s">
        <v>212</v>
      </c>
      <c r="B238" s="406" t="s">
        <v>3</v>
      </c>
      <c r="C238" s="477" t="s">
        <v>1018</v>
      </c>
      <c r="D238" s="364">
        <v>36</v>
      </c>
      <c r="E238" s="47"/>
      <c r="F238" s="47"/>
      <c r="G238" s="47">
        <v>100</v>
      </c>
      <c r="H238" s="47"/>
      <c r="I238" s="47"/>
      <c r="J238" s="47"/>
      <c r="K238" s="47"/>
      <c r="L238" s="47"/>
      <c r="M238" s="47"/>
      <c r="N238" s="47"/>
      <c r="O238" s="47"/>
      <c r="P238" s="47"/>
      <c r="Q238" s="374">
        <f t="shared" si="13"/>
        <v>100</v>
      </c>
      <c r="R238" s="375" t="str">
        <f t="shared" si="14"/>
        <v>NO</v>
      </c>
      <c r="S238" s="376" t="str">
        <f t="shared" si="12"/>
        <v>Inviable Sanitariamente</v>
      </c>
      <c r="T238" s="121"/>
    </row>
    <row r="239" spans="1:20" s="120" customFormat="1" ht="32.1" customHeight="1" x14ac:dyDescent="0.2">
      <c r="A239" s="361" t="s">
        <v>212</v>
      </c>
      <c r="B239" s="406" t="s">
        <v>1019</v>
      </c>
      <c r="C239" s="477" t="s">
        <v>1020</v>
      </c>
      <c r="D239" s="364">
        <v>100</v>
      </c>
      <c r="E239" s="47"/>
      <c r="F239" s="47"/>
      <c r="G239" s="47"/>
      <c r="H239" s="47"/>
      <c r="I239" s="47"/>
      <c r="J239" s="47"/>
      <c r="K239" s="47"/>
      <c r="L239" s="47"/>
      <c r="M239" s="47">
        <v>0</v>
      </c>
      <c r="N239" s="47"/>
      <c r="O239" s="47"/>
      <c r="P239" s="47"/>
      <c r="Q239" s="374">
        <f t="shared" si="13"/>
        <v>0</v>
      </c>
      <c r="R239" s="375" t="str">
        <f t="shared" si="14"/>
        <v>SI</v>
      </c>
      <c r="S239" s="376" t="str">
        <f t="shared" si="12"/>
        <v>Sin Riesgo</v>
      </c>
      <c r="T239" s="121"/>
    </row>
    <row r="240" spans="1:20" s="120" customFormat="1" ht="32.1" customHeight="1" x14ac:dyDescent="0.2">
      <c r="A240" s="361" t="s">
        <v>212</v>
      </c>
      <c r="B240" s="406" t="s">
        <v>1021</v>
      </c>
      <c r="C240" s="477" t="s">
        <v>1022</v>
      </c>
      <c r="D240" s="364"/>
      <c r="E240" s="47"/>
      <c r="F240" s="47"/>
      <c r="G240" s="47"/>
      <c r="H240" s="47"/>
      <c r="I240" s="47"/>
      <c r="J240" s="47"/>
      <c r="K240" s="47"/>
      <c r="L240" s="47"/>
      <c r="M240" s="47"/>
      <c r="N240" s="47"/>
      <c r="O240" s="47"/>
      <c r="P240" s="47"/>
      <c r="Q240" s="374" t="e">
        <f t="shared" si="13"/>
        <v>#DIV/0!</v>
      </c>
      <c r="R240" s="501" t="e">
        <f t="shared" si="14"/>
        <v>#DIV/0!</v>
      </c>
      <c r="S240" s="376" t="e">
        <f t="shared" si="12"/>
        <v>#DIV/0!</v>
      </c>
      <c r="T240" s="121"/>
    </row>
    <row r="241" spans="1:20" s="120" customFormat="1" ht="32.1" customHeight="1" x14ac:dyDescent="0.2">
      <c r="A241" s="361" t="s">
        <v>213</v>
      </c>
      <c r="B241" s="406" t="s">
        <v>810</v>
      </c>
      <c r="C241" s="477" t="s">
        <v>1023</v>
      </c>
      <c r="D241" s="364">
        <v>30</v>
      </c>
      <c r="E241" s="47"/>
      <c r="F241" s="47"/>
      <c r="G241" s="47"/>
      <c r="H241" s="47"/>
      <c r="I241" s="47"/>
      <c r="J241" s="47">
        <v>97.3</v>
      </c>
      <c r="K241" s="47"/>
      <c r="L241" s="47"/>
      <c r="M241" s="47"/>
      <c r="N241" s="47"/>
      <c r="O241" s="47"/>
      <c r="P241" s="47"/>
      <c r="Q241" s="374">
        <f t="shared" si="13"/>
        <v>97.3</v>
      </c>
      <c r="R241" s="375" t="str">
        <f t="shared" si="14"/>
        <v>NO</v>
      </c>
      <c r="S241" s="376" t="str">
        <f t="shared" si="12"/>
        <v>Inviable Sanitariamente</v>
      </c>
      <c r="T241" s="121"/>
    </row>
    <row r="242" spans="1:20" s="120" customFormat="1" ht="32.1" customHeight="1" x14ac:dyDescent="0.2">
      <c r="A242" s="361" t="s">
        <v>213</v>
      </c>
      <c r="B242" s="406" t="s">
        <v>63</v>
      </c>
      <c r="C242" s="477" t="s">
        <v>1024</v>
      </c>
      <c r="D242" s="364"/>
      <c r="E242" s="47"/>
      <c r="F242" s="47"/>
      <c r="G242" s="47"/>
      <c r="H242" s="47"/>
      <c r="I242" s="47"/>
      <c r="J242" s="47"/>
      <c r="K242" s="47"/>
      <c r="L242" s="47"/>
      <c r="M242" s="47"/>
      <c r="N242" s="47"/>
      <c r="O242" s="47"/>
      <c r="P242" s="47"/>
      <c r="Q242" s="374" t="e">
        <f t="shared" si="13"/>
        <v>#DIV/0!</v>
      </c>
      <c r="R242" s="375" t="e">
        <f t="shared" si="14"/>
        <v>#DIV/0!</v>
      </c>
      <c r="S242" s="376" t="e">
        <f t="shared" si="12"/>
        <v>#DIV/0!</v>
      </c>
      <c r="T242" s="121"/>
    </row>
    <row r="243" spans="1:20" s="120" customFormat="1" ht="32.1" customHeight="1" x14ac:dyDescent="0.2">
      <c r="A243" s="361" t="s">
        <v>213</v>
      </c>
      <c r="B243" s="406" t="s">
        <v>1025</v>
      </c>
      <c r="C243" s="477" t="s">
        <v>1026</v>
      </c>
      <c r="D243" s="364">
        <v>20</v>
      </c>
      <c r="E243" s="47"/>
      <c r="F243" s="47">
        <v>97.3</v>
      </c>
      <c r="G243" s="47"/>
      <c r="H243" s="47"/>
      <c r="I243" s="47"/>
      <c r="J243" s="47"/>
      <c r="K243" s="47"/>
      <c r="L243" s="47"/>
      <c r="M243" s="47"/>
      <c r="N243" s="47"/>
      <c r="O243" s="47"/>
      <c r="P243" s="47"/>
      <c r="Q243" s="374">
        <f t="shared" si="13"/>
        <v>97.3</v>
      </c>
      <c r="R243" s="375" t="str">
        <f t="shared" si="14"/>
        <v>NO</v>
      </c>
      <c r="S243" s="376" t="str">
        <f t="shared" si="12"/>
        <v>Inviable Sanitariamente</v>
      </c>
      <c r="T243" s="121"/>
    </row>
    <row r="244" spans="1:20" s="120" customFormat="1" ht="32.1" customHeight="1" x14ac:dyDescent="0.2">
      <c r="A244" s="361" t="s">
        <v>213</v>
      </c>
      <c r="B244" s="406" t="s">
        <v>4474</v>
      </c>
      <c r="C244" s="477" t="s">
        <v>4475</v>
      </c>
      <c r="D244" s="364">
        <v>25</v>
      </c>
      <c r="E244" s="47"/>
      <c r="F244" s="47">
        <v>97.3</v>
      </c>
      <c r="G244" s="47"/>
      <c r="H244" s="47"/>
      <c r="I244" s="47"/>
      <c r="J244" s="47"/>
      <c r="K244" s="47"/>
      <c r="L244" s="47"/>
      <c r="M244" s="47"/>
      <c r="N244" s="47"/>
      <c r="O244" s="47"/>
      <c r="P244" s="47"/>
      <c r="Q244" s="374">
        <f t="shared" ref="Q244" si="15">AVERAGE(E244:P244)</f>
        <v>97.3</v>
      </c>
      <c r="R244" s="375" t="str">
        <f t="shared" ref="R244" si="16">IF(Q244&lt;5,"SI","NO")</f>
        <v>NO</v>
      </c>
      <c r="S244" s="376" t="str">
        <f t="shared" ref="S244" si="17">IF(Q244&lt;5,"Sin Riesgo",IF(Q244 &lt;=14,"Bajo",IF(Q244&lt;=35,"Medio",IF(Q244&lt;=80,"Alto","Inviable Sanitariamente"))))</f>
        <v>Inviable Sanitariamente</v>
      </c>
      <c r="T244" s="298"/>
    </row>
    <row r="245" spans="1:20" s="120" customFormat="1" ht="32.1" customHeight="1" x14ac:dyDescent="0.2">
      <c r="A245" s="361" t="s">
        <v>213</v>
      </c>
      <c r="B245" s="406" t="s">
        <v>47</v>
      </c>
      <c r="C245" s="477" t="s">
        <v>1027</v>
      </c>
      <c r="D245" s="364">
        <v>60</v>
      </c>
      <c r="E245" s="47"/>
      <c r="F245" s="47">
        <v>97.3</v>
      </c>
      <c r="G245" s="47"/>
      <c r="H245" s="47"/>
      <c r="I245" s="47"/>
      <c r="J245" s="47"/>
      <c r="K245" s="47"/>
      <c r="L245" s="47"/>
      <c r="M245" s="47"/>
      <c r="N245" s="47"/>
      <c r="O245" s="47"/>
      <c r="P245" s="47"/>
      <c r="Q245" s="374">
        <f t="shared" si="13"/>
        <v>97.3</v>
      </c>
      <c r="R245" s="375" t="str">
        <f t="shared" si="14"/>
        <v>NO</v>
      </c>
      <c r="S245" s="376" t="str">
        <f t="shared" si="12"/>
        <v>Inviable Sanitariamente</v>
      </c>
      <c r="T245" s="121"/>
    </row>
    <row r="246" spans="1:20" s="120" customFormat="1" ht="32.1" customHeight="1" x14ac:dyDescent="0.2">
      <c r="A246" s="361" t="s">
        <v>213</v>
      </c>
      <c r="B246" s="406" t="s">
        <v>1028</v>
      </c>
      <c r="C246" s="477" t="s">
        <v>1029</v>
      </c>
      <c r="D246" s="364"/>
      <c r="E246" s="47"/>
      <c r="F246" s="47"/>
      <c r="G246" s="47"/>
      <c r="H246" s="47"/>
      <c r="I246" s="47"/>
      <c r="J246" s="47"/>
      <c r="K246" s="47"/>
      <c r="L246" s="47"/>
      <c r="M246" s="47"/>
      <c r="N246" s="47"/>
      <c r="O246" s="47"/>
      <c r="P246" s="47"/>
      <c r="Q246" s="374" t="e">
        <f t="shared" si="13"/>
        <v>#DIV/0!</v>
      </c>
      <c r="R246" s="375" t="e">
        <f t="shared" si="14"/>
        <v>#DIV/0!</v>
      </c>
      <c r="S246" s="376" t="e">
        <f t="shared" si="12"/>
        <v>#DIV/0!</v>
      </c>
      <c r="T246" s="121"/>
    </row>
    <row r="247" spans="1:20" s="120" customFormat="1" ht="32.1" customHeight="1" x14ac:dyDescent="0.2">
      <c r="A247" s="361" t="s">
        <v>213</v>
      </c>
      <c r="B247" s="406" t="s">
        <v>748</v>
      </c>
      <c r="C247" s="477" t="s">
        <v>1030</v>
      </c>
      <c r="D247" s="364">
        <v>99</v>
      </c>
      <c r="E247" s="47"/>
      <c r="F247" s="47"/>
      <c r="G247" s="47"/>
      <c r="H247" s="47"/>
      <c r="I247" s="47"/>
      <c r="J247" s="47">
        <v>97.3</v>
      </c>
      <c r="K247" s="47"/>
      <c r="L247" s="47"/>
      <c r="M247" s="47"/>
      <c r="N247" s="47"/>
      <c r="O247" s="47"/>
      <c r="P247" s="47"/>
      <c r="Q247" s="374">
        <f t="shared" si="13"/>
        <v>97.3</v>
      </c>
      <c r="R247" s="375" t="str">
        <f t="shared" si="14"/>
        <v>NO</v>
      </c>
      <c r="S247" s="376" t="str">
        <f t="shared" si="12"/>
        <v>Inviable Sanitariamente</v>
      </c>
      <c r="T247" s="121"/>
    </row>
    <row r="248" spans="1:20" s="120" customFormat="1" ht="32.1" customHeight="1" x14ac:dyDescent="0.2">
      <c r="A248" s="361" t="s">
        <v>213</v>
      </c>
      <c r="B248" s="406" t="s">
        <v>10</v>
      </c>
      <c r="C248" s="477" t="s">
        <v>1031</v>
      </c>
      <c r="D248" s="364"/>
      <c r="E248" s="47"/>
      <c r="F248" s="47"/>
      <c r="G248" s="47"/>
      <c r="H248" s="47"/>
      <c r="I248" s="47"/>
      <c r="J248" s="47"/>
      <c r="K248" s="47"/>
      <c r="L248" s="47"/>
      <c r="M248" s="47"/>
      <c r="N248" s="47"/>
      <c r="O248" s="47"/>
      <c r="P248" s="47"/>
      <c r="Q248" s="374" t="e">
        <f t="shared" si="13"/>
        <v>#DIV/0!</v>
      </c>
      <c r="R248" s="375" t="e">
        <f t="shared" si="14"/>
        <v>#DIV/0!</v>
      </c>
      <c r="S248" s="376" t="e">
        <f t="shared" si="12"/>
        <v>#DIV/0!</v>
      </c>
      <c r="T248" s="121"/>
    </row>
    <row r="249" spans="1:20" s="120" customFormat="1" ht="32.1" customHeight="1" x14ac:dyDescent="0.2">
      <c r="A249" s="361" t="s">
        <v>213</v>
      </c>
      <c r="B249" s="406" t="s">
        <v>1032</v>
      </c>
      <c r="C249" s="477" t="s">
        <v>1033</v>
      </c>
      <c r="D249" s="364">
        <v>30</v>
      </c>
      <c r="E249" s="47"/>
      <c r="F249" s="47"/>
      <c r="G249" s="47"/>
      <c r="H249" s="47"/>
      <c r="I249" s="47"/>
      <c r="J249" s="47">
        <v>97.3</v>
      </c>
      <c r="K249" s="47"/>
      <c r="L249" s="47"/>
      <c r="M249" s="47"/>
      <c r="N249" s="47"/>
      <c r="O249" s="47"/>
      <c r="P249" s="47"/>
      <c r="Q249" s="374">
        <f t="shared" si="13"/>
        <v>97.3</v>
      </c>
      <c r="R249" s="375" t="str">
        <f t="shared" si="14"/>
        <v>NO</v>
      </c>
      <c r="S249" s="376" t="str">
        <f t="shared" si="12"/>
        <v>Inviable Sanitariamente</v>
      </c>
      <c r="T249" s="121"/>
    </row>
    <row r="250" spans="1:20" s="120" customFormat="1" ht="32.1" customHeight="1" x14ac:dyDescent="0.2">
      <c r="A250" s="361" t="s">
        <v>213</v>
      </c>
      <c r="B250" s="406" t="s">
        <v>59</v>
      </c>
      <c r="C250" s="477" t="s">
        <v>1034</v>
      </c>
      <c r="D250" s="364">
        <v>23</v>
      </c>
      <c r="E250" s="47"/>
      <c r="F250" s="47"/>
      <c r="G250" s="47"/>
      <c r="H250" s="47"/>
      <c r="I250" s="47"/>
      <c r="J250" s="47"/>
      <c r="K250" s="47">
        <v>97.3</v>
      </c>
      <c r="L250" s="47"/>
      <c r="M250" s="47"/>
      <c r="N250" s="47"/>
      <c r="O250" s="47"/>
      <c r="P250" s="47"/>
      <c r="Q250" s="374">
        <f t="shared" si="13"/>
        <v>97.3</v>
      </c>
      <c r="R250" s="375" t="str">
        <f t="shared" si="14"/>
        <v>NO</v>
      </c>
      <c r="S250" s="376" t="str">
        <f t="shared" si="12"/>
        <v>Inviable Sanitariamente</v>
      </c>
      <c r="T250" s="121"/>
    </row>
    <row r="251" spans="1:20" s="120" customFormat="1" ht="32.1" customHeight="1" x14ac:dyDescent="0.2">
      <c r="A251" s="361" t="s">
        <v>213</v>
      </c>
      <c r="B251" s="406" t="s">
        <v>58</v>
      </c>
      <c r="C251" s="477" t="s">
        <v>1035</v>
      </c>
      <c r="D251" s="364">
        <v>27</v>
      </c>
      <c r="E251" s="47"/>
      <c r="F251" s="47"/>
      <c r="G251" s="47"/>
      <c r="H251" s="47"/>
      <c r="I251" s="47"/>
      <c r="J251" s="47">
        <v>97.3</v>
      </c>
      <c r="K251" s="47"/>
      <c r="L251" s="47"/>
      <c r="M251" s="47"/>
      <c r="N251" s="47"/>
      <c r="O251" s="47"/>
      <c r="P251" s="47"/>
      <c r="Q251" s="374">
        <f t="shared" si="13"/>
        <v>97.3</v>
      </c>
      <c r="R251" s="375" t="str">
        <f t="shared" si="14"/>
        <v>NO</v>
      </c>
      <c r="S251" s="376" t="str">
        <f t="shared" si="12"/>
        <v>Inviable Sanitariamente</v>
      </c>
      <c r="T251" s="121"/>
    </row>
    <row r="252" spans="1:20" s="120" customFormat="1" ht="32.1" customHeight="1" x14ac:dyDescent="0.2">
      <c r="A252" s="361" t="s">
        <v>213</v>
      </c>
      <c r="B252" s="406" t="s">
        <v>1036</v>
      </c>
      <c r="C252" s="477" t="s">
        <v>1037</v>
      </c>
      <c r="D252" s="364">
        <v>20</v>
      </c>
      <c r="E252" s="47"/>
      <c r="F252" s="47"/>
      <c r="G252" s="47"/>
      <c r="H252" s="47"/>
      <c r="I252" s="47"/>
      <c r="J252" s="47">
        <v>97.3</v>
      </c>
      <c r="K252" s="47"/>
      <c r="L252" s="47"/>
      <c r="M252" s="47"/>
      <c r="N252" s="47"/>
      <c r="O252" s="47"/>
      <c r="P252" s="47"/>
      <c r="Q252" s="374">
        <f t="shared" si="13"/>
        <v>97.3</v>
      </c>
      <c r="R252" s="375" t="str">
        <f t="shared" si="14"/>
        <v>NO</v>
      </c>
      <c r="S252" s="376" t="str">
        <f t="shared" si="12"/>
        <v>Inviable Sanitariamente</v>
      </c>
      <c r="T252" s="121"/>
    </row>
    <row r="253" spans="1:20" s="120" customFormat="1" ht="32.1" customHeight="1" x14ac:dyDescent="0.2">
      <c r="A253" s="361" t="s">
        <v>213</v>
      </c>
      <c r="B253" s="406" t="s">
        <v>1038</v>
      </c>
      <c r="C253" s="477" t="s">
        <v>1039</v>
      </c>
      <c r="D253" s="364"/>
      <c r="E253" s="47"/>
      <c r="F253" s="47"/>
      <c r="G253" s="47"/>
      <c r="H253" s="47"/>
      <c r="I253" s="47"/>
      <c r="J253" s="47"/>
      <c r="K253" s="47"/>
      <c r="L253" s="47"/>
      <c r="M253" s="47"/>
      <c r="N253" s="47"/>
      <c r="O253" s="47"/>
      <c r="P253" s="47"/>
      <c r="Q253" s="374" t="e">
        <f t="shared" si="13"/>
        <v>#DIV/0!</v>
      </c>
      <c r="R253" s="375" t="e">
        <f t="shared" si="14"/>
        <v>#DIV/0!</v>
      </c>
      <c r="S253" s="376" t="e">
        <f t="shared" si="12"/>
        <v>#DIV/0!</v>
      </c>
      <c r="T253" s="121"/>
    </row>
    <row r="254" spans="1:20" s="120" customFormat="1" ht="32.1" customHeight="1" x14ac:dyDescent="0.2">
      <c r="A254" s="361" t="s">
        <v>213</v>
      </c>
      <c r="B254" s="406" t="s">
        <v>1040</v>
      </c>
      <c r="C254" s="477" t="s">
        <v>1041</v>
      </c>
      <c r="D254" s="364">
        <v>23</v>
      </c>
      <c r="E254" s="47"/>
      <c r="F254" s="47"/>
      <c r="G254" s="47"/>
      <c r="H254" s="47"/>
      <c r="I254" s="47"/>
      <c r="J254" s="47"/>
      <c r="K254" s="47"/>
      <c r="L254" s="411"/>
      <c r="M254" s="47"/>
      <c r="N254" s="47"/>
      <c r="O254" s="47"/>
      <c r="P254" s="47"/>
      <c r="Q254" s="374">
        <v>97.4</v>
      </c>
      <c r="R254" s="375" t="s">
        <v>1042</v>
      </c>
      <c r="S254" s="376" t="str">
        <f t="shared" si="12"/>
        <v>Inviable Sanitariamente</v>
      </c>
      <c r="T254" s="121"/>
    </row>
    <row r="255" spans="1:20" s="120" customFormat="1" ht="32.1" customHeight="1" x14ac:dyDescent="0.2">
      <c r="A255" s="361" t="s">
        <v>213</v>
      </c>
      <c r="B255" s="406" t="s">
        <v>1043</v>
      </c>
      <c r="C255" s="477" t="s">
        <v>1044</v>
      </c>
      <c r="D255" s="364"/>
      <c r="E255" s="47"/>
      <c r="F255" s="47"/>
      <c r="G255" s="47"/>
      <c r="H255" s="47"/>
      <c r="I255" s="47"/>
      <c r="J255" s="47"/>
      <c r="K255" s="47"/>
      <c r="L255" s="47"/>
      <c r="M255" s="47"/>
      <c r="N255" s="47"/>
      <c r="O255" s="47"/>
      <c r="P255" s="47"/>
      <c r="Q255" s="374" t="e">
        <f t="shared" ref="Q255:Q267" si="18">AVERAGE(E255:P255)</f>
        <v>#DIV/0!</v>
      </c>
      <c r="R255" s="375" t="e">
        <f t="shared" ref="R255:R320" si="19">IF(Q255&lt;5,"SI","NO")</f>
        <v>#DIV/0!</v>
      </c>
      <c r="S255" s="376" t="e">
        <f t="shared" si="12"/>
        <v>#DIV/0!</v>
      </c>
      <c r="T255" s="121"/>
    </row>
    <row r="256" spans="1:20" s="120" customFormat="1" ht="32.1" customHeight="1" x14ac:dyDescent="0.2">
      <c r="A256" s="361" t="s">
        <v>213</v>
      </c>
      <c r="B256" s="406" t="s">
        <v>1045</v>
      </c>
      <c r="C256" s="477" t="s">
        <v>1046</v>
      </c>
      <c r="D256" s="364"/>
      <c r="E256" s="47"/>
      <c r="F256" s="47"/>
      <c r="G256" s="47"/>
      <c r="H256" s="47"/>
      <c r="I256" s="47"/>
      <c r="J256" s="47"/>
      <c r="K256" s="47"/>
      <c r="L256" s="47"/>
      <c r="M256" s="47"/>
      <c r="N256" s="47"/>
      <c r="O256" s="47"/>
      <c r="P256" s="47"/>
      <c r="Q256" s="374" t="e">
        <f t="shared" si="18"/>
        <v>#DIV/0!</v>
      </c>
      <c r="R256" s="375" t="e">
        <f t="shared" si="19"/>
        <v>#DIV/0!</v>
      </c>
      <c r="S256" s="376" t="e">
        <f t="shared" si="12"/>
        <v>#DIV/0!</v>
      </c>
      <c r="T256" s="121"/>
    </row>
    <row r="257" spans="1:20" s="120" customFormat="1" ht="32.1" customHeight="1" x14ac:dyDescent="0.2">
      <c r="A257" s="361" t="s">
        <v>213</v>
      </c>
      <c r="B257" s="406" t="s">
        <v>1047</v>
      </c>
      <c r="C257" s="477" t="s">
        <v>1048</v>
      </c>
      <c r="D257" s="377">
        <v>162</v>
      </c>
      <c r="E257" s="47"/>
      <c r="F257" s="47"/>
      <c r="G257" s="47">
        <v>97.3</v>
      </c>
      <c r="H257" s="47"/>
      <c r="I257" s="47"/>
      <c r="J257" s="47">
        <v>53.1</v>
      </c>
      <c r="K257" s="47"/>
      <c r="L257" s="47"/>
      <c r="M257" s="47">
        <v>53.1</v>
      </c>
      <c r="N257" s="47"/>
      <c r="O257" s="47">
        <v>53.1</v>
      </c>
      <c r="P257" s="47"/>
      <c r="Q257" s="374">
        <f t="shared" si="18"/>
        <v>64.150000000000006</v>
      </c>
      <c r="R257" s="375" t="str">
        <f t="shared" si="19"/>
        <v>NO</v>
      </c>
      <c r="S257" s="376" t="str">
        <f t="shared" si="12"/>
        <v>Alto</v>
      </c>
      <c r="T257" s="121"/>
    </row>
    <row r="258" spans="1:20" s="120" customFormat="1" ht="32.1" customHeight="1" x14ac:dyDescent="0.2">
      <c r="A258" s="361" t="s">
        <v>213</v>
      </c>
      <c r="B258" s="406" t="s">
        <v>5</v>
      </c>
      <c r="C258" s="477" t="s">
        <v>1049</v>
      </c>
      <c r="D258" s="364">
        <v>162</v>
      </c>
      <c r="E258" s="47"/>
      <c r="F258" s="47"/>
      <c r="G258" s="502">
        <v>97.3</v>
      </c>
      <c r="H258" s="47"/>
      <c r="I258" s="47"/>
      <c r="J258" s="47">
        <v>53.1</v>
      </c>
      <c r="K258" s="47"/>
      <c r="L258" s="47"/>
      <c r="M258" s="47">
        <v>53.1</v>
      </c>
      <c r="N258" s="47"/>
      <c r="O258" s="47">
        <v>53.1</v>
      </c>
      <c r="P258" s="47"/>
      <c r="Q258" s="374">
        <f t="shared" si="18"/>
        <v>64.150000000000006</v>
      </c>
      <c r="R258" s="375" t="str">
        <f t="shared" si="19"/>
        <v>NO</v>
      </c>
      <c r="S258" s="376" t="str">
        <f t="shared" si="12"/>
        <v>Alto</v>
      </c>
      <c r="T258" s="121"/>
    </row>
    <row r="259" spans="1:20" s="120" customFormat="1" ht="32.1" customHeight="1" x14ac:dyDescent="0.2">
      <c r="A259" s="361" t="s">
        <v>213</v>
      </c>
      <c r="B259" s="406" t="s">
        <v>1050</v>
      </c>
      <c r="C259" s="477" t="s">
        <v>1051</v>
      </c>
      <c r="D259" s="364"/>
      <c r="E259" s="47"/>
      <c r="F259" s="47"/>
      <c r="G259" s="47"/>
      <c r="H259" s="47"/>
      <c r="I259" s="47"/>
      <c r="J259" s="47"/>
      <c r="K259" s="47"/>
      <c r="L259" s="47"/>
      <c r="M259" s="47"/>
      <c r="N259" s="47"/>
      <c r="O259" s="47"/>
      <c r="P259" s="47"/>
      <c r="Q259" s="374" t="e">
        <f t="shared" si="18"/>
        <v>#DIV/0!</v>
      </c>
      <c r="R259" s="375" t="e">
        <f t="shared" si="19"/>
        <v>#DIV/0!</v>
      </c>
      <c r="S259" s="376" t="e">
        <f t="shared" si="12"/>
        <v>#DIV/0!</v>
      </c>
      <c r="T259" s="121"/>
    </row>
    <row r="260" spans="1:20" s="120" customFormat="1" ht="32.1" customHeight="1" x14ac:dyDescent="0.2">
      <c r="A260" s="361" t="s">
        <v>213</v>
      </c>
      <c r="B260" s="406" t="s">
        <v>459</v>
      </c>
      <c r="C260" s="477" t="s">
        <v>1052</v>
      </c>
      <c r="D260" s="364">
        <v>162</v>
      </c>
      <c r="E260" s="47"/>
      <c r="F260" s="47"/>
      <c r="G260" s="47">
        <v>97.3</v>
      </c>
      <c r="H260" s="47"/>
      <c r="I260" s="47"/>
      <c r="J260" s="47">
        <v>53.1</v>
      </c>
      <c r="K260" s="47"/>
      <c r="L260" s="47"/>
      <c r="M260" s="47">
        <v>53.1</v>
      </c>
      <c r="N260" s="47"/>
      <c r="O260" s="47">
        <v>53.1</v>
      </c>
      <c r="P260" s="47"/>
      <c r="Q260" s="374">
        <f t="shared" si="18"/>
        <v>64.150000000000006</v>
      </c>
      <c r="R260" s="375" t="str">
        <f t="shared" si="19"/>
        <v>NO</v>
      </c>
      <c r="S260" s="376" t="str">
        <f t="shared" si="12"/>
        <v>Alto</v>
      </c>
      <c r="T260" s="121"/>
    </row>
    <row r="261" spans="1:20" s="120" customFormat="1" ht="32.1" customHeight="1" x14ac:dyDescent="0.2">
      <c r="A261" s="361" t="s">
        <v>213</v>
      </c>
      <c r="B261" s="406" t="s">
        <v>1053</v>
      </c>
      <c r="C261" s="477" t="s">
        <v>1054</v>
      </c>
      <c r="D261" s="364"/>
      <c r="E261" s="47"/>
      <c r="F261" s="47"/>
      <c r="G261" s="47"/>
      <c r="H261" s="47"/>
      <c r="I261" s="47"/>
      <c r="J261" s="47"/>
      <c r="K261" s="47"/>
      <c r="L261" s="47"/>
      <c r="M261" s="47"/>
      <c r="N261" s="47"/>
      <c r="O261" s="47"/>
      <c r="P261" s="47"/>
      <c r="Q261" s="374" t="e">
        <f t="shared" si="18"/>
        <v>#DIV/0!</v>
      </c>
      <c r="R261" s="375" t="e">
        <f t="shared" si="19"/>
        <v>#DIV/0!</v>
      </c>
      <c r="S261" s="376" t="e">
        <f t="shared" si="12"/>
        <v>#DIV/0!</v>
      </c>
      <c r="T261" s="121"/>
    </row>
    <row r="262" spans="1:20" s="120" customFormat="1" ht="32.1" customHeight="1" x14ac:dyDescent="0.2">
      <c r="A262" s="361" t="s">
        <v>213</v>
      </c>
      <c r="B262" s="361" t="s">
        <v>1055</v>
      </c>
      <c r="C262" s="392" t="s">
        <v>1056</v>
      </c>
      <c r="D262" s="364">
        <v>26</v>
      </c>
      <c r="E262" s="47"/>
      <c r="F262" s="47"/>
      <c r="G262" s="47">
        <v>97.3</v>
      </c>
      <c r="H262" s="47"/>
      <c r="I262" s="47"/>
      <c r="J262" s="47"/>
      <c r="K262" s="47"/>
      <c r="L262" s="47"/>
      <c r="M262" s="47"/>
      <c r="N262" s="47"/>
      <c r="O262" s="47"/>
      <c r="P262" s="47"/>
      <c r="Q262" s="374">
        <f t="shared" si="18"/>
        <v>97.3</v>
      </c>
      <c r="R262" s="375" t="str">
        <f t="shared" si="19"/>
        <v>NO</v>
      </c>
      <c r="S262" s="376" t="str">
        <f t="shared" si="12"/>
        <v>Inviable Sanitariamente</v>
      </c>
      <c r="T262" s="121"/>
    </row>
    <row r="263" spans="1:20" s="120" customFormat="1" ht="32.1" customHeight="1" x14ac:dyDescent="0.2">
      <c r="A263" s="361" t="s">
        <v>213</v>
      </c>
      <c r="B263" s="361" t="s">
        <v>0</v>
      </c>
      <c r="C263" s="392" t="s">
        <v>1057</v>
      </c>
      <c r="D263" s="364"/>
      <c r="E263" s="47"/>
      <c r="F263" s="47"/>
      <c r="G263" s="47"/>
      <c r="H263" s="47"/>
      <c r="I263" s="47"/>
      <c r="J263" s="47"/>
      <c r="K263" s="47"/>
      <c r="L263" s="47"/>
      <c r="M263" s="47"/>
      <c r="N263" s="47"/>
      <c r="O263" s="47"/>
      <c r="P263" s="47"/>
      <c r="Q263" s="374" t="e">
        <f t="shared" si="18"/>
        <v>#DIV/0!</v>
      </c>
      <c r="R263" s="375" t="e">
        <f t="shared" si="19"/>
        <v>#DIV/0!</v>
      </c>
      <c r="S263" s="376" t="e">
        <f t="shared" si="12"/>
        <v>#DIV/0!</v>
      </c>
      <c r="T263" s="121"/>
    </row>
    <row r="264" spans="1:20" s="120" customFormat="1" ht="32.1" customHeight="1" x14ac:dyDescent="0.2">
      <c r="A264" s="361" t="s">
        <v>213</v>
      </c>
      <c r="B264" s="361" t="s">
        <v>1058</v>
      </c>
      <c r="C264" s="392" t="s">
        <v>1059</v>
      </c>
      <c r="D264" s="364"/>
      <c r="E264" s="47"/>
      <c r="F264" s="47"/>
      <c r="G264" s="47"/>
      <c r="H264" s="47"/>
      <c r="I264" s="47"/>
      <c r="J264" s="47"/>
      <c r="K264" s="47"/>
      <c r="L264" s="47"/>
      <c r="M264" s="47"/>
      <c r="N264" s="47"/>
      <c r="O264" s="47"/>
      <c r="P264" s="47"/>
      <c r="Q264" s="374" t="e">
        <f t="shared" si="18"/>
        <v>#DIV/0!</v>
      </c>
      <c r="R264" s="375" t="e">
        <f t="shared" si="19"/>
        <v>#DIV/0!</v>
      </c>
      <c r="S264" s="376" t="e">
        <f t="shared" si="12"/>
        <v>#DIV/0!</v>
      </c>
      <c r="T264" s="121"/>
    </row>
    <row r="265" spans="1:20" s="120" customFormat="1" ht="32.1" customHeight="1" x14ac:dyDescent="0.2">
      <c r="A265" s="361" t="s">
        <v>213</v>
      </c>
      <c r="B265" s="361" t="s">
        <v>604</v>
      </c>
      <c r="C265" s="392" t="s">
        <v>4476</v>
      </c>
      <c r="D265" s="364">
        <v>40</v>
      </c>
      <c r="E265" s="47"/>
      <c r="F265" s="47"/>
      <c r="G265" s="47"/>
      <c r="H265" s="47"/>
      <c r="I265" s="47"/>
      <c r="J265" s="47">
        <v>97.3</v>
      </c>
      <c r="K265" s="47"/>
      <c r="L265" s="47"/>
      <c r="M265" s="47"/>
      <c r="N265" s="47"/>
      <c r="O265" s="47"/>
      <c r="P265" s="47"/>
      <c r="Q265" s="374">
        <f>AVERAGE(E265:P265)</f>
        <v>97.3</v>
      </c>
      <c r="R265" s="375" t="str">
        <f t="shared" si="19"/>
        <v>NO</v>
      </c>
      <c r="S265" s="376" t="str">
        <f t="shared" si="12"/>
        <v>Inviable Sanitariamente</v>
      </c>
      <c r="T265" s="298"/>
    </row>
    <row r="266" spans="1:20" s="120" customFormat="1" ht="32.1" customHeight="1" x14ac:dyDescent="0.2">
      <c r="A266" s="361" t="s">
        <v>214</v>
      </c>
      <c r="B266" s="406" t="s">
        <v>1060</v>
      </c>
      <c r="C266" s="477" t="s">
        <v>1061</v>
      </c>
      <c r="D266" s="393">
        <v>224</v>
      </c>
      <c r="E266" s="46"/>
      <c r="F266" s="46"/>
      <c r="G266" s="46"/>
      <c r="H266" s="46">
        <v>0</v>
      </c>
      <c r="I266" s="46"/>
      <c r="J266" s="46"/>
      <c r="K266" s="47"/>
      <c r="L266" s="47"/>
      <c r="M266" s="47">
        <v>6.98</v>
      </c>
      <c r="N266" s="47">
        <v>0</v>
      </c>
      <c r="O266" s="47">
        <v>0</v>
      </c>
      <c r="P266" s="47">
        <v>0</v>
      </c>
      <c r="Q266" s="374">
        <f t="shared" si="18"/>
        <v>1.3960000000000001</v>
      </c>
      <c r="R266" s="375" t="str">
        <f t="shared" si="19"/>
        <v>SI</v>
      </c>
      <c r="S266" s="376" t="str">
        <f t="shared" si="12"/>
        <v>Sin Riesgo</v>
      </c>
      <c r="T266" s="121"/>
    </row>
    <row r="267" spans="1:20" s="120" customFormat="1" ht="32.1" customHeight="1" x14ac:dyDescent="0.2">
      <c r="A267" s="361" t="s">
        <v>214</v>
      </c>
      <c r="B267" s="406" t="s">
        <v>643</v>
      </c>
      <c r="C267" s="477" t="s">
        <v>1062</v>
      </c>
      <c r="D267" s="393">
        <v>122</v>
      </c>
      <c r="E267" s="46"/>
      <c r="F267" s="46"/>
      <c r="G267" s="46"/>
      <c r="H267" s="46"/>
      <c r="I267" s="46"/>
      <c r="J267" s="46"/>
      <c r="K267" s="47"/>
      <c r="L267" s="47"/>
      <c r="M267" s="47"/>
      <c r="N267" s="47">
        <v>0</v>
      </c>
      <c r="O267" s="47">
        <v>0</v>
      </c>
      <c r="P267" s="47">
        <v>0</v>
      </c>
      <c r="Q267" s="374">
        <f t="shared" si="18"/>
        <v>0</v>
      </c>
      <c r="R267" s="375" t="str">
        <f t="shared" si="19"/>
        <v>SI</v>
      </c>
      <c r="S267" s="376" t="str">
        <f t="shared" ref="S267:S331" si="20">IF(Q267&lt;5,"Sin Riesgo",IF(Q267 &lt;=14,"Bajo",IF(Q267&lt;=35,"Medio",IF(Q267&lt;=80,"Alto","Inviable Sanitariamente"))))</f>
        <v>Sin Riesgo</v>
      </c>
      <c r="T267" s="121"/>
    </row>
    <row r="268" spans="1:20" s="120" customFormat="1" ht="32.1" customHeight="1" x14ac:dyDescent="0.2">
      <c r="A268" s="361" t="s">
        <v>214</v>
      </c>
      <c r="B268" s="406" t="s">
        <v>1063</v>
      </c>
      <c r="C268" s="477" t="s">
        <v>1064</v>
      </c>
      <c r="D268" s="393">
        <v>64</v>
      </c>
      <c r="E268" s="494"/>
      <c r="F268" s="494">
        <v>0</v>
      </c>
      <c r="G268" s="46"/>
      <c r="H268" s="46"/>
      <c r="I268" s="46"/>
      <c r="J268" s="46">
        <v>1.94</v>
      </c>
      <c r="K268" s="47"/>
      <c r="L268" s="47"/>
      <c r="M268" s="47"/>
      <c r="N268" s="47">
        <v>1.94</v>
      </c>
      <c r="O268" s="47">
        <v>0</v>
      </c>
      <c r="P268" s="47">
        <v>0</v>
      </c>
      <c r="Q268" s="374">
        <f>AVERAGE(G268:P268)</f>
        <v>0.97</v>
      </c>
      <c r="R268" s="375" t="str">
        <f t="shared" si="19"/>
        <v>SI</v>
      </c>
      <c r="S268" s="376" t="str">
        <f t="shared" si="20"/>
        <v>Sin Riesgo</v>
      </c>
      <c r="T268" s="121"/>
    </row>
    <row r="269" spans="1:20" s="120" customFormat="1" ht="32.1" customHeight="1" x14ac:dyDescent="0.2">
      <c r="A269" s="361" t="s">
        <v>214</v>
      </c>
      <c r="B269" s="406" t="s">
        <v>533</v>
      </c>
      <c r="C269" s="477" t="s">
        <v>1065</v>
      </c>
      <c r="D269" s="393">
        <v>484</v>
      </c>
      <c r="E269" s="46">
        <v>0</v>
      </c>
      <c r="F269" s="494"/>
      <c r="G269" s="46">
        <v>19.350000000000001</v>
      </c>
      <c r="H269" s="46"/>
      <c r="I269" s="46">
        <v>0</v>
      </c>
      <c r="J269" s="46"/>
      <c r="K269" s="47">
        <v>0</v>
      </c>
      <c r="L269" s="47"/>
      <c r="M269" s="47"/>
      <c r="N269" s="47">
        <v>0</v>
      </c>
      <c r="O269" s="47">
        <v>0</v>
      </c>
      <c r="P269" s="47">
        <v>0</v>
      </c>
      <c r="Q269" s="374">
        <f>AVERAGE(G269:P269)</f>
        <v>3.2250000000000001</v>
      </c>
      <c r="R269" s="375" t="str">
        <f t="shared" si="19"/>
        <v>SI</v>
      </c>
      <c r="S269" s="376" t="str">
        <f t="shared" si="20"/>
        <v>Sin Riesgo</v>
      </c>
      <c r="T269" s="121"/>
    </row>
    <row r="270" spans="1:20" s="120" customFormat="1" ht="32.1" customHeight="1" x14ac:dyDescent="0.2">
      <c r="A270" s="361" t="s">
        <v>214</v>
      </c>
      <c r="B270" s="406" t="s">
        <v>1066</v>
      </c>
      <c r="C270" s="477" t="s">
        <v>1067</v>
      </c>
      <c r="D270" s="393"/>
      <c r="E270" s="494"/>
      <c r="F270" s="494"/>
      <c r="G270" s="46"/>
      <c r="H270" s="46"/>
      <c r="I270" s="46"/>
      <c r="J270" s="46"/>
      <c r="K270" s="47"/>
      <c r="L270" s="47"/>
      <c r="M270" s="47"/>
      <c r="N270" s="47"/>
      <c r="O270" s="47"/>
      <c r="P270" s="47"/>
      <c r="Q270" s="374" t="e">
        <f>AVERAGE(G270:P270)</f>
        <v>#DIV/0!</v>
      </c>
      <c r="R270" s="375" t="e">
        <f t="shared" si="19"/>
        <v>#DIV/0!</v>
      </c>
      <c r="S270" s="376" t="e">
        <f t="shared" si="20"/>
        <v>#DIV/0!</v>
      </c>
      <c r="T270" s="121"/>
    </row>
    <row r="271" spans="1:20" s="120" customFormat="1" ht="32.1" customHeight="1" x14ac:dyDescent="0.2">
      <c r="A271" s="361" t="s">
        <v>214</v>
      </c>
      <c r="B271" s="406" t="s">
        <v>1068</v>
      </c>
      <c r="C271" s="477" t="s">
        <v>1069</v>
      </c>
      <c r="D271" s="393"/>
      <c r="E271" s="494"/>
      <c r="F271" s="494"/>
      <c r="G271" s="46"/>
      <c r="H271" s="46"/>
      <c r="I271" s="46"/>
      <c r="J271" s="46"/>
      <c r="K271" s="47"/>
      <c r="L271" s="47"/>
      <c r="M271" s="47"/>
      <c r="N271" s="47"/>
      <c r="O271" s="47"/>
      <c r="P271" s="47"/>
      <c r="Q271" s="374" t="e">
        <f>AVERAGE(G271:P271)</f>
        <v>#DIV/0!</v>
      </c>
      <c r="R271" s="375" t="e">
        <f t="shared" si="19"/>
        <v>#DIV/0!</v>
      </c>
      <c r="S271" s="376" t="e">
        <f t="shared" si="20"/>
        <v>#DIV/0!</v>
      </c>
      <c r="T271" s="121"/>
    </row>
    <row r="272" spans="1:20" s="120" customFormat="1" ht="32.1" customHeight="1" x14ac:dyDescent="0.2">
      <c r="A272" s="361" t="s">
        <v>214</v>
      </c>
      <c r="B272" s="406" t="s">
        <v>1070</v>
      </c>
      <c r="C272" s="477" t="s">
        <v>1071</v>
      </c>
      <c r="D272" s="393"/>
      <c r="E272" s="494"/>
      <c r="F272" s="494"/>
      <c r="G272" s="46"/>
      <c r="H272" s="46"/>
      <c r="I272" s="46"/>
      <c r="J272" s="46"/>
      <c r="K272" s="47"/>
      <c r="L272" s="47"/>
      <c r="M272" s="47"/>
      <c r="N272" s="47"/>
      <c r="O272" s="47"/>
      <c r="P272" s="47"/>
      <c r="Q272" s="374" t="e">
        <f>AVERAGE(G272:P272)</f>
        <v>#DIV/0!</v>
      </c>
      <c r="R272" s="375" t="e">
        <f t="shared" si="19"/>
        <v>#DIV/0!</v>
      </c>
      <c r="S272" s="376" t="e">
        <f t="shared" si="20"/>
        <v>#DIV/0!</v>
      </c>
      <c r="T272" s="121"/>
    </row>
    <row r="273" spans="1:20" s="120" customFormat="1" ht="32.1" customHeight="1" x14ac:dyDescent="0.2">
      <c r="A273" s="361" t="s">
        <v>214</v>
      </c>
      <c r="B273" s="406" t="s">
        <v>1072</v>
      </c>
      <c r="C273" s="477" t="s">
        <v>1073</v>
      </c>
      <c r="D273" s="393">
        <v>99</v>
      </c>
      <c r="E273" s="47"/>
      <c r="F273" s="47"/>
      <c r="G273" s="46"/>
      <c r="H273" s="46"/>
      <c r="I273" s="46"/>
      <c r="J273" s="46"/>
      <c r="K273" s="47">
        <v>0</v>
      </c>
      <c r="L273" s="47"/>
      <c r="M273" s="47"/>
      <c r="N273" s="47"/>
      <c r="O273" s="47"/>
      <c r="P273" s="47"/>
      <c r="Q273" s="374">
        <f t="shared" ref="Q273:Q337" si="21">AVERAGE(E273:P273)</f>
        <v>0</v>
      </c>
      <c r="R273" s="375" t="str">
        <f t="shared" si="19"/>
        <v>SI</v>
      </c>
      <c r="S273" s="376" t="str">
        <f t="shared" si="20"/>
        <v>Sin Riesgo</v>
      </c>
      <c r="T273" s="121"/>
    </row>
    <row r="274" spans="1:20" s="120" customFormat="1" ht="32.1" customHeight="1" x14ac:dyDescent="0.2">
      <c r="A274" s="361" t="s">
        <v>214</v>
      </c>
      <c r="B274" s="406" t="s">
        <v>1074</v>
      </c>
      <c r="C274" s="477" t="s">
        <v>1075</v>
      </c>
      <c r="D274" s="393">
        <v>1230</v>
      </c>
      <c r="E274" s="46"/>
      <c r="F274" s="46"/>
      <c r="G274" s="46"/>
      <c r="H274" s="46"/>
      <c r="I274" s="46"/>
      <c r="J274" s="46"/>
      <c r="K274" s="47"/>
      <c r="L274" s="47"/>
      <c r="M274" s="47"/>
      <c r="N274" s="47">
        <v>0</v>
      </c>
      <c r="O274" s="47"/>
      <c r="P274" s="47"/>
      <c r="Q274" s="374">
        <f t="shared" si="21"/>
        <v>0</v>
      </c>
      <c r="R274" s="375" t="str">
        <f t="shared" si="19"/>
        <v>SI</v>
      </c>
      <c r="S274" s="376" t="str">
        <f t="shared" si="20"/>
        <v>Sin Riesgo</v>
      </c>
      <c r="T274" s="121"/>
    </row>
    <row r="275" spans="1:20" s="120" customFormat="1" ht="32.1" customHeight="1" x14ac:dyDescent="0.2">
      <c r="A275" s="361" t="s">
        <v>214</v>
      </c>
      <c r="B275" s="406" t="s">
        <v>1076</v>
      </c>
      <c r="C275" s="477" t="s">
        <v>1077</v>
      </c>
      <c r="D275" s="393">
        <v>156</v>
      </c>
      <c r="E275" s="47"/>
      <c r="F275" s="47"/>
      <c r="G275" s="46"/>
      <c r="H275" s="46"/>
      <c r="I275" s="46"/>
      <c r="J275" s="46"/>
      <c r="K275" s="47"/>
      <c r="L275" s="47"/>
      <c r="M275" s="47"/>
      <c r="N275" s="47"/>
      <c r="O275" s="47">
        <v>0</v>
      </c>
      <c r="P275" s="47"/>
      <c r="Q275" s="374">
        <f t="shared" si="21"/>
        <v>0</v>
      </c>
      <c r="R275" s="375" t="str">
        <f t="shared" si="19"/>
        <v>SI</v>
      </c>
      <c r="S275" s="376" t="str">
        <f t="shared" si="20"/>
        <v>Sin Riesgo</v>
      </c>
      <c r="T275" s="121"/>
    </row>
    <row r="276" spans="1:20" s="120" customFormat="1" ht="32.1" customHeight="1" x14ac:dyDescent="0.2">
      <c r="A276" s="361" t="s">
        <v>214</v>
      </c>
      <c r="B276" s="406" t="s">
        <v>1072</v>
      </c>
      <c r="C276" s="477" t="s">
        <v>1078</v>
      </c>
      <c r="D276" s="393">
        <v>165</v>
      </c>
      <c r="E276" s="47"/>
      <c r="F276" s="47"/>
      <c r="G276" s="46"/>
      <c r="H276" s="46"/>
      <c r="I276" s="46"/>
      <c r="J276" s="46"/>
      <c r="K276" s="47"/>
      <c r="L276" s="47"/>
      <c r="M276" s="47"/>
      <c r="N276" s="47">
        <v>0</v>
      </c>
      <c r="O276" s="47">
        <v>0</v>
      </c>
      <c r="P276" s="47">
        <v>0</v>
      </c>
      <c r="Q276" s="374">
        <f t="shared" si="21"/>
        <v>0</v>
      </c>
      <c r="R276" s="375" t="str">
        <f t="shared" si="19"/>
        <v>SI</v>
      </c>
      <c r="S276" s="376" t="str">
        <f t="shared" si="20"/>
        <v>Sin Riesgo</v>
      </c>
      <c r="T276" s="121"/>
    </row>
    <row r="277" spans="1:20" s="120" customFormat="1" ht="32.1" customHeight="1" x14ac:dyDescent="0.2">
      <c r="A277" s="361" t="s">
        <v>214</v>
      </c>
      <c r="B277" s="406" t="s">
        <v>1079</v>
      </c>
      <c r="C277" s="477" t="s">
        <v>1080</v>
      </c>
      <c r="D277" s="393">
        <v>407</v>
      </c>
      <c r="E277" s="46"/>
      <c r="F277" s="46"/>
      <c r="G277" s="46"/>
      <c r="H277" s="46"/>
      <c r="I277" s="46"/>
      <c r="J277" s="46"/>
      <c r="K277" s="47"/>
      <c r="L277" s="47"/>
      <c r="M277" s="47"/>
      <c r="N277" s="47"/>
      <c r="O277" s="47">
        <v>0</v>
      </c>
      <c r="P277" s="47"/>
      <c r="Q277" s="374">
        <f t="shared" si="21"/>
        <v>0</v>
      </c>
      <c r="R277" s="375" t="str">
        <f t="shared" si="19"/>
        <v>SI</v>
      </c>
      <c r="S277" s="376" t="str">
        <f t="shared" si="20"/>
        <v>Sin Riesgo</v>
      </c>
      <c r="T277" s="121"/>
    </row>
    <row r="278" spans="1:20" s="120" customFormat="1" ht="32.1" customHeight="1" x14ac:dyDescent="0.2">
      <c r="A278" s="361" t="s">
        <v>214</v>
      </c>
      <c r="B278" s="406" t="s">
        <v>20</v>
      </c>
      <c r="C278" s="477" t="s">
        <v>1081</v>
      </c>
      <c r="D278" s="393">
        <v>176</v>
      </c>
      <c r="E278" s="46"/>
      <c r="F278" s="46"/>
      <c r="G278" s="46"/>
      <c r="H278" s="46"/>
      <c r="I278" s="46"/>
      <c r="J278" s="46"/>
      <c r="K278" s="47"/>
      <c r="L278" s="47"/>
      <c r="M278" s="47"/>
      <c r="N278" s="47">
        <v>19.350000000000001</v>
      </c>
      <c r="O278" s="47">
        <v>0</v>
      </c>
      <c r="P278" s="47">
        <v>9.6750000000000007</v>
      </c>
      <c r="Q278" s="374">
        <f t="shared" si="21"/>
        <v>9.6750000000000007</v>
      </c>
      <c r="R278" s="375" t="str">
        <f t="shared" si="19"/>
        <v>NO</v>
      </c>
      <c r="S278" s="376" t="str">
        <f>IF(Q278&lt;5,"Sin Riesgo",IF(Q278 &lt;=14,"Bajo",IF(Q278&lt;=35,"Medio",IF(Q278&lt;=80,"Alto","Inviable Sanitariamente"))))</f>
        <v>Bajo</v>
      </c>
      <c r="T278" s="121"/>
    </row>
    <row r="279" spans="1:20" s="120" customFormat="1" ht="32.1" customHeight="1" x14ac:dyDescent="0.2">
      <c r="A279" s="361" t="s">
        <v>214</v>
      </c>
      <c r="B279" s="406" t="s">
        <v>1431</v>
      </c>
      <c r="C279" s="477" t="s">
        <v>4477</v>
      </c>
      <c r="D279" s="393">
        <v>104</v>
      </c>
      <c r="E279" s="46"/>
      <c r="F279" s="46"/>
      <c r="G279" s="46"/>
      <c r="H279" s="46"/>
      <c r="I279" s="46"/>
      <c r="J279" s="46"/>
      <c r="K279" s="47"/>
      <c r="L279" s="47"/>
      <c r="M279" s="47"/>
      <c r="N279" s="47">
        <v>19.350000000000001</v>
      </c>
      <c r="O279" s="47"/>
      <c r="P279" s="47"/>
      <c r="Q279" s="374">
        <f t="shared" si="21"/>
        <v>19.350000000000001</v>
      </c>
      <c r="R279" s="375" t="str">
        <f t="shared" si="19"/>
        <v>NO</v>
      </c>
      <c r="S279" s="376" t="str">
        <f>IF(Q279&lt;5,"Sin Riesgo",IF(Q279 &lt;=14,"Bajo",IF(Q279&lt;=35,"Medio",IF(Q279&lt;=80,"Alto","Inviable Sanitariamente"))))</f>
        <v>Medio</v>
      </c>
      <c r="T279" s="298"/>
    </row>
    <row r="280" spans="1:20" s="120" customFormat="1" ht="32.1" customHeight="1" x14ac:dyDescent="0.2">
      <c r="A280" s="361" t="s">
        <v>214</v>
      </c>
      <c r="B280" s="406" t="s">
        <v>643</v>
      </c>
      <c r="C280" s="477" t="s">
        <v>1082</v>
      </c>
      <c r="D280" s="393"/>
      <c r="E280" s="46"/>
      <c r="F280" s="46"/>
      <c r="G280" s="46"/>
      <c r="H280" s="46"/>
      <c r="I280" s="46"/>
      <c r="J280" s="46"/>
      <c r="K280" s="47"/>
      <c r="L280" s="47"/>
      <c r="M280" s="47"/>
      <c r="N280" s="47"/>
      <c r="O280" s="47"/>
      <c r="P280" s="47"/>
      <c r="Q280" s="374" t="e">
        <f t="shared" si="21"/>
        <v>#DIV/0!</v>
      </c>
      <c r="R280" s="375" t="e">
        <f t="shared" si="19"/>
        <v>#DIV/0!</v>
      </c>
      <c r="S280" s="376" t="e">
        <f t="shared" si="20"/>
        <v>#DIV/0!</v>
      </c>
      <c r="T280" s="121"/>
    </row>
    <row r="281" spans="1:20" s="120" customFormat="1" ht="32.1" customHeight="1" x14ac:dyDescent="0.2">
      <c r="A281" s="361" t="s">
        <v>214</v>
      </c>
      <c r="B281" s="406" t="s">
        <v>1083</v>
      </c>
      <c r="C281" s="477" t="s">
        <v>1084</v>
      </c>
      <c r="D281" s="393">
        <v>160</v>
      </c>
      <c r="E281" s="46"/>
      <c r="F281" s="46"/>
      <c r="G281" s="46"/>
      <c r="H281" s="46"/>
      <c r="I281" s="46"/>
      <c r="J281" s="46">
        <v>0</v>
      </c>
      <c r="K281" s="47"/>
      <c r="L281" s="47"/>
      <c r="M281" s="47"/>
      <c r="N281" s="47">
        <v>0</v>
      </c>
      <c r="O281" s="47"/>
      <c r="P281" s="47"/>
      <c r="Q281" s="374">
        <f t="shared" si="21"/>
        <v>0</v>
      </c>
      <c r="R281" s="375" t="str">
        <f t="shared" si="19"/>
        <v>SI</v>
      </c>
      <c r="S281" s="376" t="str">
        <f t="shared" si="20"/>
        <v>Sin Riesgo</v>
      </c>
      <c r="T281" s="121"/>
    </row>
    <row r="282" spans="1:20" s="120" customFormat="1" ht="32.1" customHeight="1" x14ac:dyDescent="0.2">
      <c r="A282" s="361" t="s">
        <v>214</v>
      </c>
      <c r="B282" s="406" t="s">
        <v>1085</v>
      </c>
      <c r="C282" s="477" t="s">
        <v>1086</v>
      </c>
      <c r="D282" s="393">
        <v>158</v>
      </c>
      <c r="E282" s="46"/>
      <c r="F282" s="46"/>
      <c r="G282" s="46"/>
      <c r="H282" s="46"/>
      <c r="I282" s="46"/>
      <c r="J282" s="46"/>
      <c r="K282" s="47"/>
      <c r="L282" s="47"/>
      <c r="M282" s="47"/>
      <c r="N282" s="47">
        <v>19.350000000000001</v>
      </c>
      <c r="O282" s="47">
        <v>9.6750000000000007</v>
      </c>
      <c r="P282" s="47">
        <v>0</v>
      </c>
      <c r="Q282" s="374">
        <f t="shared" si="21"/>
        <v>9.6750000000000007</v>
      </c>
      <c r="R282" s="375" t="str">
        <f t="shared" si="19"/>
        <v>NO</v>
      </c>
      <c r="S282" s="376" t="str">
        <f t="shared" si="20"/>
        <v>Bajo</v>
      </c>
      <c r="T282" s="121"/>
    </row>
    <row r="283" spans="1:20" s="120" customFormat="1" ht="32.1" customHeight="1" x14ac:dyDescent="0.2">
      <c r="A283" s="361" t="s">
        <v>214</v>
      </c>
      <c r="B283" s="406" t="s">
        <v>1087</v>
      </c>
      <c r="C283" s="477" t="s">
        <v>1088</v>
      </c>
      <c r="D283" s="393"/>
      <c r="E283" s="46"/>
      <c r="F283" s="46"/>
      <c r="G283" s="46"/>
      <c r="H283" s="46"/>
      <c r="I283" s="46"/>
      <c r="J283" s="46"/>
      <c r="K283" s="47"/>
      <c r="L283" s="47"/>
      <c r="M283" s="47"/>
      <c r="N283" s="47"/>
      <c r="O283" s="47"/>
      <c r="P283" s="47"/>
      <c r="Q283" s="374" t="e">
        <f t="shared" si="21"/>
        <v>#DIV/0!</v>
      </c>
      <c r="R283" s="375" t="e">
        <f t="shared" si="19"/>
        <v>#DIV/0!</v>
      </c>
      <c r="S283" s="376" t="e">
        <f t="shared" si="20"/>
        <v>#DIV/0!</v>
      </c>
      <c r="T283" s="121"/>
    </row>
    <row r="284" spans="1:20" s="120" customFormat="1" ht="32.1" customHeight="1" x14ac:dyDescent="0.2">
      <c r="A284" s="361" t="s">
        <v>214</v>
      </c>
      <c r="B284" s="406" t="s">
        <v>533</v>
      </c>
      <c r="C284" s="477" t="s">
        <v>1089</v>
      </c>
      <c r="D284" s="393">
        <v>82</v>
      </c>
      <c r="E284" s="46"/>
      <c r="F284" s="46"/>
      <c r="G284" s="46"/>
      <c r="H284" s="46"/>
      <c r="I284" s="46"/>
      <c r="J284" s="46"/>
      <c r="K284" s="47"/>
      <c r="L284" s="47"/>
      <c r="M284" s="47"/>
      <c r="N284" s="47"/>
      <c r="O284" s="47"/>
      <c r="P284" s="47">
        <v>19.350000000000001</v>
      </c>
      <c r="Q284" s="374">
        <f t="shared" si="21"/>
        <v>19.350000000000001</v>
      </c>
      <c r="R284" s="375" t="str">
        <f t="shared" si="19"/>
        <v>NO</v>
      </c>
      <c r="S284" s="376" t="str">
        <f t="shared" si="20"/>
        <v>Medio</v>
      </c>
      <c r="T284" s="121"/>
    </row>
    <row r="285" spans="1:20" s="120" customFormat="1" ht="32.1" customHeight="1" x14ac:dyDescent="0.2">
      <c r="A285" s="361" t="s">
        <v>214</v>
      </c>
      <c r="B285" s="406" t="s">
        <v>1090</v>
      </c>
      <c r="C285" s="477" t="s">
        <v>1091</v>
      </c>
      <c r="D285" s="393">
        <v>358</v>
      </c>
      <c r="E285" s="46"/>
      <c r="F285" s="46"/>
      <c r="G285" s="46"/>
      <c r="H285" s="46"/>
      <c r="I285" s="46"/>
      <c r="J285" s="46"/>
      <c r="K285" s="47"/>
      <c r="L285" s="47"/>
      <c r="M285" s="47"/>
      <c r="N285" s="47"/>
      <c r="O285" s="47">
        <v>19.350000000000001</v>
      </c>
      <c r="P285" s="47">
        <v>0</v>
      </c>
      <c r="Q285" s="374">
        <f t="shared" si="21"/>
        <v>9.6750000000000007</v>
      </c>
      <c r="R285" s="375" t="str">
        <f t="shared" si="19"/>
        <v>NO</v>
      </c>
      <c r="S285" s="376" t="str">
        <f t="shared" si="20"/>
        <v>Bajo</v>
      </c>
      <c r="T285" s="121"/>
    </row>
    <row r="286" spans="1:20" s="120" customFormat="1" ht="32.1" customHeight="1" x14ac:dyDescent="0.2">
      <c r="A286" s="361" t="s">
        <v>214</v>
      </c>
      <c r="B286" s="406" t="s">
        <v>69</v>
      </c>
      <c r="C286" s="477" t="s">
        <v>1092</v>
      </c>
      <c r="D286" s="393">
        <v>203</v>
      </c>
      <c r="E286" s="46"/>
      <c r="F286" s="46"/>
      <c r="G286" s="46">
        <v>0</v>
      </c>
      <c r="H286" s="46"/>
      <c r="I286" s="46"/>
      <c r="J286" s="46"/>
      <c r="K286" s="47"/>
      <c r="L286" s="47">
        <v>0</v>
      </c>
      <c r="M286" s="47"/>
      <c r="N286" s="47"/>
      <c r="O286" s="47">
        <v>0</v>
      </c>
      <c r="P286" s="47">
        <v>19.350000000000001</v>
      </c>
      <c r="Q286" s="374">
        <f t="shared" si="21"/>
        <v>4.8375000000000004</v>
      </c>
      <c r="R286" s="375" t="str">
        <f t="shared" si="19"/>
        <v>SI</v>
      </c>
      <c r="S286" s="376" t="str">
        <f t="shared" si="20"/>
        <v>Sin Riesgo</v>
      </c>
      <c r="T286" s="121"/>
    </row>
    <row r="287" spans="1:20" s="120" customFormat="1" ht="32.1" customHeight="1" x14ac:dyDescent="0.2">
      <c r="A287" s="361" t="s">
        <v>214</v>
      </c>
      <c r="B287" s="406" t="s">
        <v>1093</v>
      </c>
      <c r="C287" s="477" t="s">
        <v>1094</v>
      </c>
      <c r="D287" s="393"/>
      <c r="E287" s="46"/>
      <c r="F287" s="46"/>
      <c r="G287" s="46"/>
      <c r="H287" s="46"/>
      <c r="I287" s="46"/>
      <c r="J287" s="46"/>
      <c r="K287" s="47"/>
      <c r="L287" s="47"/>
      <c r="M287" s="47"/>
      <c r="N287" s="47"/>
      <c r="O287" s="47"/>
      <c r="P287" s="47"/>
      <c r="Q287" s="374" t="e">
        <f t="shared" si="21"/>
        <v>#DIV/0!</v>
      </c>
      <c r="R287" s="375" t="e">
        <f t="shared" si="19"/>
        <v>#DIV/0!</v>
      </c>
      <c r="S287" s="376" t="e">
        <f t="shared" si="20"/>
        <v>#DIV/0!</v>
      </c>
      <c r="T287" s="121"/>
    </row>
    <row r="288" spans="1:20" s="120" customFormat="1" ht="32.1" customHeight="1" x14ac:dyDescent="0.2">
      <c r="A288" s="361" t="s">
        <v>214</v>
      </c>
      <c r="B288" s="406" t="s">
        <v>96</v>
      </c>
      <c r="C288" s="477" t="s">
        <v>1095</v>
      </c>
      <c r="D288" s="393">
        <v>118</v>
      </c>
      <c r="E288" s="46"/>
      <c r="F288" s="46"/>
      <c r="G288" s="46"/>
      <c r="H288" s="46"/>
      <c r="I288" s="46"/>
      <c r="J288" s="46">
        <v>0</v>
      </c>
      <c r="K288" s="47"/>
      <c r="L288" s="47"/>
      <c r="M288" s="47"/>
      <c r="N288" s="47">
        <v>0</v>
      </c>
      <c r="O288" s="47">
        <v>0</v>
      </c>
      <c r="P288" s="47">
        <v>38.71</v>
      </c>
      <c r="Q288" s="374">
        <f t="shared" si="21"/>
        <v>9.6775000000000002</v>
      </c>
      <c r="R288" s="375" t="str">
        <f t="shared" si="19"/>
        <v>NO</v>
      </c>
      <c r="S288" s="376" t="str">
        <f t="shared" si="20"/>
        <v>Bajo</v>
      </c>
      <c r="T288" s="121"/>
    </row>
    <row r="289" spans="1:20" s="120" customFormat="1" ht="32.1" customHeight="1" x14ac:dyDescent="0.2">
      <c r="A289" s="361" t="s">
        <v>214</v>
      </c>
      <c r="B289" s="406" t="s">
        <v>1096</v>
      </c>
      <c r="C289" s="477" t="s">
        <v>1097</v>
      </c>
      <c r="D289" s="393"/>
      <c r="E289" s="46"/>
      <c r="F289" s="46"/>
      <c r="G289" s="46"/>
      <c r="H289" s="46"/>
      <c r="I289" s="46"/>
      <c r="J289" s="46"/>
      <c r="K289" s="47"/>
      <c r="L289" s="47"/>
      <c r="M289" s="47"/>
      <c r="N289" s="47"/>
      <c r="O289" s="47"/>
      <c r="P289" s="47"/>
      <c r="Q289" s="374" t="e">
        <f t="shared" si="21"/>
        <v>#DIV/0!</v>
      </c>
      <c r="R289" s="375" t="e">
        <f t="shared" si="19"/>
        <v>#DIV/0!</v>
      </c>
      <c r="S289" s="376" t="e">
        <f t="shared" si="20"/>
        <v>#DIV/0!</v>
      </c>
      <c r="T289" s="121"/>
    </row>
    <row r="290" spans="1:20" s="120" customFormat="1" ht="32.1" customHeight="1" x14ac:dyDescent="0.2">
      <c r="A290" s="361" t="s">
        <v>214</v>
      </c>
      <c r="B290" s="406" t="s">
        <v>843</v>
      </c>
      <c r="C290" s="477" t="s">
        <v>1098</v>
      </c>
      <c r="D290" s="393">
        <v>221</v>
      </c>
      <c r="E290" s="46"/>
      <c r="F290" s="46">
        <v>0</v>
      </c>
      <c r="G290" s="46"/>
      <c r="H290" s="46">
        <v>46.45</v>
      </c>
      <c r="I290" s="46">
        <v>0</v>
      </c>
      <c r="J290" s="46">
        <v>0</v>
      </c>
      <c r="K290" s="47"/>
      <c r="L290" s="47"/>
      <c r="M290" s="47"/>
      <c r="N290" s="47">
        <v>38.71</v>
      </c>
      <c r="O290" s="47"/>
      <c r="P290" s="47">
        <v>0</v>
      </c>
      <c r="Q290" s="374">
        <f>AVERAGE(E290:P290)</f>
        <v>14.193333333333333</v>
      </c>
      <c r="R290" s="375" t="str">
        <f t="shared" si="19"/>
        <v>NO</v>
      </c>
      <c r="S290" s="376" t="str">
        <f t="shared" si="20"/>
        <v>Medio</v>
      </c>
      <c r="T290" s="121"/>
    </row>
    <row r="291" spans="1:20" s="120" customFormat="1" ht="32.1" customHeight="1" x14ac:dyDescent="0.2">
      <c r="A291" s="361" t="s">
        <v>214</v>
      </c>
      <c r="B291" s="406" t="s">
        <v>1093</v>
      </c>
      <c r="C291" s="477" t="s">
        <v>1099</v>
      </c>
      <c r="D291" s="393"/>
      <c r="E291" s="46"/>
      <c r="F291" s="46"/>
      <c r="G291" s="46"/>
      <c r="H291" s="46"/>
      <c r="I291" s="46"/>
      <c r="J291" s="46"/>
      <c r="K291" s="47"/>
      <c r="L291" s="47"/>
      <c r="M291" s="47"/>
      <c r="N291" s="47"/>
      <c r="O291" s="47"/>
      <c r="P291" s="47"/>
      <c r="Q291" s="374" t="e">
        <f t="shared" si="21"/>
        <v>#DIV/0!</v>
      </c>
      <c r="R291" s="375" t="e">
        <f t="shared" si="19"/>
        <v>#DIV/0!</v>
      </c>
      <c r="S291" s="376" t="e">
        <f t="shared" si="20"/>
        <v>#DIV/0!</v>
      </c>
      <c r="T291" s="121"/>
    </row>
    <row r="292" spans="1:20" s="120" customFormat="1" ht="32.1" customHeight="1" x14ac:dyDescent="0.2">
      <c r="A292" s="361" t="s">
        <v>214</v>
      </c>
      <c r="B292" s="406" t="s">
        <v>1100</v>
      </c>
      <c r="C292" s="477" t="s">
        <v>1101</v>
      </c>
      <c r="D292" s="393"/>
      <c r="E292" s="46"/>
      <c r="F292" s="46"/>
      <c r="G292" s="46"/>
      <c r="H292" s="46"/>
      <c r="I292" s="46"/>
      <c r="J292" s="46"/>
      <c r="K292" s="47"/>
      <c r="L292" s="47"/>
      <c r="M292" s="47"/>
      <c r="N292" s="47"/>
      <c r="O292" s="47"/>
      <c r="P292" s="47"/>
      <c r="Q292" s="374" t="e">
        <f t="shared" si="21"/>
        <v>#DIV/0!</v>
      </c>
      <c r="R292" s="375" t="e">
        <f t="shared" si="19"/>
        <v>#DIV/0!</v>
      </c>
      <c r="S292" s="376" t="e">
        <f t="shared" si="20"/>
        <v>#DIV/0!</v>
      </c>
      <c r="T292" s="121"/>
    </row>
    <row r="293" spans="1:20" s="120" customFormat="1" ht="32.1" customHeight="1" x14ac:dyDescent="0.2">
      <c r="A293" s="361" t="s">
        <v>214</v>
      </c>
      <c r="B293" s="406" t="s">
        <v>1102</v>
      </c>
      <c r="C293" s="477" t="s">
        <v>1103</v>
      </c>
      <c r="D293" s="393">
        <v>36</v>
      </c>
      <c r="E293" s="46">
        <v>0</v>
      </c>
      <c r="F293" s="46"/>
      <c r="G293" s="46">
        <v>0</v>
      </c>
      <c r="H293" s="46">
        <v>27.1</v>
      </c>
      <c r="I293" s="46"/>
      <c r="J293" s="46">
        <v>27.1</v>
      </c>
      <c r="K293" s="47">
        <v>46.45</v>
      </c>
      <c r="L293" s="47"/>
      <c r="M293" s="47"/>
      <c r="N293" s="47"/>
      <c r="O293" s="47"/>
      <c r="P293" s="47">
        <v>0</v>
      </c>
      <c r="Q293" s="374">
        <f t="shared" si="21"/>
        <v>16.775000000000002</v>
      </c>
      <c r="R293" s="375" t="str">
        <f t="shared" si="19"/>
        <v>NO</v>
      </c>
      <c r="S293" s="376" t="str">
        <f t="shared" si="20"/>
        <v>Medio</v>
      </c>
      <c r="T293" s="121"/>
    </row>
    <row r="294" spans="1:20" s="120" customFormat="1" ht="32.1" customHeight="1" x14ac:dyDescent="0.2">
      <c r="A294" s="361" t="s">
        <v>214</v>
      </c>
      <c r="B294" s="406" t="s">
        <v>96</v>
      </c>
      <c r="C294" s="477" t="s">
        <v>1104</v>
      </c>
      <c r="D294" s="393">
        <v>43</v>
      </c>
      <c r="E294" s="46"/>
      <c r="F294" s="46">
        <v>0</v>
      </c>
      <c r="G294" s="46">
        <v>46.45</v>
      </c>
      <c r="H294" s="46"/>
      <c r="I294" s="46"/>
      <c r="J294" s="46"/>
      <c r="K294" s="47">
        <v>27.1</v>
      </c>
      <c r="L294" s="47"/>
      <c r="M294" s="47"/>
      <c r="N294" s="47"/>
      <c r="O294" s="47">
        <v>19.350000000000001</v>
      </c>
      <c r="P294" s="47"/>
      <c r="Q294" s="374">
        <f t="shared" si="21"/>
        <v>23.225000000000001</v>
      </c>
      <c r="R294" s="375" t="str">
        <f t="shared" si="19"/>
        <v>NO</v>
      </c>
      <c r="S294" s="376" t="str">
        <f t="shared" si="20"/>
        <v>Medio</v>
      </c>
      <c r="T294" s="121"/>
    </row>
    <row r="295" spans="1:20" s="120" customFormat="1" ht="32.1" customHeight="1" x14ac:dyDescent="0.2">
      <c r="A295" s="361" t="s">
        <v>214</v>
      </c>
      <c r="B295" s="406" t="s">
        <v>1105</v>
      </c>
      <c r="C295" s="477" t="s">
        <v>1106</v>
      </c>
      <c r="D295" s="393">
        <v>130</v>
      </c>
      <c r="E295" s="46"/>
      <c r="F295" s="46"/>
      <c r="G295" s="46">
        <v>19.350000000000001</v>
      </c>
      <c r="H295" s="46"/>
      <c r="I295" s="46"/>
      <c r="J295" s="46"/>
      <c r="K295" s="47"/>
      <c r="L295" s="47"/>
      <c r="M295" s="47"/>
      <c r="N295" s="47">
        <v>0</v>
      </c>
      <c r="O295" s="47">
        <v>0</v>
      </c>
      <c r="P295" s="47">
        <v>23.22</v>
      </c>
      <c r="Q295" s="374">
        <f t="shared" si="21"/>
        <v>10.6425</v>
      </c>
      <c r="R295" s="375" t="str">
        <f t="shared" si="19"/>
        <v>NO</v>
      </c>
      <c r="S295" s="376" t="str">
        <f t="shared" si="20"/>
        <v>Bajo</v>
      </c>
      <c r="T295" s="121"/>
    </row>
    <row r="296" spans="1:20" s="120" customFormat="1" ht="32.1" customHeight="1" x14ac:dyDescent="0.2">
      <c r="A296" s="361" t="s">
        <v>214</v>
      </c>
      <c r="B296" s="406" t="s">
        <v>1107</v>
      </c>
      <c r="C296" s="477" t="s">
        <v>1108</v>
      </c>
      <c r="D296" s="393">
        <v>249</v>
      </c>
      <c r="E296" s="46"/>
      <c r="F296" s="46"/>
      <c r="G296" s="46"/>
      <c r="H296" s="46"/>
      <c r="I296" s="46"/>
      <c r="J296" s="46"/>
      <c r="K296" s="47"/>
      <c r="L296" s="47">
        <v>0</v>
      </c>
      <c r="M296" s="47">
        <v>0</v>
      </c>
      <c r="N296" s="47">
        <v>0</v>
      </c>
      <c r="O296" s="47">
        <v>0</v>
      </c>
      <c r="P296" s="47">
        <v>0</v>
      </c>
      <c r="Q296" s="374">
        <f>AVERAGE(E296:P296)</f>
        <v>0</v>
      </c>
      <c r="R296" s="375" t="str">
        <f t="shared" si="19"/>
        <v>SI</v>
      </c>
      <c r="S296" s="376" t="str">
        <f t="shared" si="20"/>
        <v>Sin Riesgo</v>
      </c>
      <c r="T296" s="121"/>
    </row>
    <row r="297" spans="1:20" s="120" customFormat="1" ht="32.1" customHeight="1" x14ac:dyDescent="0.2">
      <c r="A297" s="361" t="s">
        <v>214</v>
      </c>
      <c r="B297" s="406" t="s">
        <v>1109</v>
      </c>
      <c r="C297" s="477" t="s">
        <v>1110</v>
      </c>
      <c r="D297" s="393">
        <v>718</v>
      </c>
      <c r="E297" s="46"/>
      <c r="F297" s="46"/>
      <c r="G297" s="46">
        <v>0</v>
      </c>
      <c r="H297" s="46"/>
      <c r="I297" s="46"/>
      <c r="J297" s="46"/>
      <c r="K297" s="47"/>
      <c r="L297" s="47">
        <v>0</v>
      </c>
      <c r="M297" s="47"/>
      <c r="N297" s="47">
        <v>0</v>
      </c>
      <c r="O297" s="47">
        <v>0</v>
      </c>
      <c r="P297" s="47">
        <v>0</v>
      </c>
      <c r="Q297" s="374">
        <f t="shared" si="21"/>
        <v>0</v>
      </c>
      <c r="R297" s="375" t="str">
        <f t="shared" si="19"/>
        <v>SI</v>
      </c>
      <c r="S297" s="376" t="str">
        <f t="shared" si="20"/>
        <v>Sin Riesgo</v>
      </c>
      <c r="T297" s="121"/>
    </row>
    <row r="298" spans="1:20" s="120" customFormat="1" ht="32.1" customHeight="1" x14ac:dyDescent="0.2">
      <c r="A298" s="361" t="s">
        <v>214</v>
      </c>
      <c r="B298" s="406" t="s">
        <v>607</v>
      </c>
      <c r="C298" s="477" t="s">
        <v>1111</v>
      </c>
      <c r="D298" s="393">
        <v>117</v>
      </c>
      <c r="E298" s="46">
        <v>0</v>
      </c>
      <c r="F298" s="46"/>
      <c r="G298" s="46"/>
      <c r="H298" s="46"/>
      <c r="I298" s="46"/>
      <c r="J298" s="46"/>
      <c r="K298" s="47">
        <v>0</v>
      </c>
      <c r="L298" s="47"/>
      <c r="M298" s="47"/>
      <c r="N298" s="47"/>
      <c r="O298" s="47">
        <v>0</v>
      </c>
      <c r="P298" s="47">
        <v>0</v>
      </c>
      <c r="Q298" s="374">
        <f t="shared" si="21"/>
        <v>0</v>
      </c>
      <c r="R298" s="375" t="str">
        <f t="shared" si="19"/>
        <v>SI</v>
      </c>
      <c r="S298" s="376" t="str">
        <f t="shared" si="20"/>
        <v>Sin Riesgo</v>
      </c>
      <c r="T298" s="121"/>
    </row>
    <row r="299" spans="1:20" s="120" customFormat="1" ht="32.1" customHeight="1" x14ac:dyDescent="0.2">
      <c r="A299" s="361" t="s">
        <v>214</v>
      </c>
      <c r="B299" s="406" t="s">
        <v>1112</v>
      </c>
      <c r="C299" s="477" t="s">
        <v>1113</v>
      </c>
      <c r="D299" s="393">
        <v>119</v>
      </c>
      <c r="E299" s="46"/>
      <c r="F299" s="46">
        <v>0</v>
      </c>
      <c r="G299" s="46"/>
      <c r="H299" s="46"/>
      <c r="I299" s="46"/>
      <c r="J299" s="46">
        <v>6.98</v>
      </c>
      <c r="K299" s="47"/>
      <c r="L299" s="47"/>
      <c r="M299" s="47"/>
      <c r="N299" s="47">
        <v>0</v>
      </c>
      <c r="O299" s="47">
        <v>0</v>
      </c>
      <c r="P299" s="47">
        <v>0</v>
      </c>
      <c r="Q299" s="374">
        <f t="shared" si="21"/>
        <v>1.3960000000000001</v>
      </c>
      <c r="R299" s="375" t="str">
        <f t="shared" si="19"/>
        <v>SI</v>
      </c>
      <c r="S299" s="376" t="str">
        <f t="shared" si="20"/>
        <v>Sin Riesgo</v>
      </c>
      <c r="T299" s="121"/>
    </row>
    <row r="300" spans="1:20" s="120" customFormat="1" ht="32.1" customHeight="1" x14ac:dyDescent="0.2">
      <c r="A300" s="361" t="s">
        <v>214</v>
      </c>
      <c r="B300" s="406" t="s">
        <v>1114</v>
      </c>
      <c r="C300" s="477" t="s">
        <v>1115</v>
      </c>
      <c r="D300" s="393">
        <v>40</v>
      </c>
      <c r="E300" s="46"/>
      <c r="F300" s="46"/>
      <c r="G300" s="46"/>
      <c r="H300" s="46"/>
      <c r="I300" s="46"/>
      <c r="J300" s="46"/>
      <c r="K300" s="47"/>
      <c r="L300" s="47"/>
      <c r="M300" s="47"/>
      <c r="N300" s="47">
        <v>0</v>
      </c>
      <c r="O300" s="47">
        <v>0</v>
      </c>
      <c r="P300" s="47">
        <v>23.22</v>
      </c>
      <c r="Q300" s="374">
        <f t="shared" si="21"/>
        <v>7.7399999999999993</v>
      </c>
      <c r="R300" s="375" t="str">
        <f t="shared" si="19"/>
        <v>NO</v>
      </c>
      <c r="S300" s="376" t="str">
        <f t="shared" si="20"/>
        <v>Bajo</v>
      </c>
      <c r="T300" s="121"/>
    </row>
    <row r="301" spans="1:20" s="120" customFormat="1" ht="32.1" customHeight="1" x14ac:dyDescent="0.2">
      <c r="A301" s="361" t="s">
        <v>214</v>
      </c>
      <c r="B301" s="406" t="s">
        <v>1116</v>
      </c>
      <c r="C301" s="477" t="s">
        <v>1117</v>
      </c>
      <c r="D301" s="393"/>
      <c r="E301" s="46"/>
      <c r="F301" s="46"/>
      <c r="G301" s="46"/>
      <c r="H301" s="46"/>
      <c r="I301" s="46"/>
      <c r="J301" s="46"/>
      <c r="K301" s="47"/>
      <c r="L301" s="47"/>
      <c r="M301" s="47"/>
      <c r="N301" s="47"/>
      <c r="O301" s="47"/>
      <c r="P301" s="47"/>
      <c r="Q301" s="374" t="e">
        <f t="shared" si="21"/>
        <v>#DIV/0!</v>
      </c>
      <c r="R301" s="375" t="e">
        <f t="shared" si="19"/>
        <v>#DIV/0!</v>
      </c>
      <c r="S301" s="376" t="e">
        <f t="shared" si="20"/>
        <v>#DIV/0!</v>
      </c>
      <c r="T301" s="121"/>
    </row>
    <row r="302" spans="1:20" s="120" customFormat="1" ht="32.1" customHeight="1" x14ac:dyDescent="0.2">
      <c r="A302" s="361" t="s">
        <v>214</v>
      </c>
      <c r="B302" s="406" t="s">
        <v>20</v>
      </c>
      <c r="C302" s="477" t="s">
        <v>1118</v>
      </c>
      <c r="D302" s="393">
        <v>440</v>
      </c>
      <c r="E302" s="46">
        <v>0</v>
      </c>
      <c r="F302" s="46"/>
      <c r="G302" s="46"/>
      <c r="H302" s="46"/>
      <c r="I302" s="46">
        <v>0</v>
      </c>
      <c r="J302" s="46"/>
      <c r="K302" s="47">
        <v>0</v>
      </c>
      <c r="L302" s="47">
        <v>0</v>
      </c>
      <c r="M302" s="47">
        <v>0</v>
      </c>
      <c r="N302" s="47">
        <v>9.6999999999999993</v>
      </c>
      <c r="O302" s="47">
        <v>0</v>
      </c>
      <c r="P302" s="47">
        <v>0</v>
      </c>
      <c r="Q302" s="374">
        <f t="shared" si="21"/>
        <v>1.2124999999999999</v>
      </c>
      <c r="R302" s="375" t="str">
        <f t="shared" si="19"/>
        <v>SI</v>
      </c>
      <c r="S302" s="376" t="str">
        <f t="shared" si="20"/>
        <v>Sin Riesgo</v>
      </c>
      <c r="T302" s="121"/>
    </row>
    <row r="303" spans="1:20" s="120" customFormat="1" ht="32.1" customHeight="1" x14ac:dyDescent="0.2">
      <c r="A303" s="361" t="s">
        <v>214</v>
      </c>
      <c r="B303" s="406" t="s">
        <v>1119</v>
      </c>
      <c r="C303" s="477" t="s">
        <v>1120</v>
      </c>
      <c r="D303" s="393">
        <v>245.304</v>
      </c>
      <c r="E303" s="46">
        <v>0</v>
      </c>
      <c r="F303" s="46"/>
      <c r="G303" s="46"/>
      <c r="H303" s="46"/>
      <c r="I303" s="46"/>
      <c r="J303" s="46">
        <v>0</v>
      </c>
      <c r="K303" s="47"/>
      <c r="L303" s="47"/>
      <c r="M303" s="47"/>
      <c r="N303" s="47">
        <v>0</v>
      </c>
      <c r="O303" s="47"/>
      <c r="P303" s="47">
        <v>0</v>
      </c>
      <c r="Q303" s="374">
        <f t="shared" si="21"/>
        <v>0</v>
      </c>
      <c r="R303" s="375" t="str">
        <f t="shared" si="19"/>
        <v>SI</v>
      </c>
      <c r="S303" s="376" t="str">
        <f t="shared" si="20"/>
        <v>Sin Riesgo</v>
      </c>
      <c r="T303" s="121"/>
    </row>
    <row r="304" spans="1:20" s="120" customFormat="1" ht="32.1" customHeight="1" x14ac:dyDescent="0.2">
      <c r="A304" s="361" t="s">
        <v>214</v>
      </c>
      <c r="B304" s="406" t="s">
        <v>643</v>
      </c>
      <c r="C304" s="477" t="s">
        <v>1121</v>
      </c>
      <c r="D304" s="393">
        <v>93</v>
      </c>
      <c r="E304" s="46"/>
      <c r="F304" s="46">
        <v>0</v>
      </c>
      <c r="G304" s="46"/>
      <c r="H304" s="46"/>
      <c r="I304" s="46"/>
      <c r="J304" s="46">
        <v>20.22</v>
      </c>
      <c r="K304" s="47"/>
      <c r="L304" s="47"/>
      <c r="M304" s="47"/>
      <c r="N304" s="47"/>
      <c r="O304" s="47">
        <v>0</v>
      </c>
      <c r="P304" s="47">
        <v>0</v>
      </c>
      <c r="Q304" s="374">
        <f t="shared" si="21"/>
        <v>5.0549999999999997</v>
      </c>
      <c r="R304" s="375" t="str">
        <f t="shared" si="19"/>
        <v>NO</v>
      </c>
      <c r="S304" s="376" t="str">
        <f t="shared" si="20"/>
        <v>Bajo</v>
      </c>
      <c r="T304" s="121"/>
    </row>
    <row r="305" spans="1:20" s="120" customFormat="1" ht="32.1" customHeight="1" x14ac:dyDescent="0.2">
      <c r="A305" s="361" t="s">
        <v>214</v>
      </c>
      <c r="B305" s="406" t="s">
        <v>1122</v>
      </c>
      <c r="C305" s="477" t="s">
        <v>1123</v>
      </c>
      <c r="D305" s="393">
        <v>174</v>
      </c>
      <c r="E305" s="46"/>
      <c r="F305" s="46"/>
      <c r="G305" s="46">
        <v>0</v>
      </c>
      <c r="H305" s="46"/>
      <c r="I305" s="46"/>
      <c r="J305" s="46"/>
      <c r="K305" s="47"/>
      <c r="L305" s="47"/>
      <c r="M305" s="47"/>
      <c r="N305" s="47"/>
      <c r="O305" s="47">
        <v>0</v>
      </c>
      <c r="P305" s="47">
        <v>0</v>
      </c>
      <c r="Q305" s="374">
        <f t="shared" si="21"/>
        <v>0</v>
      </c>
      <c r="R305" s="375" t="str">
        <f t="shared" si="19"/>
        <v>SI</v>
      </c>
      <c r="S305" s="376" t="str">
        <f t="shared" si="20"/>
        <v>Sin Riesgo</v>
      </c>
      <c r="T305" s="121"/>
    </row>
    <row r="306" spans="1:20" s="120" customFormat="1" ht="32.1" customHeight="1" x14ac:dyDescent="0.2">
      <c r="A306" s="361" t="s">
        <v>214</v>
      </c>
      <c r="B306" s="406" t="s">
        <v>1083</v>
      </c>
      <c r="C306" s="477" t="s">
        <v>1124</v>
      </c>
      <c r="D306" s="393">
        <v>107</v>
      </c>
      <c r="E306" s="46"/>
      <c r="F306" s="46"/>
      <c r="G306" s="46"/>
      <c r="H306" s="46">
        <v>0</v>
      </c>
      <c r="I306" s="46"/>
      <c r="J306" s="46"/>
      <c r="K306" s="47"/>
      <c r="L306" s="47">
        <v>16.850000000000001</v>
      </c>
      <c r="M306" s="47"/>
      <c r="N306" s="47"/>
      <c r="O306" s="47">
        <v>0</v>
      </c>
      <c r="P306" s="47">
        <v>0</v>
      </c>
      <c r="Q306" s="374">
        <f t="shared" si="21"/>
        <v>4.2125000000000004</v>
      </c>
      <c r="R306" s="375" t="str">
        <f t="shared" si="19"/>
        <v>SI</v>
      </c>
      <c r="S306" s="376" t="str">
        <f t="shared" si="20"/>
        <v>Sin Riesgo</v>
      </c>
      <c r="T306" s="121"/>
    </row>
    <row r="307" spans="1:20" s="120" customFormat="1" ht="32.1" customHeight="1" x14ac:dyDescent="0.2">
      <c r="A307" s="361" t="s">
        <v>214</v>
      </c>
      <c r="B307" s="406" t="s">
        <v>1125</v>
      </c>
      <c r="C307" s="477" t="s">
        <v>1126</v>
      </c>
      <c r="D307" s="393"/>
      <c r="E307" s="46"/>
      <c r="F307" s="46"/>
      <c r="G307" s="46"/>
      <c r="H307" s="46"/>
      <c r="I307" s="46"/>
      <c r="J307" s="46"/>
      <c r="K307" s="47"/>
      <c r="L307" s="47"/>
      <c r="M307" s="47"/>
      <c r="N307" s="47"/>
      <c r="O307" s="47"/>
      <c r="P307" s="47"/>
      <c r="Q307" s="374" t="e">
        <f t="shared" si="21"/>
        <v>#DIV/0!</v>
      </c>
      <c r="R307" s="375" t="e">
        <f t="shared" si="19"/>
        <v>#DIV/0!</v>
      </c>
      <c r="S307" s="376" t="e">
        <f t="shared" si="20"/>
        <v>#DIV/0!</v>
      </c>
      <c r="T307" s="121"/>
    </row>
    <row r="308" spans="1:20" s="120" customFormat="1" ht="32.1" customHeight="1" x14ac:dyDescent="0.2">
      <c r="A308" s="361" t="s">
        <v>214</v>
      </c>
      <c r="B308" s="406" t="s">
        <v>1109</v>
      </c>
      <c r="C308" s="477" t="s">
        <v>1127</v>
      </c>
      <c r="D308" s="393">
        <v>588</v>
      </c>
      <c r="E308" s="46"/>
      <c r="F308" s="46"/>
      <c r="G308" s="46"/>
      <c r="H308" s="46">
        <v>0</v>
      </c>
      <c r="I308" s="46">
        <v>0</v>
      </c>
      <c r="J308" s="46"/>
      <c r="K308" s="47"/>
      <c r="L308" s="47"/>
      <c r="M308" s="47"/>
      <c r="N308" s="47">
        <v>0</v>
      </c>
      <c r="O308" s="47"/>
      <c r="P308" s="47">
        <v>0</v>
      </c>
      <c r="Q308" s="374">
        <f t="shared" si="21"/>
        <v>0</v>
      </c>
      <c r="R308" s="375" t="str">
        <f t="shared" si="19"/>
        <v>SI</v>
      </c>
      <c r="S308" s="376" t="str">
        <f t="shared" si="20"/>
        <v>Sin Riesgo</v>
      </c>
      <c r="T308" s="121"/>
    </row>
    <row r="309" spans="1:20" s="120" customFormat="1" ht="32.1" customHeight="1" x14ac:dyDescent="0.2">
      <c r="A309" s="361" t="s">
        <v>214</v>
      </c>
      <c r="B309" s="406" t="s">
        <v>1128</v>
      </c>
      <c r="C309" s="477" t="s">
        <v>1129</v>
      </c>
      <c r="D309" s="393">
        <v>92</v>
      </c>
      <c r="E309" s="46"/>
      <c r="F309" s="46"/>
      <c r="G309" s="46"/>
      <c r="H309" s="46"/>
      <c r="I309" s="46">
        <v>0</v>
      </c>
      <c r="J309" s="46"/>
      <c r="K309" s="47"/>
      <c r="L309" s="47">
        <v>16.850000000000001</v>
      </c>
      <c r="M309" s="47"/>
      <c r="N309" s="47"/>
      <c r="O309" s="47">
        <v>0</v>
      </c>
      <c r="P309" s="47">
        <v>0</v>
      </c>
      <c r="Q309" s="374">
        <f t="shared" si="21"/>
        <v>4.2125000000000004</v>
      </c>
      <c r="R309" s="375" t="str">
        <f t="shared" si="19"/>
        <v>SI</v>
      </c>
      <c r="S309" s="376" t="str">
        <f t="shared" si="20"/>
        <v>Sin Riesgo</v>
      </c>
      <c r="T309" s="121"/>
    </row>
    <row r="310" spans="1:20" s="120" customFormat="1" ht="32.1" customHeight="1" x14ac:dyDescent="0.2">
      <c r="A310" s="361" t="s">
        <v>214</v>
      </c>
      <c r="B310" s="406" t="s">
        <v>1130</v>
      </c>
      <c r="C310" s="477" t="s">
        <v>1131</v>
      </c>
      <c r="D310" s="393">
        <v>65</v>
      </c>
      <c r="E310" s="46"/>
      <c r="F310" s="46"/>
      <c r="G310" s="46"/>
      <c r="H310" s="46"/>
      <c r="I310" s="46"/>
      <c r="J310" s="46"/>
      <c r="K310" s="47"/>
      <c r="L310" s="47"/>
      <c r="M310" s="47"/>
      <c r="N310" s="47">
        <v>0</v>
      </c>
      <c r="O310" s="47">
        <v>0</v>
      </c>
      <c r="P310" s="47">
        <v>0</v>
      </c>
      <c r="Q310" s="374">
        <f t="shared" si="21"/>
        <v>0</v>
      </c>
      <c r="R310" s="375" t="str">
        <f t="shared" si="19"/>
        <v>SI</v>
      </c>
      <c r="S310" s="376" t="str">
        <f t="shared" si="20"/>
        <v>Sin Riesgo</v>
      </c>
      <c r="T310" s="121"/>
    </row>
    <row r="311" spans="1:20" s="120" customFormat="1" ht="32.1" customHeight="1" x14ac:dyDescent="0.2">
      <c r="A311" s="361" t="s">
        <v>214</v>
      </c>
      <c r="B311" s="406" t="s">
        <v>1093</v>
      </c>
      <c r="C311" s="477" t="s">
        <v>1132</v>
      </c>
      <c r="D311" s="393">
        <v>174</v>
      </c>
      <c r="E311" s="46"/>
      <c r="F311" s="46"/>
      <c r="G311" s="46"/>
      <c r="H311" s="46"/>
      <c r="I311" s="46"/>
      <c r="J311" s="46"/>
      <c r="K311" s="47"/>
      <c r="L311" s="47"/>
      <c r="M311" s="47"/>
      <c r="N311" s="47">
        <v>0</v>
      </c>
      <c r="O311" s="47">
        <v>0</v>
      </c>
      <c r="P311" s="47">
        <v>0</v>
      </c>
      <c r="Q311" s="374">
        <f t="shared" si="21"/>
        <v>0</v>
      </c>
      <c r="R311" s="375" t="str">
        <f t="shared" si="19"/>
        <v>SI</v>
      </c>
      <c r="S311" s="376" t="str">
        <f t="shared" si="20"/>
        <v>Sin Riesgo</v>
      </c>
      <c r="T311" s="121"/>
    </row>
    <row r="312" spans="1:20" s="120" customFormat="1" ht="32.1" customHeight="1" x14ac:dyDescent="0.2">
      <c r="A312" s="361" t="s">
        <v>214</v>
      </c>
      <c r="B312" s="406" t="s">
        <v>1087</v>
      </c>
      <c r="C312" s="477" t="s">
        <v>1133</v>
      </c>
      <c r="D312" s="393">
        <v>609</v>
      </c>
      <c r="E312" s="46">
        <v>0</v>
      </c>
      <c r="F312" s="46">
        <v>0</v>
      </c>
      <c r="G312" s="46">
        <v>0</v>
      </c>
      <c r="H312" s="46">
        <v>0</v>
      </c>
      <c r="I312" s="46">
        <v>0</v>
      </c>
      <c r="J312" s="46">
        <v>0</v>
      </c>
      <c r="K312" s="47">
        <v>0</v>
      </c>
      <c r="L312" s="47">
        <v>0</v>
      </c>
      <c r="M312" s="47">
        <v>0</v>
      </c>
      <c r="N312" s="47">
        <v>0</v>
      </c>
      <c r="O312" s="47">
        <v>0</v>
      </c>
      <c r="P312" s="47">
        <v>0</v>
      </c>
      <c r="Q312" s="374">
        <f t="shared" si="21"/>
        <v>0</v>
      </c>
      <c r="R312" s="375" t="str">
        <f t="shared" si="19"/>
        <v>SI</v>
      </c>
      <c r="S312" s="376" t="str">
        <f t="shared" si="20"/>
        <v>Sin Riesgo</v>
      </c>
      <c r="T312" s="121"/>
    </row>
    <row r="313" spans="1:20" s="120" customFormat="1" ht="32.1" customHeight="1" x14ac:dyDescent="0.2">
      <c r="A313" s="361" t="s">
        <v>214</v>
      </c>
      <c r="B313" s="406" t="s">
        <v>1134</v>
      </c>
      <c r="C313" s="477" t="s">
        <v>1135</v>
      </c>
      <c r="D313" s="393">
        <v>360</v>
      </c>
      <c r="E313" s="46"/>
      <c r="F313" s="46">
        <v>0</v>
      </c>
      <c r="G313" s="46"/>
      <c r="H313" s="46"/>
      <c r="I313" s="46">
        <v>0</v>
      </c>
      <c r="J313" s="46">
        <v>0</v>
      </c>
      <c r="K313" s="47">
        <v>0</v>
      </c>
      <c r="L313" s="47">
        <v>0</v>
      </c>
      <c r="M313" s="47">
        <v>0</v>
      </c>
      <c r="N313" s="47">
        <v>0</v>
      </c>
      <c r="O313" s="47">
        <v>0</v>
      </c>
      <c r="P313" s="47"/>
      <c r="Q313" s="374">
        <f t="shared" si="21"/>
        <v>0</v>
      </c>
      <c r="R313" s="375" t="str">
        <f t="shared" si="19"/>
        <v>SI</v>
      </c>
      <c r="S313" s="376" t="str">
        <f t="shared" si="20"/>
        <v>Sin Riesgo</v>
      </c>
      <c r="T313" s="121"/>
    </row>
    <row r="314" spans="1:20" s="120" customFormat="1" ht="32.1" customHeight="1" x14ac:dyDescent="0.2">
      <c r="A314" s="361" t="s">
        <v>214</v>
      </c>
      <c r="B314" s="406" t="s">
        <v>1136</v>
      </c>
      <c r="C314" s="477" t="s">
        <v>1137</v>
      </c>
      <c r="D314" s="393"/>
      <c r="E314" s="46"/>
      <c r="F314" s="46"/>
      <c r="G314" s="46"/>
      <c r="H314" s="46"/>
      <c r="I314" s="46"/>
      <c r="J314" s="46"/>
      <c r="K314" s="47"/>
      <c r="L314" s="47"/>
      <c r="M314" s="47"/>
      <c r="N314" s="47"/>
      <c r="O314" s="47"/>
      <c r="P314" s="47"/>
      <c r="Q314" s="374" t="e">
        <f t="shared" si="21"/>
        <v>#DIV/0!</v>
      </c>
      <c r="R314" s="375" t="e">
        <f t="shared" si="19"/>
        <v>#DIV/0!</v>
      </c>
      <c r="S314" s="376" t="e">
        <f t="shared" si="20"/>
        <v>#DIV/0!</v>
      </c>
      <c r="T314" s="121"/>
    </row>
    <row r="315" spans="1:20" s="120" customFormat="1" ht="32.1" customHeight="1" x14ac:dyDescent="0.2">
      <c r="A315" s="361" t="s">
        <v>214</v>
      </c>
      <c r="B315" s="406" t="s">
        <v>1138</v>
      </c>
      <c r="C315" s="477" t="s">
        <v>1139</v>
      </c>
      <c r="D315" s="393">
        <v>153</v>
      </c>
      <c r="E315" s="46"/>
      <c r="F315" s="46"/>
      <c r="G315" s="46"/>
      <c r="H315" s="46"/>
      <c r="I315" s="46"/>
      <c r="J315" s="46"/>
      <c r="K315" s="47"/>
      <c r="L315" s="47"/>
      <c r="M315" s="47"/>
      <c r="N315" s="47">
        <v>0</v>
      </c>
      <c r="O315" s="47">
        <v>0</v>
      </c>
      <c r="P315" s="47">
        <v>0</v>
      </c>
      <c r="Q315" s="374">
        <f t="shared" si="21"/>
        <v>0</v>
      </c>
      <c r="R315" s="375" t="str">
        <f t="shared" si="19"/>
        <v>SI</v>
      </c>
      <c r="S315" s="376" t="str">
        <f t="shared" si="20"/>
        <v>Sin Riesgo</v>
      </c>
      <c r="T315" s="121"/>
    </row>
    <row r="316" spans="1:20" s="120" customFormat="1" ht="32.1" customHeight="1" x14ac:dyDescent="0.2">
      <c r="A316" s="361" t="s">
        <v>214</v>
      </c>
      <c r="B316" s="406" t="s">
        <v>1140</v>
      </c>
      <c r="C316" s="477" t="s">
        <v>1141</v>
      </c>
      <c r="D316" s="393">
        <v>348</v>
      </c>
      <c r="E316" s="46">
        <v>0</v>
      </c>
      <c r="F316" s="46"/>
      <c r="G316" s="46"/>
      <c r="H316" s="46"/>
      <c r="I316" s="46"/>
      <c r="J316" s="46"/>
      <c r="K316" s="47"/>
      <c r="L316" s="47"/>
      <c r="M316" s="47"/>
      <c r="N316" s="47">
        <v>19.385000000000002</v>
      </c>
      <c r="O316" s="47"/>
      <c r="P316" s="47"/>
      <c r="Q316" s="374">
        <f t="shared" si="21"/>
        <v>9.6925000000000008</v>
      </c>
      <c r="R316" s="375" t="str">
        <f t="shared" si="19"/>
        <v>NO</v>
      </c>
      <c r="S316" s="376" t="str">
        <f t="shared" si="20"/>
        <v>Bajo</v>
      </c>
      <c r="T316" s="121"/>
    </row>
    <row r="317" spans="1:20" s="120" customFormat="1" ht="32.1" customHeight="1" x14ac:dyDescent="0.2">
      <c r="A317" s="361" t="s">
        <v>214</v>
      </c>
      <c r="B317" s="406" t="s">
        <v>1142</v>
      </c>
      <c r="C317" s="477" t="s">
        <v>1143</v>
      </c>
      <c r="D317" s="393">
        <v>99</v>
      </c>
      <c r="E317" s="46"/>
      <c r="F317" s="46">
        <v>0</v>
      </c>
      <c r="G317" s="46"/>
      <c r="H317" s="46"/>
      <c r="I317" s="46"/>
      <c r="J317" s="46"/>
      <c r="K317" s="47"/>
      <c r="L317" s="47"/>
      <c r="M317" s="47"/>
      <c r="N317" s="47"/>
      <c r="O317" s="47"/>
      <c r="P317" s="47"/>
      <c r="Q317" s="374">
        <f t="shared" si="21"/>
        <v>0</v>
      </c>
      <c r="R317" s="375" t="str">
        <f t="shared" si="19"/>
        <v>SI</v>
      </c>
      <c r="S317" s="376" t="str">
        <f t="shared" si="20"/>
        <v>Sin Riesgo</v>
      </c>
      <c r="T317" s="121"/>
    </row>
    <row r="318" spans="1:20" s="120" customFormat="1" ht="32.1" customHeight="1" x14ac:dyDescent="0.2">
      <c r="A318" s="361" t="s">
        <v>214</v>
      </c>
      <c r="B318" s="406" t="s">
        <v>1144</v>
      </c>
      <c r="C318" s="477" t="s">
        <v>1145</v>
      </c>
      <c r="D318" s="393">
        <v>46</v>
      </c>
      <c r="E318" s="46"/>
      <c r="F318" s="46"/>
      <c r="G318" s="46"/>
      <c r="H318" s="46"/>
      <c r="I318" s="46"/>
      <c r="J318" s="46"/>
      <c r="K318" s="47"/>
      <c r="L318" s="47"/>
      <c r="M318" s="47"/>
      <c r="N318" s="47"/>
      <c r="O318" s="47">
        <v>27.1</v>
      </c>
      <c r="P318" s="47"/>
      <c r="Q318" s="374">
        <f t="shared" si="21"/>
        <v>27.1</v>
      </c>
      <c r="R318" s="375" t="str">
        <f t="shared" si="19"/>
        <v>NO</v>
      </c>
      <c r="S318" s="376" t="str">
        <f t="shared" si="20"/>
        <v>Medio</v>
      </c>
      <c r="T318" s="121"/>
    </row>
    <row r="319" spans="1:20" s="120" customFormat="1" ht="32.1" customHeight="1" x14ac:dyDescent="0.2">
      <c r="A319" s="361" t="s">
        <v>214</v>
      </c>
      <c r="B319" s="406" t="s">
        <v>1146</v>
      </c>
      <c r="C319" s="477" t="s">
        <v>1147</v>
      </c>
      <c r="D319" s="393">
        <v>103</v>
      </c>
      <c r="E319" s="46"/>
      <c r="F319" s="46"/>
      <c r="G319" s="46"/>
      <c r="H319" s="46"/>
      <c r="I319" s="46">
        <v>0</v>
      </c>
      <c r="J319" s="46"/>
      <c r="K319" s="47"/>
      <c r="L319" s="47"/>
      <c r="M319" s="47"/>
      <c r="N319" s="47"/>
      <c r="O319" s="47"/>
      <c r="P319" s="47">
        <v>0</v>
      </c>
      <c r="Q319" s="374">
        <f t="shared" si="21"/>
        <v>0</v>
      </c>
      <c r="R319" s="375" t="str">
        <f t="shared" si="19"/>
        <v>SI</v>
      </c>
      <c r="S319" s="376" t="str">
        <f t="shared" si="20"/>
        <v>Sin Riesgo</v>
      </c>
      <c r="T319" s="121"/>
    </row>
    <row r="320" spans="1:20" s="120" customFormat="1" ht="32.1" customHeight="1" x14ac:dyDescent="0.2">
      <c r="A320" s="361" t="s">
        <v>214</v>
      </c>
      <c r="B320" s="406" t="s">
        <v>1148</v>
      </c>
      <c r="C320" s="477" t="s">
        <v>1149</v>
      </c>
      <c r="D320" s="393">
        <v>65</v>
      </c>
      <c r="E320" s="46"/>
      <c r="F320" s="46"/>
      <c r="G320" s="46"/>
      <c r="H320" s="46"/>
      <c r="I320" s="46"/>
      <c r="J320" s="46"/>
      <c r="K320" s="47"/>
      <c r="L320" s="47"/>
      <c r="M320" s="47"/>
      <c r="N320" s="47"/>
      <c r="O320" s="47"/>
      <c r="P320" s="47">
        <v>19.350000000000001</v>
      </c>
      <c r="Q320" s="374">
        <f t="shared" si="21"/>
        <v>19.350000000000001</v>
      </c>
      <c r="R320" s="375" t="str">
        <f t="shared" si="19"/>
        <v>NO</v>
      </c>
      <c r="S320" s="376" t="str">
        <f t="shared" si="20"/>
        <v>Medio</v>
      </c>
      <c r="T320" s="121"/>
    </row>
    <row r="321" spans="1:20" s="120" customFormat="1" ht="32.1" customHeight="1" x14ac:dyDescent="0.2">
      <c r="A321" s="361" t="s">
        <v>214</v>
      </c>
      <c r="B321" s="406" t="s">
        <v>1150</v>
      </c>
      <c r="C321" s="477" t="s">
        <v>1151</v>
      </c>
      <c r="D321" s="393">
        <v>74</v>
      </c>
      <c r="E321" s="46"/>
      <c r="F321" s="46"/>
      <c r="G321" s="46"/>
      <c r="H321" s="46"/>
      <c r="I321" s="46"/>
      <c r="J321" s="46"/>
      <c r="K321" s="47"/>
      <c r="L321" s="47"/>
      <c r="M321" s="47"/>
      <c r="N321" s="47"/>
      <c r="O321" s="47">
        <v>19.350000000000001</v>
      </c>
      <c r="P321" s="47"/>
      <c r="Q321" s="374">
        <f t="shared" si="21"/>
        <v>19.350000000000001</v>
      </c>
      <c r="R321" s="375" t="str">
        <f t="shared" ref="R321:R386" si="22">IF(Q321&lt;5,"SI","NO")</f>
        <v>NO</v>
      </c>
      <c r="S321" s="376" t="str">
        <f t="shared" si="20"/>
        <v>Medio</v>
      </c>
      <c r="T321" s="121"/>
    </row>
    <row r="322" spans="1:20" s="120" customFormat="1" ht="32.1" customHeight="1" x14ac:dyDescent="0.2">
      <c r="A322" s="361" t="s">
        <v>214</v>
      </c>
      <c r="B322" s="406" t="s">
        <v>96</v>
      </c>
      <c r="C322" s="477" t="s">
        <v>1152</v>
      </c>
      <c r="D322" s="393">
        <v>163</v>
      </c>
      <c r="E322" s="46">
        <v>0</v>
      </c>
      <c r="F322" s="46">
        <v>0</v>
      </c>
      <c r="G322" s="46">
        <v>0</v>
      </c>
      <c r="H322" s="46">
        <v>27.1</v>
      </c>
      <c r="I322" s="46"/>
      <c r="J322" s="46">
        <v>0</v>
      </c>
      <c r="K322" s="47">
        <v>27.1</v>
      </c>
      <c r="L322" s="47">
        <v>0</v>
      </c>
      <c r="M322" s="47">
        <v>26.67</v>
      </c>
      <c r="N322" s="47">
        <v>19.350000000000001</v>
      </c>
      <c r="O322" s="47">
        <v>19.350000000000001</v>
      </c>
      <c r="P322" s="47">
        <v>0</v>
      </c>
      <c r="Q322" s="374">
        <f t="shared" si="21"/>
        <v>10.87</v>
      </c>
      <c r="R322" s="375" t="str">
        <f t="shared" si="22"/>
        <v>NO</v>
      </c>
      <c r="S322" s="376" t="str">
        <f t="shared" si="20"/>
        <v>Bajo</v>
      </c>
      <c r="T322" s="121"/>
    </row>
    <row r="323" spans="1:20" s="120" customFormat="1" ht="32.1" customHeight="1" x14ac:dyDescent="0.2">
      <c r="A323" s="361" t="s">
        <v>214</v>
      </c>
      <c r="B323" s="406" t="s">
        <v>1153</v>
      </c>
      <c r="C323" s="477" t="s">
        <v>1154</v>
      </c>
      <c r="D323" s="393"/>
      <c r="E323" s="46"/>
      <c r="F323" s="46"/>
      <c r="G323" s="46"/>
      <c r="H323" s="46"/>
      <c r="I323" s="46"/>
      <c r="J323" s="46"/>
      <c r="K323" s="47"/>
      <c r="L323" s="47"/>
      <c r="M323" s="47"/>
      <c r="N323" s="47"/>
      <c r="O323" s="47"/>
      <c r="P323" s="47"/>
      <c r="Q323" s="374" t="e">
        <f t="shared" si="21"/>
        <v>#DIV/0!</v>
      </c>
      <c r="R323" s="375" t="e">
        <f t="shared" si="22"/>
        <v>#DIV/0!</v>
      </c>
      <c r="S323" s="376" t="e">
        <f t="shared" si="20"/>
        <v>#DIV/0!</v>
      </c>
      <c r="T323" s="121"/>
    </row>
    <row r="324" spans="1:20" s="120" customFormat="1" ht="32.1" customHeight="1" x14ac:dyDescent="0.2">
      <c r="A324" s="361" t="s">
        <v>214</v>
      </c>
      <c r="B324" s="406" t="s">
        <v>1155</v>
      </c>
      <c r="C324" s="477" t="s">
        <v>1156</v>
      </c>
      <c r="D324" s="393"/>
      <c r="E324" s="46"/>
      <c r="F324" s="46"/>
      <c r="G324" s="46"/>
      <c r="H324" s="46"/>
      <c r="I324" s="46"/>
      <c r="J324" s="46"/>
      <c r="K324" s="47"/>
      <c r="L324" s="47"/>
      <c r="M324" s="47"/>
      <c r="N324" s="47"/>
      <c r="O324" s="47"/>
      <c r="P324" s="47"/>
      <c r="Q324" s="374" t="e">
        <f t="shared" si="21"/>
        <v>#DIV/0!</v>
      </c>
      <c r="R324" s="375" t="e">
        <f t="shared" si="22"/>
        <v>#DIV/0!</v>
      </c>
      <c r="S324" s="376" t="e">
        <f t="shared" si="20"/>
        <v>#DIV/0!</v>
      </c>
      <c r="T324" s="121"/>
    </row>
    <row r="325" spans="1:20" s="120" customFormat="1" ht="32.1" customHeight="1" x14ac:dyDescent="0.2">
      <c r="A325" s="361" t="s">
        <v>214</v>
      </c>
      <c r="B325" s="406" t="s">
        <v>69</v>
      </c>
      <c r="C325" s="477" t="s">
        <v>1157</v>
      </c>
      <c r="D325" s="393"/>
      <c r="E325" s="46"/>
      <c r="F325" s="46"/>
      <c r="G325" s="46"/>
      <c r="H325" s="46"/>
      <c r="I325" s="46"/>
      <c r="J325" s="46"/>
      <c r="K325" s="47"/>
      <c r="L325" s="47"/>
      <c r="M325" s="47"/>
      <c r="N325" s="47"/>
      <c r="O325" s="47"/>
      <c r="P325" s="47"/>
      <c r="Q325" s="374" t="e">
        <f t="shared" si="21"/>
        <v>#DIV/0!</v>
      </c>
      <c r="R325" s="375" t="e">
        <f t="shared" si="22"/>
        <v>#DIV/0!</v>
      </c>
      <c r="S325" s="376" t="e">
        <f t="shared" si="20"/>
        <v>#DIV/0!</v>
      </c>
      <c r="T325" s="121"/>
    </row>
    <row r="326" spans="1:20" s="120" customFormat="1" ht="32.1" customHeight="1" x14ac:dyDescent="0.2">
      <c r="A326" s="361" t="s">
        <v>214</v>
      </c>
      <c r="B326" s="406" t="s">
        <v>1158</v>
      </c>
      <c r="C326" s="477" t="s">
        <v>1159</v>
      </c>
      <c r="D326" s="393">
        <v>65</v>
      </c>
      <c r="E326" s="46"/>
      <c r="F326" s="46"/>
      <c r="G326" s="46"/>
      <c r="H326" s="46"/>
      <c r="I326" s="46"/>
      <c r="J326" s="46"/>
      <c r="K326" s="47"/>
      <c r="L326" s="47"/>
      <c r="M326" s="47"/>
      <c r="N326" s="47"/>
      <c r="O326" s="47">
        <v>0</v>
      </c>
      <c r="P326" s="47">
        <v>0</v>
      </c>
      <c r="Q326" s="374">
        <f t="shared" si="21"/>
        <v>0</v>
      </c>
      <c r="R326" s="375" t="str">
        <f t="shared" si="22"/>
        <v>SI</v>
      </c>
      <c r="S326" s="376" t="str">
        <f t="shared" si="20"/>
        <v>Sin Riesgo</v>
      </c>
      <c r="T326" s="121"/>
    </row>
    <row r="327" spans="1:20" s="120" customFormat="1" ht="32.1" customHeight="1" x14ac:dyDescent="0.2">
      <c r="A327" s="361" t="s">
        <v>214</v>
      </c>
      <c r="B327" s="406" t="s">
        <v>1160</v>
      </c>
      <c r="C327" s="477" t="s">
        <v>1161</v>
      </c>
      <c r="D327" s="393"/>
      <c r="E327" s="46"/>
      <c r="F327" s="46"/>
      <c r="G327" s="46"/>
      <c r="H327" s="46"/>
      <c r="I327" s="46"/>
      <c r="J327" s="46"/>
      <c r="K327" s="47"/>
      <c r="L327" s="47"/>
      <c r="M327" s="47"/>
      <c r="N327" s="47"/>
      <c r="O327" s="47"/>
      <c r="P327" s="47"/>
      <c r="Q327" s="374" t="e">
        <f t="shared" si="21"/>
        <v>#DIV/0!</v>
      </c>
      <c r="R327" s="375" t="e">
        <f t="shared" si="22"/>
        <v>#DIV/0!</v>
      </c>
      <c r="S327" s="376" t="e">
        <f t="shared" si="20"/>
        <v>#DIV/0!</v>
      </c>
      <c r="T327" s="121"/>
    </row>
    <row r="328" spans="1:20" s="120" customFormat="1" ht="32.1" customHeight="1" x14ac:dyDescent="0.2">
      <c r="A328" s="361" t="s">
        <v>214</v>
      </c>
      <c r="B328" s="406" t="s">
        <v>1162</v>
      </c>
      <c r="C328" s="477" t="s">
        <v>1163</v>
      </c>
      <c r="D328" s="393">
        <v>134</v>
      </c>
      <c r="E328" s="46"/>
      <c r="F328" s="46"/>
      <c r="G328" s="46"/>
      <c r="H328" s="46"/>
      <c r="I328" s="46"/>
      <c r="J328" s="46"/>
      <c r="K328" s="47"/>
      <c r="L328" s="47"/>
      <c r="M328" s="47"/>
      <c r="N328" s="47">
        <v>27.1</v>
      </c>
      <c r="O328" s="47">
        <v>0</v>
      </c>
      <c r="P328" s="47">
        <v>9.6750000000000007</v>
      </c>
      <c r="Q328" s="374">
        <f t="shared" si="21"/>
        <v>12.258333333333335</v>
      </c>
      <c r="R328" s="375" t="str">
        <f t="shared" si="22"/>
        <v>NO</v>
      </c>
      <c r="S328" s="376" t="str">
        <f t="shared" si="20"/>
        <v>Bajo</v>
      </c>
      <c r="T328" s="121"/>
    </row>
    <row r="329" spans="1:20" s="120" customFormat="1" ht="32.1" customHeight="1" x14ac:dyDescent="0.2">
      <c r="A329" s="361" t="s">
        <v>214</v>
      </c>
      <c r="B329" s="406" t="s">
        <v>1164</v>
      </c>
      <c r="C329" s="477" t="s">
        <v>1165</v>
      </c>
      <c r="D329" s="393">
        <v>122</v>
      </c>
      <c r="E329" s="46"/>
      <c r="F329" s="46"/>
      <c r="G329" s="46"/>
      <c r="H329" s="46"/>
      <c r="I329" s="46"/>
      <c r="J329" s="46"/>
      <c r="K329" s="47"/>
      <c r="L329" s="47"/>
      <c r="M329" s="47"/>
      <c r="N329" s="47">
        <v>0</v>
      </c>
      <c r="O329" s="47">
        <v>0</v>
      </c>
      <c r="P329" s="47">
        <v>0</v>
      </c>
      <c r="Q329" s="374">
        <f t="shared" si="21"/>
        <v>0</v>
      </c>
      <c r="R329" s="375" t="str">
        <f t="shared" si="22"/>
        <v>SI</v>
      </c>
      <c r="S329" s="376" t="str">
        <f t="shared" si="20"/>
        <v>Sin Riesgo</v>
      </c>
      <c r="T329" s="121"/>
    </row>
    <row r="330" spans="1:20" s="120" customFormat="1" ht="32.1" customHeight="1" x14ac:dyDescent="0.2">
      <c r="A330" s="361" t="s">
        <v>214</v>
      </c>
      <c r="B330" s="406" t="s">
        <v>1166</v>
      </c>
      <c r="C330" s="477" t="s">
        <v>1167</v>
      </c>
      <c r="D330" s="393"/>
      <c r="E330" s="46"/>
      <c r="F330" s="46"/>
      <c r="G330" s="46"/>
      <c r="H330" s="46"/>
      <c r="I330" s="46"/>
      <c r="J330" s="46"/>
      <c r="K330" s="47"/>
      <c r="L330" s="47"/>
      <c r="M330" s="47"/>
      <c r="N330" s="47"/>
      <c r="O330" s="47"/>
      <c r="P330" s="47"/>
      <c r="Q330" s="374" t="e">
        <f t="shared" si="21"/>
        <v>#DIV/0!</v>
      </c>
      <c r="R330" s="375" t="e">
        <f t="shared" si="22"/>
        <v>#DIV/0!</v>
      </c>
      <c r="S330" s="376" t="e">
        <f t="shared" si="20"/>
        <v>#DIV/0!</v>
      </c>
      <c r="T330" s="121"/>
    </row>
    <row r="331" spans="1:20" s="120" customFormat="1" ht="32.1" customHeight="1" x14ac:dyDescent="0.2">
      <c r="A331" s="361" t="s">
        <v>214</v>
      </c>
      <c r="B331" s="406" t="s">
        <v>1142</v>
      </c>
      <c r="C331" s="477" t="s">
        <v>1168</v>
      </c>
      <c r="D331" s="393">
        <v>119</v>
      </c>
      <c r="E331" s="46"/>
      <c r="F331" s="46"/>
      <c r="G331" s="46"/>
      <c r="H331" s="46"/>
      <c r="I331" s="46"/>
      <c r="J331" s="46">
        <v>0</v>
      </c>
      <c r="K331" s="47"/>
      <c r="L331" s="47"/>
      <c r="M331" s="47">
        <v>19.350000000000001</v>
      </c>
      <c r="N331" s="47">
        <v>19.350000000000001</v>
      </c>
      <c r="O331" s="47"/>
      <c r="P331" s="47">
        <v>0</v>
      </c>
      <c r="Q331" s="374">
        <f t="shared" si="21"/>
        <v>9.6750000000000007</v>
      </c>
      <c r="R331" s="375" t="str">
        <f t="shared" si="22"/>
        <v>NO</v>
      </c>
      <c r="S331" s="376" t="str">
        <f t="shared" si="20"/>
        <v>Bajo</v>
      </c>
      <c r="T331" s="121"/>
    </row>
    <row r="332" spans="1:20" s="120" customFormat="1" ht="32.1" customHeight="1" x14ac:dyDescent="0.2">
      <c r="A332" s="361" t="s">
        <v>214</v>
      </c>
      <c r="B332" s="406" t="s">
        <v>1142</v>
      </c>
      <c r="C332" s="477" t="s">
        <v>1169</v>
      </c>
      <c r="D332" s="393">
        <v>142</v>
      </c>
      <c r="E332" s="46"/>
      <c r="F332" s="46"/>
      <c r="G332" s="46"/>
      <c r="H332" s="46"/>
      <c r="I332" s="46"/>
      <c r="J332" s="46"/>
      <c r="K332" s="47"/>
      <c r="L332" s="47"/>
      <c r="M332" s="47"/>
      <c r="N332" s="47">
        <v>0</v>
      </c>
      <c r="O332" s="47">
        <v>0</v>
      </c>
      <c r="P332" s="47">
        <v>0</v>
      </c>
      <c r="Q332" s="374">
        <f t="shared" si="21"/>
        <v>0</v>
      </c>
      <c r="R332" s="375" t="str">
        <f t="shared" si="22"/>
        <v>SI</v>
      </c>
      <c r="S332" s="376" t="str">
        <f t="shared" ref="S332:S397" si="23">IF(Q332&lt;5,"Sin Riesgo",IF(Q332 &lt;=14,"Bajo",IF(Q332&lt;=35,"Medio",IF(Q332&lt;=80,"Alto","Inviable Sanitariamente"))))</f>
        <v>Sin Riesgo</v>
      </c>
      <c r="T332" s="121"/>
    </row>
    <row r="333" spans="1:20" s="120" customFormat="1" ht="32.1" customHeight="1" x14ac:dyDescent="0.2">
      <c r="A333" s="361" t="s">
        <v>214</v>
      </c>
      <c r="B333" s="406" t="s">
        <v>1170</v>
      </c>
      <c r="C333" s="477" t="s">
        <v>1171</v>
      </c>
      <c r="D333" s="393">
        <v>81</v>
      </c>
      <c r="E333" s="46"/>
      <c r="F333" s="46"/>
      <c r="G333" s="46"/>
      <c r="H333" s="46"/>
      <c r="I333" s="46"/>
      <c r="J333" s="46"/>
      <c r="K333" s="47"/>
      <c r="L333" s="47"/>
      <c r="M333" s="47"/>
      <c r="N333" s="47"/>
      <c r="O333" s="47">
        <v>0</v>
      </c>
      <c r="P333" s="47">
        <v>0</v>
      </c>
      <c r="Q333" s="374">
        <f t="shared" si="21"/>
        <v>0</v>
      </c>
      <c r="R333" s="375" t="str">
        <f t="shared" si="22"/>
        <v>SI</v>
      </c>
      <c r="S333" s="376" t="str">
        <f t="shared" si="23"/>
        <v>Sin Riesgo</v>
      </c>
      <c r="T333" s="121"/>
    </row>
    <row r="334" spans="1:20" s="120" customFormat="1" ht="32.1" customHeight="1" x14ac:dyDescent="0.2">
      <c r="A334" s="361" t="s">
        <v>214</v>
      </c>
      <c r="B334" s="406" t="s">
        <v>1150</v>
      </c>
      <c r="C334" s="477" t="s">
        <v>1172</v>
      </c>
      <c r="D334" s="393"/>
      <c r="E334" s="46"/>
      <c r="F334" s="46"/>
      <c r="G334" s="46"/>
      <c r="H334" s="46"/>
      <c r="I334" s="46"/>
      <c r="J334" s="46"/>
      <c r="K334" s="47"/>
      <c r="L334" s="47"/>
      <c r="M334" s="47"/>
      <c r="N334" s="47"/>
      <c r="O334" s="47"/>
      <c r="P334" s="47"/>
      <c r="Q334" s="374" t="e">
        <f t="shared" si="21"/>
        <v>#DIV/0!</v>
      </c>
      <c r="R334" s="375" t="e">
        <f t="shared" si="22"/>
        <v>#DIV/0!</v>
      </c>
      <c r="S334" s="376" t="e">
        <f t="shared" si="23"/>
        <v>#DIV/0!</v>
      </c>
      <c r="T334" s="121"/>
    </row>
    <row r="335" spans="1:20" s="120" customFormat="1" ht="32.1" customHeight="1" x14ac:dyDescent="0.2">
      <c r="A335" s="361" t="s">
        <v>214</v>
      </c>
      <c r="B335" s="406" t="s">
        <v>1164</v>
      </c>
      <c r="C335" s="477" t="s">
        <v>1173</v>
      </c>
      <c r="D335" s="393"/>
      <c r="E335" s="46"/>
      <c r="F335" s="46"/>
      <c r="G335" s="46"/>
      <c r="H335" s="46"/>
      <c r="I335" s="46"/>
      <c r="J335" s="46"/>
      <c r="K335" s="47"/>
      <c r="L335" s="47"/>
      <c r="M335" s="47"/>
      <c r="N335" s="47"/>
      <c r="O335" s="47"/>
      <c r="P335" s="47"/>
      <c r="Q335" s="374" t="e">
        <f t="shared" si="21"/>
        <v>#DIV/0!</v>
      </c>
      <c r="R335" s="375" t="e">
        <f t="shared" si="22"/>
        <v>#DIV/0!</v>
      </c>
      <c r="S335" s="376" t="e">
        <f t="shared" si="23"/>
        <v>#DIV/0!</v>
      </c>
      <c r="T335" s="121"/>
    </row>
    <row r="336" spans="1:20" s="120" customFormat="1" ht="32.1" customHeight="1" x14ac:dyDescent="0.2">
      <c r="A336" s="361" t="s">
        <v>214</v>
      </c>
      <c r="B336" s="406" t="s">
        <v>1174</v>
      </c>
      <c r="C336" s="477" t="s">
        <v>1175</v>
      </c>
      <c r="D336" s="393">
        <v>140</v>
      </c>
      <c r="E336" s="46">
        <v>0</v>
      </c>
      <c r="F336" s="46">
        <v>0</v>
      </c>
      <c r="G336" s="46"/>
      <c r="H336" s="46"/>
      <c r="I336" s="46">
        <v>19.350000000000001</v>
      </c>
      <c r="J336" s="46">
        <v>27.1</v>
      </c>
      <c r="K336" s="47"/>
      <c r="L336" s="47"/>
      <c r="M336" s="47"/>
      <c r="N336" s="47">
        <v>21.1</v>
      </c>
      <c r="O336" s="47">
        <v>19.350000000000001</v>
      </c>
      <c r="P336" s="47">
        <v>7.6749999999999998</v>
      </c>
      <c r="Q336" s="374">
        <f t="shared" si="21"/>
        <v>13.510714285714286</v>
      </c>
      <c r="R336" s="375" t="str">
        <f t="shared" si="22"/>
        <v>NO</v>
      </c>
      <c r="S336" s="376" t="str">
        <f t="shared" si="23"/>
        <v>Bajo</v>
      </c>
      <c r="T336" s="121"/>
    </row>
    <row r="337" spans="1:20" s="120" customFormat="1" ht="32.1" customHeight="1" x14ac:dyDescent="0.2">
      <c r="A337" s="361" t="s">
        <v>214</v>
      </c>
      <c r="B337" s="406" t="s">
        <v>1176</v>
      </c>
      <c r="C337" s="477" t="s">
        <v>1177</v>
      </c>
      <c r="D337" s="393">
        <v>139</v>
      </c>
      <c r="E337" s="46">
        <v>0</v>
      </c>
      <c r="F337" s="46">
        <v>0</v>
      </c>
      <c r="G337" s="46"/>
      <c r="H337" s="46"/>
      <c r="I337" s="46">
        <v>19.350000000000001</v>
      </c>
      <c r="J337" s="46"/>
      <c r="K337" s="47"/>
      <c r="L337" s="47"/>
      <c r="M337" s="47"/>
      <c r="N337" s="47">
        <v>19.350000000000001</v>
      </c>
      <c r="O337" s="47">
        <v>9.6750000000000007</v>
      </c>
      <c r="P337" s="47">
        <v>7.6749999999999998</v>
      </c>
      <c r="Q337" s="374">
        <f t="shared" si="21"/>
        <v>9.3416666666666668</v>
      </c>
      <c r="R337" s="375" t="str">
        <f t="shared" si="22"/>
        <v>NO</v>
      </c>
      <c r="S337" s="376" t="str">
        <f t="shared" si="23"/>
        <v>Bajo</v>
      </c>
      <c r="T337" s="121"/>
    </row>
    <row r="338" spans="1:20" s="120" customFormat="1" ht="32.1" customHeight="1" x14ac:dyDescent="0.2">
      <c r="A338" s="361" t="s">
        <v>214</v>
      </c>
      <c r="B338" s="406" t="s">
        <v>1178</v>
      </c>
      <c r="C338" s="477" t="s">
        <v>1179</v>
      </c>
      <c r="D338" s="393"/>
      <c r="E338" s="46"/>
      <c r="F338" s="46"/>
      <c r="G338" s="46"/>
      <c r="H338" s="46"/>
      <c r="I338" s="46"/>
      <c r="J338" s="46"/>
      <c r="K338" s="47"/>
      <c r="L338" s="47"/>
      <c r="M338" s="47"/>
      <c r="N338" s="47"/>
      <c r="O338" s="47"/>
      <c r="P338" s="47"/>
      <c r="Q338" s="374" t="e">
        <f t="shared" ref="Q338:Q403" si="24">AVERAGE(E338:P338)</f>
        <v>#DIV/0!</v>
      </c>
      <c r="R338" s="375" t="e">
        <f t="shared" si="22"/>
        <v>#DIV/0!</v>
      </c>
      <c r="S338" s="376" t="e">
        <f t="shared" si="23"/>
        <v>#DIV/0!</v>
      </c>
      <c r="T338" s="121"/>
    </row>
    <row r="339" spans="1:20" s="120" customFormat="1" ht="32.1" customHeight="1" x14ac:dyDescent="0.2">
      <c r="A339" s="361" t="s">
        <v>214</v>
      </c>
      <c r="B339" s="406" t="s">
        <v>1180</v>
      </c>
      <c r="C339" s="477" t="s">
        <v>1181</v>
      </c>
      <c r="D339" s="393">
        <v>154</v>
      </c>
      <c r="E339" s="46">
        <v>0</v>
      </c>
      <c r="F339" s="46"/>
      <c r="G339" s="46"/>
      <c r="H339" s="46"/>
      <c r="I339" s="46"/>
      <c r="J339" s="46"/>
      <c r="K339" s="47"/>
      <c r="L339" s="47"/>
      <c r="M339" s="47"/>
      <c r="N339" s="47">
        <v>0</v>
      </c>
      <c r="O339" s="47">
        <v>0</v>
      </c>
      <c r="P339" s="47">
        <v>0</v>
      </c>
      <c r="Q339" s="374">
        <f t="shared" si="24"/>
        <v>0</v>
      </c>
      <c r="R339" s="375" t="str">
        <f t="shared" si="22"/>
        <v>SI</v>
      </c>
      <c r="S339" s="376" t="str">
        <f t="shared" si="23"/>
        <v>Sin Riesgo</v>
      </c>
      <c r="T339" s="121"/>
    </row>
    <row r="340" spans="1:20" s="120" customFormat="1" ht="32.1" customHeight="1" x14ac:dyDescent="0.2">
      <c r="A340" s="361" t="s">
        <v>214</v>
      </c>
      <c r="B340" s="406" t="s">
        <v>1182</v>
      </c>
      <c r="C340" s="477" t="s">
        <v>1183</v>
      </c>
      <c r="D340" s="393">
        <v>43</v>
      </c>
      <c r="E340" s="46"/>
      <c r="F340" s="46"/>
      <c r="G340" s="46"/>
      <c r="H340" s="46">
        <v>19.350000000000001</v>
      </c>
      <c r="I340" s="46"/>
      <c r="J340" s="46">
        <v>0</v>
      </c>
      <c r="K340" s="47"/>
      <c r="L340" s="47"/>
      <c r="M340" s="47"/>
      <c r="N340" s="47"/>
      <c r="O340" s="47">
        <v>0</v>
      </c>
      <c r="P340" s="47">
        <v>0</v>
      </c>
      <c r="Q340" s="374">
        <f t="shared" si="24"/>
        <v>4.8375000000000004</v>
      </c>
      <c r="R340" s="375" t="str">
        <f t="shared" si="22"/>
        <v>SI</v>
      </c>
      <c r="S340" s="376" t="str">
        <f t="shared" si="23"/>
        <v>Sin Riesgo</v>
      </c>
      <c r="T340" s="121"/>
    </row>
    <row r="341" spans="1:20" s="120" customFormat="1" ht="32.1" customHeight="1" x14ac:dyDescent="0.2">
      <c r="A341" s="361" t="s">
        <v>214</v>
      </c>
      <c r="B341" s="406" t="s">
        <v>1107</v>
      </c>
      <c r="C341" s="477" t="s">
        <v>1184</v>
      </c>
      <c r="D341" s="393"/>
      <c r="E341" s="46"/>
      <c r="F341" s="46"/>
      <c r="G341" s="46"/>
      <c r="H341" s="46"/>
      <c r="I341" s="46"/>
      <c r="J341" s="46"/>
      <c r="K341" s="46"/>
      <c r="L341" s="46"/>
      <c r="M341" s="46"/>
      <c r="N341" s="46"/>
      <c r="O341" s="46"/>
      <c r="P341" s="46"/>
      <c r="Q341" s="374" t="e">
        <f t="shared" si="24"/>
        <v>#DIV/0!</v>
      </c>
      <c r="R341" s="375" t="e">
        <f t="shared" si="22"/>
        <v>#DIV/0!</v>
      </c>
      <c r="S341" s="376" t="e">
        <f t="shared" si="23"/>
        <v>#DIV/0!</v>
      </c>
      <c r="T341" s="121"/>
    </row>
    <row r="342" spans="1:20" s="120" customFormat="1" ht="32.1" customHeight="1" x14ac:dyDescent="0.2">
      <c r="A342" s="361" t="s">
        <v>214</v>
      </c>
      <c r="B342" s="406" t="s">
        <v>1072</v>
      </c>
      <c r="C342" s="477" t="s">
        <v>1185</v>
      </c>
      <c r="D342" s="393"/>
      <c r="E342" s="46"/>
      <c r="F342" s="46"/>
      <c r="G342" s="46"/>
      <c r="H342" s="46"/>
      <c r="I342" s="46"/>
      <c r="J342" s="46"/>
      <c r="K342" s="46"/>
      <c r="L342" s="46"/>
      <c r="M342" s="46"/>
      <c r="N342" s="46"/>
      <c r="O342" s="46"/>
      <c r="P342" s="46"/>
      <c r="Q342" s="374" t="e">
        <f t="shared" si="24"/>
        <v>#DIV/0!</v>
      </c>
      <c r="R342" s="375" t="e">
        <f t="shared" si="22"/>
        <v>#DIV/0!</v>
      </c>
      <c r="S342" s="376" t="e">
        <f t="shared" si="23"/>
        <v>#DIV/0!</v>
      </c>
      <c r="T342" s="121"/>
    </row>
    <row r="343" spans="1:20" s="120" customFormat="1" ht="32.1" customHeight="1" x14ac:dyDescent="0.2">
      <c r="A343" s="361" t="s">
        <v>214</v>
      </c>
      <c r="B343" s="406" t="s">
        <v>1174</v>
      </c>
      <c r="C343" s="477" t="s">
        <v>1186</v>
      </c>
      <c r="D343" s="393"/>
      <c r="E343" s="46"/>
      <c r="F343" s="46"/>
      <c r="G343" s="46"/>
      <c r="H343" s="46"/>
      <c r="I343" s="46"/>
      <c r="J343" s="46"/>
      <c r="K343" s="46"/>
      <c r="L343" s="46"/>
      <c r="M343" s="46"/>
      <c r="N343" s="46"/>
      <c r="O343" s="46"/>
      <c r="P343" s="46"/>
      <c r="Q343" s="374" t="e">
        <f t="shared" si="24"/>
        <v>#DIV/0!</v>
      </c>
      <c r="R343" s="375" t="e">
        <f t="shared" si="22"/>
        <v>#DIV/0!</v>
      </c>
      <c r="S343" s="376" t="e">
        <f t="shared" si="23"/>
        <v>#DIV/0!</v>
      </c>
      <c r="T343" s="121"/>
    </row>
    <row r="344" spans="1:20" s="120" customFormat="1" ht="32.1" customHeight="1" x14ac:dyDescent="0.2">
      <c r="A344" s="361" t="s">
        <v>214</v>
      </c>
      <c r="B344" s="406" t="s">
        <v>1138</v>
      </c>
      <c r="C344" s="477" t="s">
        <v>1187</v>
      </c>
      <c r="D344" s="393"/>
      <c r="E344" s="46"/>
      <c r="F344" s="46"/>
      <c r="G344" s="46"/>
      <c r="H344" s="46"/>
      <c r="I344" s="46"/>
      <c r="J344" s="46"/>
      <c r="K344" s="46"/>
      <c r="L344" s="46"/>
      <c r="M344" s="46"/>
      <c r="N344" s="46"/>
      <c r="O344" s="46"/>
      <c r="P344" s="46"/>
      <c r="Q344" s="374" t="e">
        <f t="shared" si="24"/>
        <v>#DIV/0!</v>
      </c>
      <c r="R344" s="375" t="e">
        <f t="shared" si="22"/>
        <v>#DIV/0!</v>
      </c>
      <c r="S344" s="376" t="e">
        <f t="shared" si="23"/>
        <v>#DIV/0!</v>
      </c>
      <c r="T344" s="121"/>
    </row>
    <row r="345" spans="1:20" s="120" customFormat="1" ht="32.1" customHeight="1" x14ac:dyDescent="0.2">
      <c r="A345" s="361" t="s">
        <v>214</v>
      </c>
      <c r="B345" s="406" t="s">
        <v>1188</v>
      </c>
      <c r="C345" s="477" t="s">
        <v>1189</v>
      </c>
      <c r="D345" s="364"/>
      <c r="E345" s="46"/>
      <c r="F345" s="46"/>
      <c r="G345" s="46"/>
      <c r="H345" s="46"/>
      <c r="I345" s="46"/>
      <c r="J345" s="46"/>
      <c r="K345" s="46"/>
      <c r="L345" s="46"/>
      <c r="M345" s="46"/>
      <c r="N345" s="46"/>
      <c r="O345" s="46"/>
      <c r="P345" s="46"/>
      <c r="Q345" s="374" t="e">
        <f t="shared" si="24"/>
        <v>#DIV/0!</v>
      </c>
      <c r="R345" s="501" t="e">
        <f t="shared" si="22"/>
        <v>#DIV/0!</v>
      </c>
      <c r="S345" s="376" t="e">
        <f t="shared" si="23"/>
        <v>#DIV/0!</v>
      </c>
      <c r="T345" s="121"/>
    </row>
    <row r="346" spans="1:20" s="120" customFormat="1" ht="32.1" customHeight="1" x14ac:dyDescent="0.2">
      <c r="A346" s="361" t="s">
        <v>215</v>
      </c>
      <c r="B346" s="406" t="s">
        <v>617</v>
      </c>
      <c r="C346" s="477" t="s">
        <v>1190</v>
      </c>
      <c r="D346" s="364">
        <v>38</v>
      </c>
      <c r="E346" s="46"/>
      <c r="F346" s="46">
        <v>97.3</v>
      </c>
      <c r="G346" s="46"/>
      <c r="H346" s="46"/>
      <c r="I346" s="46"/>
      <c r="J346" s="46"/>
      <c r="K346" s="46"/>
      <c r="L346" s="46"/>
      <c r="M346" s="46"/>
      <c r="N346" s="46"/>
      <c r="O346" s="46"/>
      <c r="P346" s="46"/>
      <c r="Q346" s="374">
        <f t="shared" si="24"/>
        <v>97.3</v>
      </c>
      <c r="R346" s="375" t="str">
        <f t="shared" si="22"/>
        <v>NO</v>
      </c>
      <c r="S346" s="376" t="str">
        <f t="shared" si="23"/>
        <v>Inviable Sanitariamente</v>
      </c>
      <c r="T346" s="121"/>
    </row>
    <row r="347" spans="1:20" s="120" customFormat="1" ht="32.1" customHeight="1" x14ac:dyDescent="0.2">
      <c r="A347" s="361" t="s">
        <v>215</v>
      </c>
      <c r="B347" s="406" t="s">
        <v>1191</v>
      </c>
      <c r="C347" s="477" t="s">
        <v>1192</v>
      </c>
      <c r="D347" s="364">
        <v>301</v>
      </c>
      <c r="E347" s="46"/>
      <c r="F347" s="46"/>
      <c r="G347" s="46"/>
      <c r="H347" s="46"/>
      <c r="I347" s="46"/>
      <c r="J347" s="46">
        <v>0</v>
      </c>
      <c r="K347" s="46"/>
      <c r="L347" s="46"/>
      <c r="M347" s="46"/>
      <c r="N347" s="46"/>
      <c r="O347" s="46"/>
      <c r="P347" s="46"/>
      <c r="Q347" s="374">
        <f t="shared" si="24"/>
        <v>0</v>
      </c>
      <c r="R347" s="375" t="str">
        <f t="shared" si="22"/>
        <v>SI</v>
      </c>
      <c r="S347" s="376" t="str">
        <f t="shared" si="23"/>
        <v>Sin Riesgo</v>
      </c>
      <c r="T347" s="121"/>
    </row>
    <row r="348" spans="1:20" s="120" customFormat="1" ht="32.1" customHeight="1" x14ac:dyDescent="0.2">
      <c r="A348" s="361" t="s">
        <v>215</v>
      </c>
      <c r="B348" s="406" t="s">
        <v>5</v>
      </c>
      <c r="C348" s="477" t="s">
        <v>1193</v>
      </c>
      <c r="D348" s="364">
        <v>256</v>
      </c>
      <c r="E348" s="46"/>
      <c r="F348" s="46"/>
      <c r="G348" s="46"/>
      <c r="H348" s="46"/>
      <c r="I348" s="46"/>
      <c r="J348" s="46">
        <v>0</v>
      </c>
      <c r="K348" s="46"/>
      <c r="L348" s="46"/>
      <c r="M348" s="46"/>
      <c r="N348" s="46"/>
      <c r="O348" s="46"/>
      <c r="P348" s="46">
        <v>0</v>
      </c>
      <c r="Q348" s="374">
        <f t="shared" si="24"/>
        <v>0</v>
      </c>
      <c r="R348" s="375" t="str">
        <f t="shared" si="22"/>
        <v>SI</v>
      </c>
      <c r="S348" s="376" t="str">
        <f t="shared" si="23"/>
        <v>Sin Riesgo</v>
      </c>
      <c r="T348" s="121"/>
    </row>
    <row r="349" spans="1:20" s="120" customFormat="1" ht="32.1" customHeight="1" x14ac:dyDescent="0.2">
      <c r="A349" s="361" t="s">
        <v>215</v>
      </c>
      <c r="B349" s="406" t="s">
        <v>50</v>
      </c>
      <c r="C349" s="477" t="s">
        <v>1194</v>
      </c>
      <c r="D349" s="364"/>
      <c r="E349" s="46"/>
      <c r="F349" s="46"/>
      <c r="G349" s="46"/>
      <c r="H349" s="46"/>
      <c r="I349" s="46"/>
      <c r="J349" s="46"/>
      <c r="K349" s="46"/>
      <c r="L349" s="46"/>
      <c r="M349" s="46"/>
      <c r="N349" s="46"/>
      <c r="O349" s="46"/>
      <c r="P349" s="46"/>
      <c r="Q349" s="374" t="e">
        <f>AVERAGE(E349:P349)</f>
        <v>#DIV/0!</v>
      </c>
      <c r="R349" s="375" t="e">
        <f>IF(Q349&lt;5,"SI","NO")</f>
        <v>#DIV/0!</v>
      </c>
      <c r="S349" s="376" t="e">
        <f>IF(Q349&lt;5,"Sin Riesgo",IF(Q349 &lt;=14,"Bajo",IF(Q349&lt;=35,"Medio",IF(Q349&lt;=80,"Alto","Inviable Sanitariamente"))))</f>
        <v>#DIV/0!</v>
      </c>
      <c r="T349" s="298"/>
    </row>
    <row r="350" spans="1:20" s="120" customFormat="1" ht="32.1" customHeight="1" x14ac:dyDescent="0.2">
      <c r="A350" s="361" t="s">
        <v>215</v>
      </c>
      <c r="B350" s="406" t="s">
        <v>2767</v>
      </c>
      <c r="C350" s="477" t="s">
        <v>4288</v>
      </c>
      <c r="D350" s="364">
        <v>67</v>
      </c>
      <c r="E350" s="46"/>
      <c r="F350" s="46"/>
      <c r="G350" s="46"/>
      <c r="H350" s="46"/>
      <c r="I350" s="46">
        <v>0</v>
      </c>
      <c r="J350" s="46"/>
      <c r="K350" s="46"/>
      <c r="L350" s="46"/>
      <c r="M350" s="46"/>
      <c r="N350" s="46"/>
      <c r="O350" s="46"/>
      <c r="P350" s="46"/>
      <c r="Q350" s="374">
        <f>AVERAGE(E350:P350)</f>
        <v>0</v>
      </c>
      <c r="R350" s="375" t="str">
        <f>IF(Q350&lt;5,"SI","NO")</f>
        <v>SI</v>
      </c>
      <c r="S350" s="376" t="str">
        <f>IF(Q350&lt;5,"Sin Riesgo",IF(Q350 &lt;=14,"Bajo",IF(Q350&lt;=35,"Medio",IF(Q350&lt;=80,"Alto","Inviable Sanitariamente"))))</f>
        <v>Sin Riesgo</v>
      </c>
      <c r="T350" s="298"/>
    </row>
    <row r="351" spans="1:20" s="120" customFormat="1" ht="32.1" customHeight="1" x14ac:dyDescent="0.2">
      <c r="A351" s="361" t="s">
        <v>215</v>
      </c>
      <c r="B351" s="406" t="s">
        <v>60</v>
      </c>
      <c r="C351" s="477" t="s">
        <v>4289</v>
      </c>
      <c r="D351" s="364"/>
      <c r="E351" s="46"/>
      <c r="F351" s="46"/>
      <c r="G351" s="46"/>
      <c r="H351" s="46"/>
      <c r="I351" s="46"/>
      <c r="J351" s="46"/>
      <c r="K351" s="46"/>
      <c r="L351" s="46"/>
      <c r="M351" s="46"/>
      <c r="N351" s="46"/>
      <c r="O351" s="46"/>
      <c r="P351" s="46"/>
      <c r="Q351" s="374" t="e">
        <f t="shared" si="24"/>
        <v>#DIV/0!</v>
      </c>
      <c r="R351" s="375" t="e">
        <f t="shared" si="22"/>
        <v>#DIV/0!</v>
      </c>
      <c r="S351" s="376" t="e">
        <f t="shared" si="23"/>
        <v>#DIV/0!</v>
      </c>
      <c r="T351" s="121"/>
    </row>
    <row r="352" spans="1:20" s="120" customFormat="1" ht="50.1" customHeight="1" x14ac:dyDescent="0.2">
      <c r="A352" s="361" t="s">
        <v>44</v>
      </c>
      <c r="B352" s="406" t="s">
        <v>1195</v>
      </c>
      <c r="C352" s="477" t="s">
        <v>4101</v>
      </c>
      <c r="D352" s="364">
        <v>66</v>
      </c>
      <c r="E352" s="46">
        <v>0</v>
      </c>
      <c r="F352" s="46"/>
      <c r="G352" s="46">
        <v>0</v>
      </c>
      <c r="H352" s="46">
        <v>0</v>
      </c>
      <c r="I352" s="46">
        <v>0</v>
      </c>
      <c r="J352" s="46">
        <v>0</v>
      </c>
      <c r="K352" s="46"/>
      <c r="L352" s="46"/>
      <c r="M352" s="46"/>
      <c r="N352" s="46"/>
      <c r="O352" s="46"/>
      <c r="P352" s="46"/>
      <c r="Q352" s="374">
        <f t="shared" si="24"/>
        <v>0</v>
      </c>
      <c r="R352" s="375" t="str">
        <f t="shared" si="22"/>
        <v>SI</v>
      </c>
      <c r="S352" s="376" t="str">
        <f t="shared" si="23"/>
        <v>Sin Riesgo</v>
      </c>
      <c r="T352" s="121"/>
    </row>
    <row r="353" spans="1:20" s="120" customFormat="1" ht="50.1" customHeight="1" x14ac:dyDescent="0.2">
      <c r="A353" s="361" t="s">
        <v>44</v>
      </c>
      <c r="B353" s="406" t="s">
        <v>1195</v>
      </c>
      <c r="C353" s="477" t="s">
        <v>4102</v>
      </c>
      <c r="D353" s="364"/>
      <c r="E353" s="46"/>
      <c r="F353" s="46"/>
      <c r="G353" s="46"/>
      <c r="H353" s="46"/>
      <c r="I353" s="46"/>
      <c r="J353" s="46"/>
      <c r="K353" s="46"/>
      <c r="L353" s="46"/>
      <c r="M353" s="46"/>
      <c r="N353" s="46"/>
      <c r="O353" s="46"/>
      <c r="P353" s="46"/>
      <c r="Q353" s="374" t="e">
        <f t="shared" si="24"/>
        <v>#DIV/0!</v>
      </c>
      <c r="R353" s="375" t="e">
        <f t="shared" si="22"/>
        <v>#DIV/0!</v>
      </c>
      <c r="S353" s="376" t="e">
        <f t="shared" si="23"/>
        <v>#DIV/0!</v>
      </c>
      <c r="T353" s="121"/>
    </row>
    <row r="354" spans="1:20" s="120" customFormat="1" ht="50.1" customHeight="1" x14ac:dyDescent="0.2">
      <c r="A354" s="361" t="s">
        <v>44</v>
      </c>
      <c r="B354" s="406" t="s">
        <v>1196</v>
      </c>
      <c r="C354" s="477" t="s">
        <v>4103</v>
      </c>
      <c r="D354" s="364">
        <v>50</v>
      </c>
      <c r="E354" s="46">
        <v>1.94</v>
      </c>
      <c r="F354" s="46"/>
      <c r="G354" s="46">
        <v>0</v>
      </c>
      <c r="H354" s="46"/>
      <c r="I354" s="46">
        <v>19.350000000000001</v>
      </c>
      <c r="J354" s="46"/>
      <c r="K354" s="46"/>
      <c r="L354" s="46"/>
      <c r="M354" s="46"/>
      <c r="N354" s="46"/>
      <c r="O354" s="46"/>
      <c r="P354" s="46"/>
      <c r="Q354" s="374">
        <f t="shared" si="24"/>
        <v>7.0966666666666676</v>
      </c>
      <c r="R354" s="375" t="str">
        <f t="shared" si="22"/>
        <v>NO</v>
      </c>
      <c r="S354" s="376" t="str">
        <f t="shared" si="23"/>
        <v>Bajo</v>
      </c>
      <c r="T354" s="121"/>
    </row>
    <row r="355" spans="1:20" s="120" customFormat="1" ht="50.1" customHeight="1" x14ac:dyDescent="0.2">
      <c r="A355" s="361" t="s">
        <v>44</v>
      </c>
      <c r="B355" s="406" t="s">
        <v>1197</v>
      </c>
      <c r="C355" s="477" t="s">
        <v>4104</v>
      </c>
      <c r="D355" s="364">
        <v>30</v>
      </c>
      <c r="E355" s="46"/>
      <c r="F355" s="46">
        <v>70.97</v>
      </c>
      <c r="G355" s="46"/>
      <c r="H355" s="46"/>
      <c r="I355" s="46">
        <v>70.97</v>
      </c>
      <c r="J355" s="46">
        <v>90.32</v>
      </c>
      <c r="K355" s="46"/>
      <c r="L355" s="46"/>
      <c r="M355" s="46"/>
      <c r="N355" s="46"/>
      <c r="O355" s="46"/>
      <c r="P355" s="46"/>
      <c r="Q355" s="374">
        <f t="shared" si="24"/>
        <v>77.42</v>
      </c>
      <c r="R355" s="375" t="str">
        <f t="shared" si="22"/>
        <v>NO</v>
      </c>
      <c r="S355" s="376" t="str">
        <f t="shared" si="23"/>
        <v>Alto</v>
      </c>
      <c r="T355" s="121"/>
    </row>
    <row r="356" spans="1:20" s="120" customFormat="1" ht="50.1" customHeight="1" x14ac:dyDescent="0.2">
      <c r="A356" s="361" t="s">
        <v>44</v>
      </c>
      <c r="B356" s="406" t="s">
        <v>1198</v>
      </c>
      <c r="C356" s="477" t="s">
        <v>4105</v>
      </c>
      <c r="D356" s="364">
        <v>25</v>
      </c>
      <c r="E356" s="46"/>
      <c r="F356" s="46"/>
      <c r="G356" s="46"/>
      <c r="H356" s="46"/>
      <c r="I356" s="46">
        <v>70.97</v>
      </c>
      <c r="J356" s="46">
        <v>38.71</v>
      </c>
      <c r="K356" s="46"/>
      <c r="L356" s="46"/>
      <c r="M356" s="46"/>
      <c r="N356" s="46"/>
      <c r="O356" s="46"/>
      <c r="P356" s="46"/>
      <c r="Q356" s="374">
        <f t="shared" si="24"/>
        <v>54.84</v>
      </c>
      <c r="R356" s="375" t="str">
        <f t="shared" si="22"/>
        <v>NO</v>
      </c>
      <c r="S356" s="376" t="str">
        <f t="shared" si="23"/>
        <v>Alto</v>
      </c>
      <c r="T356" s="121"/>
    </row>
    <row r="357" spans="1:20" s="120" customFormat="1" ht="50.1" customHeight="1" x14ac:dyDescent="0.2">
      <c r="A357" s="361" t="s">
        <v>44</v>
      </c>
      <c r="B357" s="406" t="s">
        <v>1199</v>
      </c>
      <c r="C357" s="477" t="s">
        <v>4106</v>
      </c>
      <c r="D357" s="364">
        <v>82</v>
      </c>
      <c r="E357" s="46">
        <v>0</v>
      </c>
      <c r="F357" s="46"/>
      <c r="G357" s="46">
        <v>0</v>
      </c>
      <c r="H357" s="46"/>
      <c r="I357" s="46"/>
      <c r="J357" s="46">
        <v>19.350000000000001</v>
      </c>
      <c r="K357" s="46"/>
      <c r="L357" s="46"/>
      <c r="M357" s="46"/>
      <c r="N357" s="46"/>
      <c r="O357" s="46"/>
      <c r="P357" s="46"/>
      <c r="Q357" s="374">
        <f t="shared" si="24"/>
        <v>6.45</v>
      </c>
      <c r="R357" s="375" t="str">
        <f t="shared" si="22"/>
        <v>NO</v>
      </c>
      <c r="S357" s="376" t="str">
        <f t="shared" si="23"/>
        <v>Bajo</v>
      </c>
      <c r="T357" s="121"/>
    </row>
    <row r="358" spans="1:20" s="120" customFormat="1" ht="50.1" customHeight="1" x14ac:dyDescent="0.2">
      <c r="A358" s="361" t="s">
        <v>44</v>
      </c>
      <c r="B358" s="406" t="s">
        <v>1199</v>
      </c>
      <c r="C358" s="477" t="s">
        <v>4107</v>
      </c>
      <c r="D358" s="364">
        <v>82</v>
      </c>
      <c r="E358" s="46">
        <v>19.350000000000001</v>
      </c>
      <c r="F358" s="46"/>
      <c r="G358" s="46">
        <v>19.350000000000001</v>
      </c>
      <c r="H358" s="46"/>
      <c r="I358" s="46"/>
      <c r="J358" s="46">
        <v>0</v>
      </c>
      <c r="K358" s="46"/>
      <c r="L358" s="46"/>
      <c r="M358" s="46"/>
      <c r="N358" s="46"/>
      <c r="O358" s="46"/>
      <c r="P358" s="46"/>
      <c r="Q358" s="374">
        <f t="shared" si="24"/>
        <v>12.9</v>
      </c>
      <c r="R358" s="375" t="str">
        <f t="shared" si="22"/>
        <v>NO</v>
      </c>
      <c r="S358" s="376" t="str">
        <f t="shared" si="23"/>
        <v>Bajo</v>
      </c>
      <c r="T358" s="121"/>
    </row>
    <row r="359" spans="1:20" s="120" customFormat="1" ht="50.1" customHeight="1" x14ac:dyDescent="0.2">
      <c r="A359" s="361" t="s">
        <v>44</v>
      </c>
      <c r="B359" s="406" t="s">
        <v>1199</v>
      </c>
      <c r="C359" s="477" t="s">
        <v>4108</v>
      </c>
      <c r="D359" s="364">
        <v>82</v>
      </c>
      <c r="E359" s="46">
        <v>0</v>
      </c>
      <c r="F359" s="46"/>
      <c r="G359" s="46">
        <v>19.350000000000001</v>
      </c>
      <c r="H359" s="46"/>
      <c r="I359" s="46"/>
      <c r="J359" s="46">
        <v>0</v>
      </c>
      <c r="K359" s="46"/>
      <c r="L359" s="46"/>
      <c r="M359" s="46"/>
      <c r="N359" s="46"/>
      <c r="O359" s="46"/>
      <c r="P359" s="46"/>
      <c r="Q359" s="374">
        <f t="shared" si="24"/>
        <v>6.45</v>
      </c>
      <c r="R359" s="375" t="str">
        <f t="shared" si="22"/>
        <v>NO</v>
      </c>
      <c r="S359" s="376" t="str">
        <f t="shared" si="23"/>
        <v>Bajo</v>
      </c>
      <c r="T359" s="121"/>
    </row>
    <row r="360" spans="1:20" s="120" customFormat="1" ht="50.1" customHeight="1" x14ac:dyDescent="0.2">
      <c r="A360" s="361" t="s">
        <v>44</v>
      </c>
      <c r="B360" s="406" t="s">
        <v>1200</v>
      </c>
      <c r="C360" s="477" t="s">
        <v>4109</v>
      </c>
      <c r="D360" s="364">
        <v>205</v>
      </c>
      <c r="E360" s="46">
        <v>70.97</v>
      </c>
      <c r="F360" s="46"/>
      <c r="G360" s="46">
        <v>90.32</v>
      </c>
      <c r="H360" s="46"/>
      <c r="I360" s="46">
        <v>90.32</v>
      </c>
      <c r="J360" s="46"/>
      <c r="K360" s="46"/>
      <c r="L360" s="46"/>
      <c r="M360" s="46"/>
      <c r="N360" s="46"/>
      <c r="O360" s="46"/>
      <c r="P360" s="46"/>
      <c r="Q360" s="374">
        <f t="shared" si="24"/>
        <v>83.86999999999999</v>
      </c>
      <c r="R360" s="375" t="str">
        <f t="shared" si="22"/>
        <v>NO</v>
      </c>
      <c r="S360" s="376" t="str">
        <f t="shared" si="23"/>
        <v>Inviable Sanitariamente</v>
      </c>
      <c r="T360" s="121"/>
    </row>
    <row r="361" spans="1:20" s="120" customFormat="1" ht="50.1" customHeight="1" x14ac:dyDescent="0.2">
      <c r="A361" s="361" t="s">
        <v>44</v>
      </c>
      <c r="B361" s="406" t="s">
        <v>1201</v>
      </c>
      <c r="C361" s="477" t="s">
        <v>4110</v>
      </c>
      <c r="D361" s="364">
        <v>125</v>
      </c>
      <c r="E361" s="46"/>
      <c r="F361" s="46">
        <v>70.97</v>
      </c>
      <c r="G361" s="46"/>
      <c r="H361" s="46"/>
      <c r="I361" s="46"/>
      <c r="J361" s="46">
        <v>90.32</v>
      </c>
      <c r="K361" s="46"/>
      <c r="L361" s="46"/>
      <c r="M361" s="46"/>
      <c r="N361" s="46"/>
      <c r="O361" s="46"/>
      <c r="P361" s="46"/>
      <c r="Q361" s="374">
        <f t="shared" si="24"/>
        <v>80.644999999999996</v>
      </c>
      <c r="R361" s="375" t="str">
        <f t="shared" si="22"/>
        <v>NO</v>
      </c>
      <c r="S361" s="376" t="str">
        <f t="shared" si="23"/>
        <v>Inviable Sanitariamente</v>
      </c>
      <c r="T361" s="121"/>
    </row>
    <row r="362" spans="1:20" s="120" customFormat="1" ht="50.1" customHeight="1" x14ac:dyDescent="0.2">
      <c r="A362" s="361" t="s">
        <v>44</v>
      </c>
      <c r="B362" s="406" t="s">
        <v>1202</v>
      </c>
      <c r="C362" s="477" t="s">
        <v>4111</v>
      </c>
      <c r="D362" s="364">
        <v>114</v>
      </c>
      <c r="E362" s="46"/>
      <c r="F362" s="46">
        <v>90.32</v>
      </c>
      <c r="G362" s="46"/>
      <c r="H362" s="46">
        <v>90.32</v>
      </c>
      <c r="I362" s="46"/>
      <c r="J362" s="46">
        <v>27.1</v>
      </c>
      <c r="K362" s="46"/>
      <c r="L362" s="46"/>
      <c r="M362" s="46"/>
      <c r="N362" s="46"/>
      <c r="O362" s="46"/>
      <c r="P362" s="46"/>
      <c r="Q362" s="374">
        <f t="shared" si="24"/>
        <v>69.246666666666655</v>
      </c>
      <c r="R362" s="375" t="str">
        <f t="shared" si="22"/>
        <v>NO</v>
      </c>
      <c r="S362" s="376" t="str">
        <f t="shared" si="23"/>
        <v>Alto</v>
      </c>
      <c r="T362" s="121"/>
    </row>
    <row r="363" spans="1:20" s="120" customFormat="1" ht="50.1" customHeight="1" x14ac:dyDescent="0.2">
      <c r="A363" s="361" t="s">
        <v>44</v>
      </c>
      <c r="B363" s="406" t="s">
        <v>1203</v>
      </c>
      <c r="C363" s="477" t="s">
        <v>4112</v>
      </c>
      <c r="D363" s="364">
        <v>30</v>
      </c>
      <c r="E363" s="46"/>
      <c r="F363" s="46">
        <v>98.06</v>
      </c>
      <c r="G363" s="46"/>
      <c r="H363" s="46"/>
      <c r="I363" s="46">
        <v>90.32</v>
      </c>
      <c r="J363" s="46">
        <v>98.06</v>
      </c>
      <c r="K363" s="46"/>
      <c r="L363" s="46"/>
      <c r="M363" s="46"/>
      <c r="N363" s="46"/>
      <c r="O363" s="46"/>
      <c r="P363" s="46"/>
      <c r="Q363" s="374">
        <f t="shared" si="24"/>
        <v>95.48</v>
      </c>
      <c r="R363" s="375" t="str">
        <f t="shared" si="22"/>
        <v>NO</v>
      </c>
      <c r="S363" s="376" t="str">
        <f t="shared" si="23"/>
        <v>Inviable Sanitariamente</v>
      </c>
      <c r="T363" s="121"/>
    </row>
    <row r="364" spans="1:20" s="120" customFormat="1" ht="50.1" customHeight="1" x14ac:dyDescent="0.2">
      <c r="A364" s="361" t="s">
        <v>44</v>
      </c>
      <c r="B364" s="406" t="s">
        <v>1204</v>
      </c>
      <c r="C364" s="477" t="s">
        <v>4113</v>
      </c>
      <c r="D364" s="364"/>
      <c r="E364" s="46"/>
      <c r="F364" s="46"/>
      <c r="G364" s="46"/>
      <c r="H364" s="46"/>
      <c r="I364" s="46"/>
      <c r="J364" s="46"/>
      <c r="K364" s="46"/>
      <c r="L364" s="46"/>
      <c r="M364" s="46"/>
      <c r="N364" s="46"/>
      <c r="O364" s="46"/>
      <c r="P364" s="46"/>
      <c r="Q364" s="374" t="e">
        <f t="shared" si="24"/>
        <v>#DIV/0!</v>
      </c>
      <c r="R364" s="375" t="e">
        <f t="shared" si="22"/>
        <v>#DIV/0!</v>
      </c>
      <c r="S364" s="376" t="e">
        <f t="shared" si="23"/>
        <v>#DIV/0!</v>
      </c>
      <c r="T364" s="121"/>
    </row>
    <row r="365" spans="1:20" s="120" customFormat="1" ht="50.1" customHeight="1" x14ac:dyDescent="0.2">
      <c r="A365" s="361" t="s">
        <v>44</v>
      </c>
      <c r="B365" s="406" t="s">
        <v>1205</v>
      </c>
      <c r="C365" s="477" t="s">
        <v>4114</v>
      </c>
      <c r="D365" s="364"/>
      <c r="E365" s="46"/>
      <c r="F365" s="46"/>
      <c r="G365" s="46"/>
      <c r="H365" s="46"/>
      <c r="I365" s="46"/>
      <c r="J365" s="46"/>
      <c r="K365" s="46"/>
      <c r="L365" s="46"/>
      <c r="M365" s="46"/>
      <c r="N365" s="46"/>
      <c r="O365" s="46"/>
      <c r="P365" s="46"/>
      <c r="Q365" s="374" t="e">
        <f t="shared" si="24"/>
        <v>#DIV/0!</v>
      </c>
      <c r="R365" s="375" t="e">
        <f t="shared" si="22"/>
        <v>#DIV/0!</v>
      </c>
      <c r="S365" s="376" t="e">
        <f t="shared" si="23"/>
        <v>#DIV/0!</v>
      </c>
      <c r="T365" s="121"/>
    </row>
    <row r="366" spans="1:20" s="120" customFormat="1" ht="50.1" customHeight="1" x14ac:dyDescent="0.2">
      <c r="A366" s="361" t="s">
        <v>44</v>
      </c>
      <c r="B366" s="406" t="s">
        <v>1206</v>
      </c>
      <c r="C366" s="477" t="s">
        <v>4115</v>
      </c>
      <c r="D366" s="364">
        <v>18</v>
      </c>
      <c r="E366" s="46"/>
      <c r="F366" s="46">
        <v>38.71</v>
      </c>
      <c r="G366" s="46"/>
      <c r="H366" s="46"/>
      <c r="I366" s="46">
        <v>70.97</v>
      </c>
      <c r="J366" s="46">
        <v>70.97</v>
      </c>
      <c r="K366" s="46"/>
      <c r="L366" s="46"/>
      <c r="M366" s="46"/>
      <c r="N366" s="46"/>
      <c r="O366" s="46"/>
      <c r="P366" s="46"/>
      <c r="Q366" s="374">
        <f t="shared" si="24"/>
        <v>60.216666666666669</v>
      </c>
      <c r="R366" s="375" t="str">
        <f t="shared" si="22"/>
        <v>NO</v>
      </c>
      <c r="S366" s="376" t="str">
        <f t="shared" si="23"/>
        <v>Alto</v>
      </c>
      <c r="T366" s="121"/>
    </row>
    <row r="367" spans="1:20" s="120" customFormat="1" ht="50.1" customHeight="1" x14ac:dyDescent="0.2">
      <c r="A367" s="361" t="s">
        <v>44</v>
      </c>
      <c r="B367" s="406" t="s">
        <v>1207</v>
      </c>
      <c r="C367" s="477" t="s">
        <v>4116</v>
      </c>
      <c r="D367" s="364"/>
      <c r="E367" s="46"/>
      <c r="F367" s="46"/>
      <c r="G367" s="46"/>
      <c r="H367" s="46"/>
      <c r="I367" s="46">
        <v>98.06</v>
      </c>
      <c r="J367" s="46">
        <v>70.97</v>
      </c>
      <c r="K367" s="46"/>
      <c r="L367" s="46"/>
      <c r="M367" s="46"/>
      <c r="N367" s="46"/>
      <c r="O367" s="46"/>
      <c r="P367" s="46"/>
      <c r="Q367" s="374">
        <f t="shared" si="24"/>
        <v>84.515000000000001</v>
      </c>
      <c r="R367" s="375" t="str">
        <f t="shared" si="22"/>
        <v>NO</v>
      </c>
      <c r="S367" s="376" t="str">
        <f t="shared" si="23"/>
        <v>Inviable Sanitariamente</v>
      </c>
      <c r="T367" s="121"/>
    </row>
    <row r="368" spans="1:20" s="120" customFormat="1" ht="50.1" customHeight="1" x14ac:dyDescent="0.2">
      <c r="A368" s="361" t="s">
        <v>44</v>
      </c>
      <c r="B368" s="406" t="s">
        <v>1208</v>
      </c>
      <c r="C368" s="477" t="s">
        <v>4117</v>
      </c>
      <c r="D368" s="364">
        <v>22</v>
      </c>
      <c r="E368" s="46">
        <v>70.97</v>
      </c>
      <c r="F368" s="46"/>
      <c r="G368" s="46">
        <v>19.350000000000001</v>
      </c>
      <c r="H368" s="46"/>
      <c r="I368" s="46">
        <v>0</v>
      </c>
      <c r="J368" s="46"/>
      <c r="K368" s="46"/>
      <c r="L368" s="46"/>
      <c r="M368" s="46"/>
      <c r="N368" s="46"/>
      <c r="O368" s="46"/>
      <c r="P368" s="46"/>
      <c r="Q368" s="374">
        <f t="shared" si="24"/>
        <v>30.106666666666666</v>
      </c>
      <c r="R368" s="375" t="str">
        <f t="shared" si="22"/>
        <v>NO</v>
      </c>
      <c r="S368" s="376" t="str">
        <f t="shared" si="23"/>
        <v>Medio</v>
      </c>
      <c r="T368" s="121"/>
    </row>
    <row r="369" spans="1:20" s="120" customFormat="1" ht="50.1" customHeight="1" x14ac:dyDescent="0.2">
      <c r="A369" s="361" t="s">
        <v>44</v>
      </c>
      <c r="B369" s="406" t="s">
        <v>1209</v>
      </c>
      <c r="C369" s="477" t="s">
        <v>4118</v>
      </c>
      <c r="D369" s="364">
        <v>68</v>
      </c>
      <c r="E369" s="46"/>
      <c r="F369" s="46"/>
      <c r="G369" s="46"/>
      <c r="H369" s="46"/>
      <c r="I369" s="46">
        <v>70.97</v>
      </c>
      <c r="J369" s="46">
        <v>70.97</v>
      </c>
      <c r="K369" s="46"/>
      <c r="L369" s="46"/>
      <c r="M369" s="46"/>
      <c r="N369" s="46"/>
      <c r="O369" s="46"/>
      <c r="P369" s="46"/>
      <c r="Q369" s="374">
        <f t="shared" si="24"/>
        <v>70.97</v>
      </c>
      <c r="R369" s="375" t="str">
        <f t="shared" si="22"/>
        <v>NO</v>
      </c>
      <c r="S369" s="376" t="str">
        <f t="shared" si="23"/>
        <v>Alto</v>
      </c>
      <c r="T369" s="121"/>
    </row>
    <row r="370" spans="1:20" s="120" customFormat="1" ht="32.1" customHeight="1" x14ac:dyDescent="0.2">
      <c r="A370" s="361" t="s">
        <v>216</v>
      </c>
      <c r="B370" s="406" t="s">
        <v>1210</v>
      </c>
      <c r="C370" s="477" t="s">
        <v>1211</v>
      </c>
      <c r="D370" s="364">
        <v>63</v>
      </c>
      <c r="E370" s="46">
        <v>0</v>
      </c>
      <c r="F370" s="46"/>
      <c r="G370" s="46">
        <v>0</v>
      </c>
      <c r="H370" s="46"/>
      <c r="I370" s="46">
        <v>0</v>
      </c>
      <c r="J370" s="46"/>
      <c r="K370" s="46">
        <v>0</v>
      </c>
      <c r="L370" s="46"/>
      <c r="M370" s="46">
        <v>0</v>
      </c>
      <c r="N370" s="46"/>
      <c r="O370" s="46">
        <v>0</v>
      </c>
      <c r="P370" s="46"/>
      <c r="Q370" s="374">
        <f t="shared" si="24"/>
        <v>0</v>
      </c>
      <c r="R370" s="375" t="str">
        <f t="shared" si="22"/>
        <v>SI</v>
      </c>
      <c r="S370" s="376" t="str">
        <f t="shared" si="23"/>
        <v>Sin Riesgo</v>
      </c>
      <c r="T370" s="121"/>
    </row>
    <row r="371" spans="1:20" s="120" customFormat="1" ht="32.1" customHeight="1" x14ac:dyDescent="0.2">
      <c r="A371" s="361" t="s">
        <v>216</v>
      </c>
      <c r="B371" s="406" t="s">
        <v>1212</v>
      </c>
      <c r="C371" s="477" t="s">
        <v>1213</v>
      </c>
      <c r="D371" s="364">
        <v>162</v>
      </c>
      <c r="E371" s="46"/>
      <c r="F371" s="46">
        <v>0</v>
      </c>
      <c r="G371" s="46"/>
      <c r="H371" s="46">
        <v>0</v>
      </c>
      <c r="I371" s="46"/>
      <c r="J371" s="46">
        <v>0</v>
      </c>
      <c r="K371" s="46"/>
      <c r="L371" s="46">
        <v>0</v>
      </c>
      <c r="M371" s="46"/>
      <c r="N371" s="46">
        <v>0</v>
      </c>
      <c r="O371" s="46"/>
      <c r="P371" s="46"/>
      <c r="Q371" s="374">
        <f t="shared" si="24"/>
        <v>0</v>
      </c>
      <c r="R371" s="375" t="str">
        <f t="shared" si="22"/>
        <v>SI</v>
      </c>
      <c r="S371" s="376" t="str">
        <f t="shared" si="23"/>
        <v>Sin Riesgo</v>
      </c>
      <c r="T371" s="121"/>
    </row>
    <row r="372" spans="1:20" s="120" customFormat="1" ht="32.1" customHeight="1" x14ac:dyDescent="0.2">
      <c r="A372" s="361" t="s">
        <v>216</v>
      </c>
      <c r="B372" s="406" t="s">
        <v>1214</v>
      </c>
      <c r="C372" s="477" t="s">
        <v>1215</v>
      </c>
      <c r="D372" s="364">
        <v>265</v>
      </c>
      <c r="E372" s="46"/>
      <c r="F372" s="46">
        <v>0</v>
      </c>
      <c r="G372" s="46"/>
      <c r="H372" s="46">
        <v>0</v>
      </c>
      <c r="I372" s="46"/>
      <c r="J372" s="46">
        <v>0</v>
      </c>
      <c r="K372" s="46"/>
      <c r="L372" s="46">
        <v>0</v>
      </c>
      <c r="M372" s="46"/>
      <c r="N372" s="46"/>
      <c r="O372" s="46">
        <v>0</v>
      </c>
      <c r="P372" s="46"/>
      <c r="Q372" s="374">
        <f t="shared" si="24"/>
        <v>0</v>
      </c>
      <c r="R372" s="375" t="str">
        <f t="shared" si="22"/>
        <v>SI</v>
      </c>
      <c r="S372" s="376" t="str">
        <f t="shared" si="23"/>
        <v>Sin Riesgo</v>
      </c>
      <c r="T372" s="121"/>
    </row>
    <row r="373" spans="1:20" s="120" customFormat="1" ht="32.1" customHeight="1" x14ac:dyDescent="0.2">
      <c r="A373" s="361" t="s">
        <v>216</v>
      </c>
      <c r="B373" s="406" t="s">
        <v>746</v>
      </c>
      <c r="C373" s="477" t="s">
        <v>1216</v>
      </c>
      <c r="D373" s="364">
        <v>104</v>
      </c>
      <c r="E373" s="46">
        <v>26.5</v>
      </c>
      <c r="F373" s="46"/>
      <c r="G373" s="46">
        <v>0</v>
      </c>
      <c r="H373" s="46"/>
      <c r="I373" s="46">
        <v>26.5</v>
      </c>
      <c r="J373" s="46"/>
      <c r="K373" s="46">
        <v>0</v>
      </c>
      <c r="L373" s="46"/>
      <c r="M373" s="46">
        <v>0</v>
      </c>
      <c r="N373" s="46"/>
      <c r="O373" s="46"/>
      <c r="P373" s="46">
        <v>0</v>
      </c>
      <c r="Q373" s="374">
        <f t="shared" si="24"/>
        <v>8.8333333333333339</v>
      </c>
      <c r="R373" s="375" t="str">
        <f t="shared" si="22"/>
        <v>NO</v>
      </c>
      <c r="S373" s="376" t="str">
        <f t="shared" si="23"/>
        <v>Bajo</v>
      </c>
      <c r="T373" s="121"/>
    </row>
    <row r="374" spans="1:20" s="120" customFormat="1" ht="32.1" customHeight="1" x14ac:dyDescent="0.2">
      <c r="A374" s="361" t="s">
        <v>216</v>
      </c>
      <c r="B374" s="406" t="s">
        <v>1217</v>
      </c>
      <c r="C374" s="477" t="s">
        <v>1218</v>
      </c>
      <c r="D374" s="364">
        <v>210</v>
      </c>
      <c r="E374" s="46">
        <v>0</v>
      </c>
      <c r="F374" s="46"/>
      <c r="G374" s="46">
        <v>0</v>
      </c>
      <c r="H374" s="46"/>
      <c r="I374" s="46">
        <v>0</v>
      </c>
      <c r="J374" s="46"/>
      <c r="K374" s="46">
        <v>0</v>
      </c>
      <c r="L374" s="46"/>
      <c r="M374" s="46">
        <v>0</v>
      </c>
      <c r="N374" s="46">
        <v>0</v>
      </c>
      <c r="O374" s="46"/>
      <c r="P374" s="46"/>
      <c r="Q374" s="374">
        <f t="shared" si="24"/>
        <v>0</v>
      </c>
      <c r="R374" s="375" t="str">
        <f t="shared" si="22"/>
        <v>SI</v>
      </c>
      <c r="S374" s="376" t="str">
        <f t="shared" si="23"/>
        <v>Sin Riesgo</v>
      </c>
      <c r="T374" s="121"/>
    </row>
    <row r="375" spans="1:20" s="120" customFormat="1" ht="32.1" customHeight="1" x14ac:dyDescent="0.2">
      <c r="A375" s="361" t="s">
        <v>216</v>
      </c>
      <c r="B375" s="406" t="s">
        <v>1055</v>
      </c>
      <c r="C375" s="477" t="s">
        <v>1219</v>
      </c>
      <c r="D375" s="364">
        <v>51</v>
      </c>
      <c r="E375" s="46"/>
      <c r="F375" s="46"/>
      <c r="G375" s="46"/>
      <c r="H375" s="46"/>
      <c r="I375" s="46"/>
      <c r="J375" s="46">
        <v>97.3</v>
      </c>
      <c r="K375" s="46"/>
      <c r="L375" s="46"/>
      <c r="M375" s="46"/>
      <c r="N375" s="46"/>
      <c r="O375" s="46"/>
      <c r="P375" s="46">
        <v>97.3</v>
      </c>
      <c r="Q375" s="374">
        <f t="shared" si="24"/>
        <v>97.3</v>
      </c>
      <c r="R375" s="375" t="str">
        <f t="shared" si="22"/>
        <v>NO</v>
      </c>
      <c r="S375" s="376" t="str">
        <f t="shared" si="23"/>
        <v>Inviable Sanitariamente</v>
      </c>
      <c r="T375" s="121"/>
    </row>
    <row r="376" spans="1:20" s="120" customFormat="1" ht="32.1" customHeight="1" x14ac:dyDescent="0.2">
      <c r="A376" s="361" t="s">
        <v>216</v>
      </c>
      <c r="B376" s="406" t="s">
        <v>1220</v>
      </c>
      <c r="C376" s="477" t="s">
        <v>1221</v>
      </c>
      <c r="D376" s="364">
        <v>85</v>
      </c>
      <c r="E376" s="46">
        <v>0</v>
      </c>
      <c r="F376" s="46"/>
      <c r="G376" s="46">
        <v>0</v>
      </c>
      <c r="H376" s="46"/>
      <c r="I376" s="46">
        <v>0</v>
      </c>
      <c r="J376" s="46"/>
      <c r="K376" s="46">
        <v>0</v>
      </c>
      <c r="L376" s="46"/>
      <c r="M376" s="46">
        <v>0</v>
      </c>
      <c r="N376" s="46">
        <v>0</v>
      </c>
      <c r="O376" s="46"/>
      <c r="P376" s="46"/>
      <c r="Q376" s="374">
        <f t="shared" si="24"/>
        <v>0</v>
      </c>
      <c r="R376" s="375" t="str">
        <f t="shared" si="22"/>
        <v>SI</v>
      </c>
      <c r="S376" s="376" t="str">
        <f t="shared" si="23"/>
        <v>Sin Riesgo</v>
      </c>
      <c r="T376" s="121"/>
    </row>
    <row r="377" spans="1:20" s="120" customFormat="1" ht="32.1" customHeight="1" x14ac:dyDescent="0.2">
      <c r="A377" s="361" t="s">
        <v>216</v>
      </c>
      <c r="B377" s="406" t="s">
        <v>1222</v>
      </c>
      <c r="C377" s="477" t="s">
        <v>1223</v>
      </c>
      <c r="D377" s="364">
        <v>63</v>
      </c>
      <c r="E377" s="46"/>
      <c r="F377" s="46">
        <v>97.3</v>
      </c>
      <c r="G377" s="46"/>
      <c r="H377" s="46"/>
      <c r="I377" s="46"/>
      <c r="J377" s="46"/>
      <c r="K377" s="46"/>
      <c r="L377" s="46">
        <v>97.3</v>
      </c>
      <c r="M377" s="46"/>
      <c r="N377" s="46"/>
      <c r="O377" s="46"/>
      <c r="P377" s="46"/>
      <c r="Q377" s="374">
        <f t="shared" si="24"/>
        <v>97.3</v>
      </c>
      <c r="R377" s="375" t="str">
        <f t="shared" si="22"/>
        <v>NO</v>
      </c>
      <c r="S377" s="376" t="str">
        <f t="shared" si="23"/>
        <v>Inviable Sanitariamente</v>
      </c>
      <c r="T377" s="121"/>
    </row>
    <row r="378" spans="1:20" s="120" customFormat="1" ht="32.1" customHeight="1" x14ac:dyDescent="0.2">
      <c r="A378" s="361" t="s">
        <v>216</v>
      </c>
      <c r="B378" s="406" t="s">
        <v>1040</v>
      </c>
      <c r="C378" s="477" t="s">
        <v>1224</v>
      </c>
      <c r="D378" s="364">
        <v>163</v>
      </c>
      <c r="E378" s="46"/>
      <c r="F378" s="46">
        <v>97.3</v>
      </c>
      <c r="G378" s="46"/>
      <c r="H378" s="46"/>
      <c r="I378" s="46"/>
      <c r="J378" s="46"/>
      <c r="K378" s="46"/>
      <c r="L378" s="46">
        <v>97.3</v>
      </c>
      <c r="M378" s="46"/>
      <c r="N378" s="46"/>
      <c r="O378" s="46"/>
      <c r="P378" s="46"/>
      <c r="Q378" s="374">
        <f t="shared" si="24"/>
        <v>97.3</v>
      </c>
      <c r="R378" s="375" t="str">
        <f t="shared" si="22"/>
        <v>NO</v>
      </c>
      <c r="S378" s="376" t="str">
        <f t="shared" si="23"/>
        <v>Inviable Sanitariamente</v>
      </c>
      <c r="T378" s="121"/>
    </row>
    <row r="379" spans="1:20" s="120" customFormat="1" ht="32.1" customHeight="1" x14ac:dyDescent="0.2">
      <c r="A379" s="361" t="s">
        <v>216</v>
      </c>
      <c r="B379" s="406" t="s">
        <v>1225</v>
      </c>
      <c r="C379" s="477" t="s">
        <v>1226</v>
      </c>
      <c r="D379" s="364">
        <v>40</v>
      </c>
      <c r="E379" s="46"/>
      <c r="F379" s="46">
        <v>97.3</v>
      </c>
      <c r="G379" s="46"/>
      <c r="H379" s="46"/>
      <c r="I379" s="46"/>
      <c r="J379" s="46"/>
      <c r="K379" s="46"/>
      <c r="L379" s="46">
        <v>97.3</v>
      </c>
      <c r="M379" s="46"/>
      <c r="N379" s="46"/>
      <c r="O379" s="46"/>
      <c r="P379" s="46"/>
      <c r="Q379" s="374">
        <f t="shared" si="24"/>
        <v>97.3</v>
      </c>
      <c r="R379" s="375" t="str">
        <f t="shared" si="22"/>
        <v>NO</v>
      </c>
      <c r="S379" s="376" t="str">
        <f t="shared" si="23"/>
        <v>Inviable Sanitariamente</v>
      </c>
      <c r="T379" s="121"/>
    </row>
    <row r="380" spans="1:20" s="120" customFormat="1" ht="32.1" customHeight="1" x14ac:dyDescent="0.2">
      <c r="A380" s="361" t="s">
        <v>216</v>
      </c>
      <c r="B380" s="406" t="s">
        <v>1227</v>
      </c>
      <c r="C380" s="477" t="s">
        <v>1228</v>
      </c>
      <c r="D380" s="364">
        <v>39</v>
      </c>
      <c r="E380" s="46"/>
      <c r="F380" s="46"/>
      <c r="G380" s="46"/>
      <c r="H380" s="46"/>
      <c r="I380" s="46"/>
      <c r="J380" s="46">
        <v>97.3</v>
      </c>
      <c r="K380" s="46"/>
      <c r="L380" s="46"/>
      <c r="M380" s="46">
        <v>97.3</v>
      </c>
      <c r="N380" s="46"/>
      <c r="O380" s="46"/>
      <c r="P380" s="46"/>
      <c r="Q380" s="374">
        <f t="shared" si="24"/>
        <v>97.3</v>
      </c>
      <c r="R380" s="375" t="str">
        <f t="shared" si="22"/>
        <v>NO</v>
      </c>
      <c r="S380" s="376" t="str">
        <f t="shared" si="23"/>
        <v>Inviable Sanitariamente</v>
      </c>
      <c r="T380" s="121"/>
    </row>
    <row r="381" spans="1:20" s="120" customFormat="1" ht="32.1" customHeight="1" x14ac:dyDescent="0.2">
      <c r="A381" s="361" t="s">
        <v>216</v>
      </c>
      <c r="B381" s="406" t="s">
        <v>442</v>
      </c>
      <c r="C381" s="477" t="s">
        <v>1229</v>
      </c>
      <c r="D381" s="364">
        <v>22</v>
      </c>
      <c r="E381" s="46"/>
      <c r="F381" s="46"/>
      <c r="G381" s="46">
        <v>97.3</v>
      </c>
      <c r="H381" s="46"/>
      <c r="I381" s="46"/>
      <c r="J381" s="46"/>
      <c r="K381" s="46">
        <v>97.3</v>
      </c>
      <c r="L381" s="46"/>
      <c r="M381" s="46"/>
      <c r="N381" s="46"/>
      <c r="O381" s="46"/>
      <c r="P381" s="46"/>
      <c r="Q381" s="374">
        <f t="shared" si="24"/>
        <v>97.3</v>
      </c>
      <c r="R381" s="375" t="str">
        <f t="shared" si="22"/>
        <v>NO</v>
      </c>
      <c r="S381" s="376" t="str">
        <f t="shared" si="23"/>
        <v>Inviable Sanitariamente</v>
      </c>
      <c r="T381" s="121"/>
    </row>
    <row r="382" spans="1:20" s="120" customFormat="1" ht="32.1" customHeight="1" x14ac:dyDescent="0.2">
      <c r="A382" s="361" t="s">
        <v>216</v>
      </c>
      <c r="B382" s="406" t="s">
        <v>1230</v>
      </c>
      <c r="C382" s="477" t="s">
        <v>1231</v>
      </c>
      <c r="D382" s="364">
        <v>24</v>
      </c>
      <c r="E382" s="46"/>
      <c r="F382" s="46"/>
      <c r="G382" s="46"/>
      <c r="H382" s="46"/>
      <c r="I382" s="46"/>
      <c r="J382" s="46">
        <v>97.3</v>
      </c>
      <c r="K382" s="46"/>
      <c r="L382" s="46"/>
      <c r="M382" s="46"/>
      <c r="N382" s="46"/>
      <c r="O382" s="46">
        <v>97.3</v>
      </c>
      <c r="P382" s="46"/>
      <c r="Q382" s="374">
        <f t="shared" si="24"/>
        <v>97.3</v>
      </c>
      <c r="R382" s="375" t="str">
        <f t="shared" si="22"/>
        <v>NO</v>
      </c>
      <c r="S382" s="376" t="str">
        <f t="shared" si="23"/>
        <v>Inviable Sanitariamente</v>
      </c>
      <c r="T382" s="121"/>
    </row>
    <row r="383" spans="1:20" s="120" customFormat="1" ht="32.1" customHeight="1" x14ac:dyDescent="0.2">
      <c r="A383" s="361" t="s">
        <v>216</v>
      </c>
      <c r="B383" s="406" t="s">
        <v>1232</v>
      </c>
      <c r="C383" s="477" t="s">
        <v>1233</v>
      </c>
      <c r="D383" s="364">
        <v>43</v>
      </c>
      <c r="E383" s="46"/>
      <c r="F383" s="46">
        <v>26.5</v>
      </c>
      <c r="G383" s="46"/>
      <c r="H383" s="46"/>
      <c r="I383" s="46"/>
      <c r="J383" s="46">
        <v>0</v>
      </c>
      <c r="K383" s="46"/>
      <c r="L383" s="46">
        <v>0</v>
      </c>
      <c r="M383" s="46"/>
      <c r="N383" s="46"/>
      <c r="O383" s="46"/>
      <c r="P383" s="46">
        <v>0</v>
      </c>
      <c r="Q383" s="374">
        <f t="shared" si="24"/>
        <v>6.625</v>
      </c>
      <c r="R383" s="375" t="str">
        <f t="shared" si="22"/>
        <v>NO</v>
      </c>
      <c r="S383" s="376" t="str">
        <f t="shared" si="23"/>
        <v>Bajo</v>
      </c>
      <c r="T383" s="121"/>
    </row>
    <row r="384" spans="1:20" s="120" customFormat="1" ht="32.1" customHeight="1" x14ac:dyDescent="0.2">
      <c r="A384" s="361" t="s">
        <v>216</v>
      </c>
      <c r="B384" s="406" t="s">
        <v>793</v>
      </c>
      <c r="C384" s="477" t="s">
        <v>1234</v>
      </c>
      <c r="D384" s="364">
        <v>110</v>
      </c>
      <c r="E384" s="46"/>
      <c r="F384" s="46">
        <v>97.3</v>
      </c>
      <c r="G384" s="46"/>
      <c r="H384" s="46"/>
      <c r="I384" s="46"/>
      <c r="J384" s="46">
        <v>97.3</v>
      </c>
      <c r="K384" s="46"/>
      <c r="L384" s="46">
        <v>97.3</v>
      </c>
      <c r="M384" s="46"/>
      <c r="N384" s="46"/>
      <c r="O384" s="46">
        <v>97.3</v>
      </c>
      <c r="P384" s="46">
        <v>97.3</v>
      </c>
      <c r="Q384" s="374">
        <f t="shared" si="24"/>
        <v>97.3</v>
      </c>
      <c r="R384" s="375" t="str">
        <f t="shared" si="22"/>
        <v>NO</v>
      </c>
      <c r="S384" s="376" t="str">
        <f t="shared" si="23"/>
        <v>Inviable Sanitariamente</v>
      </c>
      <c r="T384" s="121"/>
    </row>
    <row r="385" spans="1:20" s="120" customFormat="1" ht="32.1" customHeight="1" x14ac:dyDescent="0.2">
      <c r="A385" s="361" t="s">
        <v>216</v>
      </c>
      <c r="B385" s="406" t="s">
        <v>1235</v>
      </c>
      <c r="C385" s="477" t="s">
        <v>1236</v>
      </c>
      <c r="D385" s="364">
        <v>109</v>
      </c>
      <c r="E385" s="46"/>
      <c r="F385" s="46"/>
      <c r="G385" s="46">
        <v>97.3</v>
      </c>
      <c r="H385" s="46"/>
      <c r="I385" s="46"/>
      <c r="J385" s="46"/>
      <c r="K385" s="46"/>
      <c r="L385" s="46"/>
      <c r="M385" s="46">
        <v>97.3</v>
      </c>
      <c r="N385" s="46"/>
      <c r="O385" s="46"/>
      <c r="P385" s="46"/>
      <c r="Q385" s="374">
        <f t="shared" si="24"/>
        <v>97.3</v>
      </c>
      <c r="R385" s="375" t="str">
        <f t="shared" si="22"/>
        <v>NO</v>
      </c>
      <c r="S385" s="376" t="str">
        <f t="shared" si="23"/>
        <v>Inviable Sanitariamente</v>
      </c>
      <c r="T385" s="121"/>
    </row>
    <row r="386" spans="1:20" s="122" customFormat="1" ht="32.1" customHeight="1" x14ac:dyDescent="0.2">
      <c r="A386" s="361" t="s">
        <v>216</v>
      </c>
      <c r="B386" s="406" t="s">
        <v>1237</v>
      </c>
      <c r="C386" s="477" t="s">
        <v>1238</v>
      </c>
      <c r="D386" s="364">
        <v>25</v>
      </c>
      <c r="E386" s="46"/>
      <c r="F386" s="46"/>
      <c r="G386" s="46">
        <v>97.3</v>
      </c>
      <c r="H386" s="46"/>
      <c r="I386" s="46"/>
      <c r="J386" s="46"/>
      <c r="K386" s="46"/>
      <c r="L386" s="46"/>
      <c r="M386" s="46"/>
      <c r="N386" s="46"/>
      <c r="O386" s="46"/>
      <c r="P386" s="46">
        <v>97.3</v>
      </c>
      <c r="Q386" s="374">
        <f t="shared" si="24"/>
        <v>97.3</v>
      </c>
      <c r="R386" s="375" t="str">
        <f t="shared" si="22"/>
        <v>NO</v>
      </c>
      <c r="S386" s="376" t="str">
        <f t="shared" si="23"/>
        <v>Inviable Sanitariamente</v>
      </c>
      <c r="T386" s="105"/>
    </row>
    <row r="387" spans="1:20" s="120" customFormat="1" ht="32.1" customHeight="1" x14ac:dyDescent="0.2">
      <c r="A387" s="361" t="s">
        <v>216</v>
      </c>
      <c r="B387" s="406" t="s">
        <v>621</v>
      </c>
      <c r="C387" s="477" t="s">
        <v>1239</v>
      </c>
      <c r="D387" s="364">
        <v>80</v>
      </c>
      <c r="E387" s="46">
        <v>0</v>
      </c>
      <c r="F387" s="46"/>
      <c r="G387" s="46">
        <v>0</v>
      </c>
      <c r="H387" s="46"/>
      <c r="I387" s="46">
        <v>0</v>
      </c>
      <c r="J387" s="46"/>
      <c r="K387" s="46"/>
      <c r="L387" s="46"/>
      <c r="M387" s="46"/>
      <c r="N387" s="46"/>
      <c r="O387" s="46"/>
      <c r="P387" s="46"/>
      <c r="Q387" s="374">
        <f t="shared" si="24"/>
        <v>0</v>
      </c>
      <c r="R387" s="375" t="str">
        <f t="shared" ref="R387:R436" si="25">IF(Q387&lt;5,"SI","NO")</f>
        <v>SI</v>
      </c>
      <c r="S387" s="376" t="str">
        <f t="shared" si="23"/>
        <v>Sin Riesgo</v>
      </c>
      <c r="T387" s="121"/>
    </row>
    <row r="388" spans="1:20" s="120" customFormat="1" ht="32.1" customHeight="1" x14ac:dyDescent="0.2">
      <c r="A388" s="361" t="s">
        <v>217</v>
      </c>
      <c r="B388" s="406" t="s">
        <v>1240</v>
      </c>
      <c r="C388" s="477" t="s">
        <v>1241</v>
      </c>
      <c r="D388" s="364">
        <v>57</v>
      </c>
      <c r="E388" s="46"/>
      <c r="F388" s="46">
        <v>0</v>
      </c>
      <c r="G388" s="46"/>
      <c r="H388" s="46">
        <v>0</v>
      </c>
      <c r="I388" s="46"/>
      <c r="J388" s="46">
        <v>0</v>
      </c>
      <c r="K388" s="46"/>
      <c r="L388" s="46"/>
      <c r="M388" s="46"/>
      <c r="N388" s="46"/>
      <c r="O388" s="46"/>
      <c r="P388" s="46"/>
      <c r="Q388" s="374">
        <f t="shared" si="24"/>
        <v>0</v>
      </c>
      <c r="R388" s="375" t="str">
        <f t="shared" si="25"/>
        <v>SI</v>
      </c>
      <c r="S388" s="376" t="str">
        <f t="shared" si="23"/>
        <v>Sin Riesgo</v>
      </c>
      <c r="T388" s="121"/>
    </row>
    <row r="389" spans="1:20" s="120" customFormat="1" ht="32.1" customHeight="1" x14ac:dyDescent="0.2">
      <c r="A389" s="361" t="s">
        <v>217</v>
      </c>
      <c r="B389" s="406" t="s">
        <v>1242</v>
      </c>
      <c r="C389" s="477" t="s">
        <v>1243</v>
      </c>
      <c r="D389" s="364">
        <v>98</v>
      </c>
      <c r="E389" s="46"/>
      <c r="F389" s="46">
        <v>0</v>
      </c>
      <c r="G389" s="46"/>
      <c r="H389" s="46">
        <v>0</v>
      </c>
      <c r="I389" s="46"/>
      <c r="J389" s="46">
        <v>0</v>
      </c>
      <c r="K389" s="46"/>
      <c r="L389" s="46"/>
      <c r="M389" s="46"/>
      <c r="N389" s="46"/>
      <c r="O389" s="46"/>
      <c r="P389" s="46"/>
      <c r="Q389" s="374">
        <f t="shared" si="24"/>
        <v>0</v>
      </c>
      <c r="R389" s="375" t="str">
        <f t="shared" si="25"/>
        <v>SI</v>
      </c>
      <c r="S389" s="376" t="str">
        <f t="shared" si="23"/>
        <v>Sin Riesgo</v>
      </c>
      <c r="T389" s="121"/>
    </row>
    <row r="390" spans="1:20" s="120" customFormat="1" ht="32.1" customHeight="1" x14ac:dyDescent="0.2">
      <c r="A390" s="361" t="s">
        <v>217</v>
      </c>
      <c r="B390" s="406" t="s">
        <v>1244</v>
      </c>
      <c r="C390" s="477" t="s">
        <v>1245</v>
      </c>
      <c r="D390" s="364">
        <v>379</v>
      </c>
      <c r="E390" s="46">
        <v>0</v>
      </c>
      <c r="F390" s="46">
        <v>21</v>
      </c>
      <c r="G390" s="46">
        <v>21</v>
      </c>
      <c r="H390" s="46">
        <v>21</v>
      </c>
      <c r="I390" s="46"/>
      <c r="J390" s="46">
        <v>0</v>
      </c>
      <c r="K390" s="46"/>
      <c r="L390" s="46"/>
      <c r="M390" s="46"/>
      <c r="N390" s="46"/>
      <c r="O390" s="46"/>
      <c r="P390" s="46"/>
      <c r="Q390" s="374">
        <f t="shared" si="24"/>
        <v>12.6</v>
      </c>
      <c r="R390" s="375" t="str">
        <f t="shared" si="25"/>
        <v>NO</v>
      </c>
      <c r="S390" s="376" t="str">
        <f t="shared" si="23"/>
        <v>Bajo</v>
      </c>
      <c r="T390" s="121"/>
    </row>
    <row r="391" spans="1:20" s="120" customFormat="1" ht="32.1" customHeight="1" x14ac:dyDescent="0.2">
      <c r="A391" s="361" t="s">
        <v>217</v>
      </c>
      <c r="B391" s="406" t="s">
        <v>576</v>
      </c>
      <c r="C391" s="477" t="s">
        <v>1246</v>
      </c>
      <c r="D391" s="364">
        <v>251</v>
      </c>
      <c r="E391" s="46">
        <v>0</v>
      </c>
      <c r="F391" s="46">
        <v>21</v>
      </c>
      <c r="G391" s="46">
        <v>21</v>
      </c>
      <c r="H391" s="46">
        <v>21</v>
      </c>
      <c r="I391" s="46"/>
      <c r="J391" s="46">
        <v>0</v>
      </c>
      <c r="K391" s="46"/>
      <c r="L391" s="46"/>
      <c r="M391" s="46"/>
      <c r="N391" s="46"/>
      <c r="O391" s="46"/>
      <c r="P391" s="46"/>
      <c r="Q391" s="374">
        <f t="shared" si="24"/>
        <v>12.6</v>
      </c>
      <c r="R391" s="375" t="str">
        <f t="shared" si="25"/>
        <v>NO</v>
      </c>
      <c r="S391" s="376" t="str">
        <f t="shared" si="23"/>
        <v>Bajo</v>
      </c>
      <c r="T391" s="121"/>
    </row>
    <row r="392" spans="1:20" s="120" customFormat="1" ht="32.1" customHeight="1" x14ac:dyDescent="0.2">
      <c r="A392" s="361" t="s">
        <v>217</v>
      </c>
      <c r="B392" s="406" t="s">
        <v>1247</v>
      </c>
      <c r="C392" s="477" t="s">
        <v>1248</v>
      </c>
      <c r="D392" s="364">
        <v>251</v>
      </c>
      <c r="E392" s="46">
        <v>0</v>
      </c>
      <c r="F392" s="46">
        <v>21</v>
      </c>
      <c r="G392" s="46">
        <v>21</v>
      </c>
      <c r="H392" s="46">
        <v>21</v>
      </c>
      <c r="I392" s="46"/>
      <c r="J392" s="46">
        <v>0</v>
      </c>
      <c r="K392" s="46"/>
      <c r="L392" s="46"/>
      <c r="M392" s="46"/>
      <c r="N392" s="46"/>
      <c r="O392" s="46"/>
      <c r="P392" s="46"/>
      <c r="Q392" s="374">
        <f t="shared" si="24"/>
        <v>12.6</v>
      </c>
      <c r="R392" s="375" t="str">
        <f t="shared" si="25"/>
        <v>NO</v>
      </c>
      <c r="S392" s="376" t="str">
        <f t="shared" si="23"/>
        <v>Bajo</v>
      </c>
      <c r="T392" s="121"/>
    </row>
    <row r="393" spans="1:20" s="120" customFormat="1" ht="32.1" customHeight="1" x14ac:dyDescent="0.2">
      <c r="A393" s="361" t="s">
        <v>217</v>
      </c>
      <c r="B393" s="406" t="s">
        <v>1249</v>
      </c>
      <c r="C393" s="477" t="s">
        <v>1250</v>
      </c>
      <c r="D393" s="364">
        <v>219</v>
      </c>
      <c r="E393" s="46">
        <v>0</v>
      </c>
      <c r="F393" s="46">
        <v>0</v>
      </c>
      <c r="G393" s="46">
        <v>21</v>
      </c>
      <c r="H393" s="46">
        <v>21</v>
      </c>
      <c r="I393" s="46"/>
      <c r="J393" s="46">
        <v>0</v>
      </c>
      <c r="K393" s="46"/>
      <c r="L393" s="46"/>
      <c r="M393" s="46"/>
      <c r="N393" s="46"/>
      <c r="O393" s="46"/>
      <c r="P393" s="46"/>
      <c r="Q393" s="374">
        <f t="shared" si="24"/>
        <v>8.4</v>
      </c>
      <c r="R393" s="375" t="str">
        <f t="shared" si="25"/>
        <v>NO</v>
      </c>
      <c r="S393" s="376" t="str">
        <f t="shared" si="23"/>
        <v>Bajo</v>
      </c>
      <c r="T393" s="121"/>
    </row>
    <row r="394" spans="1:20" s="120" customFormat="1" ht="32.1" customHeight="1" x14ac:dyDescent="0.2">
      <c r="A394" s="361" t="s">
        <v>217</v>
      </c>
      <c r="B394" s="406" t="s">
        <v>1251</v>
      </c>
      <c r="C394" s="477" t="s">
        <v>1252</v>
      </c>
      <c r="D394" s="364">
        <v>398</v>
      </c>
      <c r="E394" s="46">
        <v>0</v>
      </c>
      <c r="F394" s="46">
        <v>0</v>
      </c>
      <c r="G394" s="46">
        <v>0</v>
      </c>
      <c r="H394" s="46">
        <v>0</v>
      </c>
      <c r="I394" s="46">
        <v>0</v>
      </c>
      <c r="J394" s="46">
        <v>0</v>
      </c>
      <c r="K394" s="46"/>
      <c r="L394" s="46"/>
      <c r="M394" s="46"/>
      <c r="N394" s="46"/>
      <c r="O394" s="46"/>
      <c r="P394" s="46"/>
      <c r="Q394" s="374">
        <f t="shared" si="24"/>
        <v>0</v>
      </c>
      <c r="R394" s="375" t="str">
        <f t="shared" si="25"/>
        <v>SI</v>
      </c>
      <c r="S394" s="376" t="str">
        <f t="shared" si="23"/>
        <v>Sin Riesgo</v>
      </c>
      <c r="T394" s="121"/>
    </row>
    <row r="395" spans="1:20" s="120" customFormat="1" ht="32.1" customHeight="1" x14ac:dyDescent="0.2">
      <c r="A395" s="361" t="s">
        <v>217</v>
      </c>
      <c r="B395" s="406" t="s">
        <v>1253</v>
      </c>
      <c r="C395" s="477" t="s">
        <v>1254</v>
      </c>
      <c r="D395" s="364">
        <v>251</v>
      </c>
      <c r="E395" s="46">
        <v>0</v>
      </c>
      <c r="F395" s="46">
        <v>0</v>
      </c>
      <c r="G395" s="46">
        <v>0</v>
      </c>
      <c r="H395" s="46">
        <v>0</v>
      </c>
      <c r="I395" s="46">
        <v>0</v>
      </c>
      <c r="J395" s="46">
        <v>0</v>
      </c>
      <c r="K395" s="46"/>
      <c r="L395" s="46"/>
      <c r="M395" s="46"/>
      <c r="N395" s="46"/>
      <c r="O395" s="46"/>
      <c r="P395" s="46"/>
      <c r="Q395" s="374">
        <f t="shared" si="24"/>
        <v>0</v>
      </c>
      <c r="R395" s="375" t="str">
        <f t="shared" si="25"/>
        <v>SI</v>
      </c>
      <c r="S395" s="376" t="str">
        <f t="shared" si="23"/>
        <v>Sin Riesgo</v>
      </c>
      <c r="T395" s="121"/>
    </row>
    <row r="396" spans="1:20" s="120" customFormat="1" ht="32.1" customHeight="1" x14ac:dyDescent="0.2">
      <c r="A396" s="361" t="s">
        <v>217</v>
      </c>
      <c r="B396" s="406" t="s">
        <v>239</v>
      </c>
      <c r="C396" s="477" t="s">
        <v>1255</v>
      </c>
      <c r="D396" s="364">
        <v>367</v>
      </c>
      <c r="E396" s="46">
        <v>0</v>
      </c>
      <c r="F396" s="46">
        <v>0</v>
      </c>
      <c r="G396" s="46">
        <v>0</v>
      </c>
      <c r="H396" s="46">
        <v>0</v>
      </c>
      <c r="I396" s="46">
        <v>0</v>
      </c>
      <c r="J396" s="46">
        <v>0</v>
      </c>
      <c r="K396" s="46"/>
      <c r="L396" s="46"/>
      <c r="M396" s="46"/>
      <c r="N396" s="46"/>
      <c r="O396" s="46"/>
      <c r="P396" s="46"/>
      <c r="Q396" s="374">
        <f t="shared" si="24"/>
        <v>0</v>
      </c>
      <c r="R396" s="375" t="str">
        <f t="shared" si="25"/>
        <v>SI</v>
      </c>
      <c r="S396" s="376" t="str">
        <f t="shared" si="23"/>
        <v>Sin Riesgo</v>
      </c>
      <c r="T396" s="121"/>
    </row>
    <row r="397" spans="1:20" s="120" customFormat="1" ht="32.1" customHeight="1" x14ac:dyDescent="0.2">
      <c r="A397" s="361" t="s">
        <v>217</v>
      </c>
      <c r="B397" s="406" t="s">
        <v>1256</v>
      </c>
      <c r="C397" s="477" t="s">
        <v>1257</v>
      </c>
      <c r="D397" s="364">
        <v>276</v>
      </c>
      <c r="E397" s="46">
        <v>0</v>
      </c>
      <c r="F397" s="46">
        <v>0</v>
      </c>
      <c r="G397" s="46">
        <v>0</v>
      </c>
      <c r="H397" s="46">
        <v>0</v>
      </c>
      <c r="I397" s="46">
        <v>0</v>
      </c>
      <c r="J397" s="46">
        <v>0</v>
      </c>
      <c r="K397" s="46"/>
      <c r="L397" s="46"/>
      <c r="M397" s="46"/>
      <c r="N397" s="46"/>
      <c r="O397" s="46"/>
      <c r="P397" s="46"/>
      <c r="Q397" s="374">
        <f t="shared" si="24"/>
        <v>0</v>
      </c>
      <c r="R397" s="375" t="str">
        <f t="shared" si="25"/>
        <v>SI</v>
      </c>
      <c r="S397" s="376" t="str">
        <f t="shared" si="23"/>
        <v>Sin Riesgo</v>
      </c>
      <c r="T397" s="121"/>
    </row>
    <row r="398" spans="1:20" s="120" customFormat="1" ht="32.1" customHeight="1" x14ac:dyDescent="0.2">
      <c r="A398" s="361" t="s">
        <v>217</v>
      </c>
      <c r="B398" s="406" t="s">
        <v>1258</v>
      </c>
      <c r="C398" s="477" t="s">
        <v>1259</v>
      </c>
      <c r="D398" s="364">
        <v>17</v>
      </c>
      <c r="E398" s="46">
        <v>0</v>
      </c>
      <c r="F398" s="46">
        <v>0</v>
      </c>
      <c r="G398" s="46">
        <v>21</v>
      </c>
      <c r="H398" s="46">
        <v>0</v>
      </c>
      <c r="I398" s="46"/>
      <c r="J398" s="46">
        <v>0</v>
      </c>
      <c r="K398" s="46"/>
      <c r="L398" s="46"/>
      <c r="M398" s="46"/>
      <c r="N398" s="46"/>
      <c r="O398" s="46"/>
      <c r="P398" s="46"/>
      <c r="Q398" s="374">
        <f t="shared" si="24"/>
        <v>4.2</v>
      </c>
      <c r="R398" s="375" t="str">
        <f t="shared" si="25"/>
        <v>SI</v>
      </c>
      <c r="S398" s="376" t="str">
        <f t="shared" ref="S398:S464" si="26">IF(Q398&lt;5,"Sin Riesgo",IF(Q398 &lt;=14,"Bajo",IF(Q398&lt;=35,"Medio",IF(Q398&lt;=80,"Alto","Inviable Sanitariamente"))))</f>
        <v>Sin Riesgo</v>
      </c>
      <c r="T398" s="121"/>
    </row>
    <row r="399" spans="1:20" s="120" customFormat="1" ht="32.1" customHeight="1" x14ac:dyDescent="0.2">
      <c r="A399" s="361" t="s">
        <v>217</v>
      </c>
      <c r="B399" s="406" t="s">
        <v>1260</v>
      </c>
      <c r="C399" s="477" t="s">
        <v>1261</v>
      </c>
      <c r="D399" s="364">
        <v>343</v>
      </c>
      <c r="E399" s="46">
        <v>0</v>
      </c>
      <c r="F399" s="46">
        <v>0</v>
      </c>
      <c r="G399" s="46">
        <v>21</v>
      </c>
      <c r="H399" s="46">
        <v>0</v>
      </c>
      <c r="I399" s="46"/>
      <c r="J399" s="46">
        <v>0</v>
      </c>
      <c r="K399" s="46"/>
      <c r="L399" s="46"/>
      <c r="M399" s="46"/>
      <c r="N399" s="46"/>
      <c r="O399" s="46"/>
      <c r="P399" s="46"/>
      <c r="Q399" s="374">
        <f t="shared" si="24"/>
        <v>4.2</v>
      </c>
      <c r="R399" s="375" t="str">
        <f t="shared" si="25"/>
        <v>SI</v>
      </c>
      <c r="S399" s="376" t="str">
        <f t="shared" si="26"/>
        <v>Sin Riesgo</v>
      </c>
      <c r="T399" s="121"/>
    </row>
    <row r="400" spans="1:20" s="120" customFormat="1" ht="32.1" customHeight="1" x14ac:dyDescent="0.2">
      <c r="A400" s="361" t="s">
        <v>217</v>
      </c>
      <c r="B400" s="406" t="s">
        <v>1262</v>
      </c>
      <c r="C400" s="477" t="s">
        <v>1263</v>
      </c>
      <c r="D400" s="364">
        <v>108</v>
      </c>
      <c r="E400" s="46">
        <v>0</v>
      </c>
      <c r="F400" s="46">
        <v>0</v>
      </c>
      <c r="G400" s="46">
        <v>21</v>
      </c>
      <c r="H400" s="46">
        <v>0</v>
      </c>
      <c r="I400" s="46"/>
      <c r="J400" s="46">
        <v>0</v>
      </c>
      <c r="K400" s="46"/>
      <c r="L400" s="46"/>
      <c r="M400" s="46"/>
      <c r="N400" s="46"/>
      <c r="O400" s="46"/>
      <c r="P400" s="46"/>
      <c r="Q400" s="374">
        <f t="shared" si="24"/>
        <v>4.2</v>
      </c>
      <c r="R400" s="375" t="str">
        <f t="shared" si="25"/>
        <v>SI</v>
      </c>
      <c r="S400" s="376" t="str">
        <f t="shared" si="26"/>
        <v>Sin Riesgo</v>
      </c>
      <c r="T400" s="121"/>
    </row>
    <row r="401" spans="1:20" s="120" customFormat="1" ht="32.1" customHeight="1" x14ac:dyDescent="0.2">
      <c r="A401" s="361" t="s">
        <v>217</v>
      </c>
      <c r="B401" s="406" t="s">
        <v>533</v>
      </c>
      <c r="C401" s="477" t="s">
        <v>1264</v>
      </c>
      <c r="D401" s="364">
        <v>253</v>
      </c>
      <c r="E401" s="46">
        <v>0</v>
      </c>
      <c r="F401" s="46">
        <v>0</v>
      </c>
      <c r="G401" s="46">
        <v>21</v>
      </c>
      <c r="H401" s="46">
        <v>0</v>
      </c>
      <c r="I401" s="46"/>
      <c r="J401" s="46">
        <v>0</v>
      </c>
      <c r="K401" s="46"/>
      <c r="L401" s="46"/>
      <c r="M401" s="46"/>
      <c r="N401" s="46"/>
      <c r="O401" s="46"/>
      <c r="P401" s="46"/>
      <c r="Q401" s="374">
        <f t="shared" si="24"/>
        <v>4.2</v>
      </c>
      <c r="R401" s="375" t="str">
        <f t="shared" si="25"/>
        <v>SI</v>
      </c>
      <c r="S401" s="376" t="str">
        <f t="shared" si="26"/>
        <v>Sin Riesgo</v>
      </c>
      <c r="T401" s="121"/>
    </row>
    <row r="402" spans="1:20" s="120" customFormat="1" ht="32.1" customHeight="1" x14ac:dyDescent="0.2">
      <c r="A402" s="361" t="s">
        <v>217</v>
      </c>
      <c r="B402" s="406" t="s">
        <v>1265</v>
      </c>
      <c r="C402" s="477" t="s">
        <v>1266</v>
      </c>
      <c r="D402" s="364">
        <v>144</v>
      </c>
      <c r="E402" s="46"/>
      <c r="F402" s="46">
        <v>0</v>
      </c>
      <c r="G402" s="46"/>
      <c r="H402" s="46">
        <v>0</v>
      </c>
      <c r="I402" s="46"/>
      <c r="J402" s="46">
        <v>0</v>
      </c>
      <c r="K402" s="46"/>
      <c r="L402" s="46"/>
      <c r="M402" s="46"/>
      <c r="N402" s="46"/>
      <c r="O402" s="46"/>
      <c r="P402" s="46"/>
      <c r="Q402" s="374">
        <f t="shared" si="24"/>
        <v>0</v>
      </c>
      <c r="R402" s="375" t="str">
        <f t="shared" si="25"/>
        <v>SI</v>
      </c>
      <c r="S402" s="376" t="str">
        <f t="shared" si="26"/>
        <v>Sin Riesgo</v>
      </c>
      <c r="T402" s="121"/>
    </row>
    <row r="403" spans="1:20" s="120" customFormat="1" ht="32.1" customHeight="1" x14ac:dyDescent="0.2">
      <c r="A403" s="361" t="s">
        <v>217</v>
      </c>
      <c r="B403" s="406" t="s">
        <v>540</v>
      </c>
      <c r="C403" s="477" t="s">
        <v>1267</v>
      </c>
      <c r="D403" s="364">
        <v>41</v>
      </c>
      <c r="E403" s="46"/>
      <c r="F403" s="46">
        <v>0</v>
      </c>
      <c r="G403" s="46"/>
      <c r="H403" s="46">
        <v>0</v>
      </c>
      <c r="I403" s="46"/>
      <c r="J403" s="46">
        <v>0</v>
      </c>
      <c r="K403" s="46"/>
      <c r="L403" s="46"/>
      <c r="M403" s="46"/>
      <c r="N403" s="46"/>
      <c r="O403" s="46"/>
      <c r="P403" s="46"/>
      <c r="Q403" s="374">
        <f t="shared" si="24"/>
        <v>0</v>
      </c>
      <c r="R403" s="375" t="str">
        <f t="shared" si="25"/>
        <v>SI</v>
      </c>
      <c r="S403" s="376" t="str">
        <f t="shared" si="26"/>
        <v>Sin Riesgo</v>
      </c>
      <c r="T403" s="121"/>
    </row>
    <row r="404" spans="1:20" s="120" customFormat="1" ht="32.1" customHeight="1" x14ac:dyDescent="0.2">
      <c r="A404" s="361" t="s">
        <v>217</v>
      </c>
      <c r="B404" s="406" t="s">
        <v>240</v>
      </c>
      <c r="C404" s="477" t="s">
        <v>1268</v>
      </c>
      <c r="D404" s="364">
        <v>50</v>
      </c>
      <c r="E404" s="46"/>
      <c r="F404" s="46">
        <v>0</v>
      </c>
      <c r="G404" s="46"/>
      <c r="H404" s="46">
        <v>0</v>
      </c>
      <c r="I404" s="46"/>
      <c r="J404" s="46">
        <v>0</v>
      </c>
      <c r="K404" s="46"/>
      <c r="L404" s="46"/>
      <c r="M404" s="46"/>
      <c r="N404" s="46"/>
      <c r="O404" s="46"/>
      <c r="P404" s="46"/>
      <c r="Q404" s="374">
        <f t="shared" ref="Q404:Q447" si="27">AVERAGE(E404:P404)</f>
        <v>0</v>
      </c>
      <c r="R404" s="375" t="str">
        <f t="shared" si="25"/>
        <v>SI</v>
      </c>
      <c r="S404" s="376" t="str">
        <f t="shared" si="26"/>
        <v>Sin Riesgo</v>
      </c>
      <c r="T404" s="121"/>
    </row>
    <row r="405" spans="1:20" s="120" customFormat="1" ht="32.1" customHeight="1" x14ac:dyDescent="0.2">
      <c r="A405" s="361" t="s">
        <v>217</v>
      </c>
      <c r="B405" s="406" t="s">
        <v>604</v>
      </c>
      <c r="C405" s="477" t="s">
        <v>1269</v>
      </c>
      <c r="D405" s="364">
        <v>151</v>
      </c>
      <c r="E405" s="46"/>
      <c r="F405" s="46">
        <v>0</v>
      </c>
      <c r="G405" s="46"/>
      <c r="H405" s="46">
        <v>0</v>
      </c>
      <c r="I405" s="46"/>
      <c r="J405" s="46">
        <v>0</v>
      </c>
      <c r="K405" s="46"/>
      <c r="L405" s="46"/>
      <c r="M405" s="46"/>
      <c r="N405" s="46"/>
      <c r="O405" s="46"/>
      <c r="P405" s="46"/>
      <c r="Q405" s="374">
        <f t="shared" si="27"/>
        <v>0</v>
      </c>
      <c r="R405" s="375" t="str">
        <f t="shared" si="25"/>
        <v>SI</v>
      </c>
      <c r="S405" s="376" t="str">
        <f t="shared" si="26"/>
        <v>Sin Riesgo</v>
      </c>
      <c r="T405" s="121"/>
    </row>
    <row r="406" spans="1:20" s="120" customFormat="1" ht="32.1" customHeight="1" x14ac:dyDescent="0.2">
      <c r="A406" s="361" t="s">
        <v>217</v>
      </c>
      <c r="B406" s="406" t="s">
        <v>65</v>
      </c>
      <c r="C406" s="477" t="s">
        <v>1270</v>
      </c>
      <c r="D406" s="364">
        <v>35</v>
      </c>
      <c r="E406" s="46"/>
      <c r="F406" s="46">
        <v>0</v>
      </c>
      <c r="G406" s="46"/>
      <c r="H406" s="46">
        <v>0</v>
      </c>
      <c r="I406" s="46"/>
      <c r="J406" s="46">
        <v>0</v>
      </c>
      <c r="K406" s="46"/>
      <c r="L406" s="46"/>
      <c r="M406" s="46"/>
      <c r="N406" s="46"/>
      <c r="O406" s="46"/>
      <c r="P406" s="46"/>
      <c r="Q406" s="374">
        <f t="shared" si="27"/>
        <v>0</v>
      </c>
      <c r="R406" s="375" t="str">
        <f t="shared" si="25"/>
        <v>SI</v>
      </c>
      <c r="S406" s="376" t="str">
        <f t="shared" si="26"/>
        <v>Sin Riesgo</v>
      </c>
      <c r="T406" s="121"/>
    </row>
    <row r="407" spans="1:20" s="120" customFormat="1" ht="32.1" customHeight="1" x14ac:dyDescent="0.2">
      <c r="A407" s="361" t="s">
        <v>217</v>
      </c>
      <c r="B407" s="406" t="s">
        <v>1271</v>
      </c>
      <c r="C407" s="477" t="s">
        <v>1272</v>
      </c>
      <c r="D407" s="364">
        <v>115</v>
      </c>
      <c r="E407" s="46">
        <v>0</v>
      </c>
      <c r="F407" s="46">
        <v>0</v>
      </c>
      <c r="G407" s="46">
        <v>0</v>
      </c>
      <c r="H407" s="46">
        <v>0</v>
      </c>
      <c r="I407" s="46">
        <v>0</v>
      </c>
      <c r="J407" s="46">
        <v>0</v>
      </c>
      <c r="K407" s="46"/>
      <c r="L407" s="46"/>
      <c r="M407" s="46"/>
      <c r="N407" s="46"/>
      <c r="O407" s="46"/>
      <c r="P407" s="46"/>
      <c r="Q407" s="374">
        <f t="shared" si="27"/>
        <v>0</v>
      </c>
      <c r="R407" s="375" t="str">
        <f t="shared" si="25"/>
        <v>SI</v>
      </c>
      <c r="S407" s="376" t="str">
        <f t="shared" si="26"/>
        <v>Sin Riesgo</v>
      </c>
      <c r="T407" s="121"/>
    </row>
    <row r="408" spans="1:20" s="120" customFormat="1" ht="32.1" customHeight="1" x14ac:dyDescent="0.2">
      <c r="A408" s="361" t="s">
        <v>217</v>
      </c>
      <c r="B408" s="406" t="s">
        <v>1273</v>
      </c>
      <c r="C408" s="477" t="s">
        <v>1274</v>
      </c>
      <c r="D408" s="364">
        <v>82</v>
      </c>
      <c r="E408" s="46">
        <v>0</v>
      </c>
      <c r="F408" s="46">
        <v>0</v>
      </c>
      <c r="G408" s="46">
        <v>0</v>
      </c>
      <c r="H408" s="46">
        <v>0</v>
      </c>
      <c r="I408" s="46">
        <v>0</v>
      </c>
      <c r="J408" s="46">
        <v>0</v>
      </c>
      <c r="K408" s="46"/>
      <c r="L408" s="46"/>
      <c r="M408" s="46"/>
      <c r="N408" s="46"/>
      <c r="O408" s="46"/>
      <c r="P408" s="46"/>
      <c r="Q408" s="374">
        <f t="shared" si="27"/>
        <v>0</v>
      </c>
      <c r="R408" s="375" t="str">
        <f t="shared" si="25"/>
        <v>SI</v>
      </c>
      <c r="S408" s="376" t="str">
        <f t="shared" si="26"/>
        <v>Sin Riesgo</v>
      </c>
      <c r="T408" s="121"/>
    </row>
    <row r="409" spans="1:20" s="120" customFormat="1" ht="32.1" customHeight="1" x14ac:dyDescent="0.2">
      <c r="A409" s="361" t="s">
        <v>217</v>
      </c>
      <c r="B409" s="406" t="s">
        <v>1258</v>
      </c>
      <c r="C409" s="477" t="s">
        <v>1275</v>
      </c>
      <c r="D409" s="364">
        <v>230</v>
      </c>
      <c r="E409" s="46">
        <v>0</v>
      </c>
      <c r="F409" s="46">
        <v>0</v>
      </c>
      <c r="G409" s="46">
        <v>0</v>
      </c>
      <c r="H409" s="46">
        <v>0</v>
      </c>
      <c r="I409" s="46">
        <v>0</v>
      </c>
      <c r="J409" s="46">
        <v>0</v>
      </c>
      <c r="K409" s="46"/>
      <c r="L409" s="46"/>
      <c r="M409" s="46"/>
      <c r="N409" s="46"/>
      <c r="O409" s="46"/>
      <c r="P409" s="46"/>
      <c r="Q409" s="374">
        <f t="shared" si="27"/>
        <v>0</v>
      </c>
      <c r="R409" s="375" t="str">
        <f t="shared" si="25"/>
        <v>SI</v>
      </c>
      <c r="S409" s="376" t="str">
        <f t="shared" si="26"/>
        <v>Sin Riesgo</v>
      </c>
      <c r="T409" s="121"/>
    </row>
    <row r="410" spans="1:20" s="120" customFormat="1" ht="32.1" customHeight="1" x14ac:dyDescent="0.2">
      <c r="A410" s="361" t="s">
        <v>217</v>
      </c>
      <c r="B410" s="406" t="s">
        <v>240</v>
      </c>
      <c r="C410" s="477" t="s">
        <v>1276</v>
      </c>
      <c r="D410" s="364">
        <v>102</v>
      </c>
      <c r="E410" s="46">
        <v>0</v>
      </c>
      <c r="F410" s="46">
        <v>0</v>
      </c>
      <c r="G410" s="46">
        <v>0</v>
      </c>
      <c r="H410" s="46">
        <v>0</v>
      </c>
      <c r="I410" s="46">
        <v>0</v>
      </c>
      <c r="J410" s="46">
        <v>0</v>
      </c>
      <c r="K410" s="46"/>
      <c r="L410" s="46"/>
      <c r="M410" s="46"/>
      <c r="N410" s="46"/>
      <c r="O410" s="46"/>
      <c r="P410" s="46"/>
      <c r="Q410" s="374">
        <f t="shared" si="27"/>
        <v>0</v>
      </c>
      <c r="R410" s="375" t="str">
        <f t="shared" si="25"/>
        <v>SI</v>
      </c>
      <c r="S410" s="376" t="str">
        <f t="shared" si="26"/>
        <v>Sin Riesgo</v>
      </c>
      <c r="T410" s="121"/>
    </row>
    <row r="411" spans="1:20" s="120" customFormat="1" ht="32.1" customHeight="1" x14ac:dyDescent="0.2">
      <c r="A411" s="361" t="s">
        <v>217</v>
      </c>
      <c r="B411" s="406" t="s">
        <v>1277</v>
      </c>
      <c r="C411" s="477" t="s">
        <v>1278</v>
      </c>
      <c r="D411" s="364">
        <v>45</v>
      </c>
      <c r="E411" s="46">
        <v>0</v>
      </c>
      <c r="F411" s="46">
        <v>0</v>
      </c>
      <c r="G411" s="46">
        <v>0</v>
      </c>
      <c r="H411" s="46">
        <v>0</v>
      </c>
      <c r="I411" s="46">
        <v>0</v>
      </c>
      <c r="J411" s="46">
        <v>0</v>
      </c>
      <c r="K411" s="46"/>
      <c r="L411" s="46"/>
      <c r="M411" s="46"/>
      <c r="N411" s="46"/>
      <c r="O411" s="46"/>
      <c r="P411" s="46"/>
      <c r="Q411" s="374">
        <f t="shared" si="27"/>
        <v>0</v>
      </c>
      <c r="R411" s="375" t="str">
        <f t="shared" si="25"/>
        <v>SI</v>
      </c>
      <c r="S411" s="376" t="str">
        <f t="shared" si="26"/>
        <v>Sin Riesgo</v>
      </c>
      <c r="T411" s="121"/>
    </row>
    <row r="412" spans="1:20" s="120" customFormat="1" ht="32.1" customHeight="1" x14ac:dyDescent="0.2">
      <c r="A412" s="361" t="s">
        <v>217</v>
      </c>
      <c r="B412" s="406" t="s">
        <v>1279</v>
      </c>
      <c r="C412" s="477" t="s">
        <v>1280</v>
      </c>
      <c r="D412" s="364">
        <v>191</v>
      </c>
      <c r="E412" s="46">
        <v>0</v>
      </c>
      <c r="F412" s="46">
        <v>0</v>
      </c>
      <c r="G412" s="46">
        <v>0</v>
      </c>
      <c r="H412" s="46">
        <v>0</v>
      </c>
      <c r="I412" s="46">
        <v>0</v>
      </c>
      <c r="J412" s="46">
        <v>0</v>
      </c>
      <c r="K412" s="46"/>
      <c r="L412" s="46"/>
      <c r="M412" s="46"/>
      <c r="N412" s="46"/>
      <c r="O412" s="46"/>
      <c r="P412" s="46"/>
      <c r="Q412" s="374">
        <f t="shared" si="27"/>
        <v>0</v>
      </c>
      <c r="R412" s="375" t="str">
        <f t="shared" si="25"/>
        <v>SI</v>
      </c>
      <c r="S412" s="376" t="str">
        <f t="shared" si="26"/>
        <v>Sin Riesgo</v>
      </c>
      <c r="T412" s="121"/>
    </row>
    <row r="413" spans="1:20" s="120" customFormat="1" ht="32.1" customHeight="1" x14ac:dyDescent="0.2">
      <c r="A413" s="361" t="s">
        <v>217</v>
      </c>
      <c r="B413" s="406" t="s">
        <v>1281</v>
      </c>
      <c r="C413" s="477" t="s">
        <v>1282</v>
      </c>
      <c r="D413" s="364">
        <v>59</v>
      </c>
      <c r="E413" s="46">
        <v>0</v>
      </c>
      <c r="F413" s="46">
        <v>0</v>
      </c>
      <c r="G413" s="46">
        <v>0</v>
      </c>
      <c r="H413" s="46">
        <v>0</v>
      </c>
      <c r="I413" s="46">
        <v>0</v>
      </c>
      <c r="J413" s="46">
        <v>0</v>
      </c>
      <c r="K413" s="46"/>
      <c r="L413" s="46"/>
      <c r="M413" s="46"/>
      <c r="N413" s="46"/>
      <c r="O413" s="46"/>
      <c r="P413" s="46"/>
      <c r="Q413" s="374">
        <f t="shared" si="27"/>
        <v>0</v>
      </c>
      <c r="R413" s="375" t="str">
        <f t="shared" si="25"/>
        <v>SI</v>
      </c>
      <c r="S413" s="376" t="str">
        <f t="shared" si="26"/>
        <v>Sin Riesgo</v>
      </c>
      <c r="T413" s="121"/>
    </row>
    <row r="414" spans="1:20" s="120" customFormat="1" ht="32.1" customHeight="1" x14ac:dyDescent="0.2">
      <c r="A414" s="361" t="s">
        <v>217</v>
      </c>
      <c r="B414" s="406" t="s">
        <v>1283</v>
      </c>
      <c r="C414" s="477" t="s">
        <v>1284</v>
      </c>
      <c r="D414" s="364">
        <v>81</v>
      </c>
      <c r="E414" s="46">
        <v>0</v>
      </c>
      <c r="F414" s="46">
        <v>0</v>
      </c>
      <c r="G414" s="46">
        <v>0</v>
      </c>
      <c r="H414" s="46">
        <v>0</v>
      </c>
      <c r="I414" s="46">
        <v>0</v>
      </c>
      <c r="J414" s="46">
        <v>0</v>
      </c>
      <c r="K414" s="46"/>
      <c r="L414" s="46"/>
      <c r="M414" s="46"/>
      <c r="N414" s="46"/>
      <c r="O414" s="46"/>
      <c r="P414" s="46"/>
      <c r="Q414" s="374">
        <f t="shared" si="27"/>
        <v>0</v>
      </c>
      <c r="R414" s="375" t="str">
        <f t="shared" si="25"/>
        <v>SI</v>
      </c>
      <c r="S414" s="376" t="str">
        <f t="shared" si="26"/>
        <v>Sin Riesgo</v>
      </c>
      <c r="T414" s="121"/>
    </row>
    <row r="415" spans="1:20" s="120" customFormat="1" ht="32.1" customHeight="1" x14ac:dyDescent="0.2">
      <c r="A415" s="361" t="s">
        <v>217</v>
      </c>
      <c r="B415" s="406" t="s">
        <v>1285</v>
      </c>
      <c r="C415" s="477" t="s">
        <v>1286</v>
      </c>
      <c r="D415" s="364">
        <v>97</v>
      </c>
      <c r="E415" s="46">
        <v>0</v>
      </c>
      <c r="F415" s="46">
        <v>0</v>
      </c>
      <c r="G415" s="46">
        <v>0</v>
      </c>
      <c r="H415" s="46">
        <v>0</v>
      </c>
      <c r="I415" s="46">
        <v>0</v>
      </c>
      <c r="J415" s="46">
        <v>0</v>
      </c>
      <c r="K415" s="46"/>
      <c r="L415" s="46"/>
      <c r="M415" s="46"/>
      <c r="N415" s="46"/>
      <c r="O415" s="46"/>
      <c r="P415" s="46"/>
      <c r="Q415" s="374">
        <f t="shared" si="27"/>
        <v>0</v>
      </c>
      <c r="R415" s="375" t="str">
        <f t="shared" si="25"/>
        <v>SI</v>
      </c>
      <c r="S415" s="376" t="str">
        <f t="shared" si="26"/>
        <v>Sin Riesgo</v>
      </c>
      <c r="T415" s="121"/>
    </row>
    <row r="416" spans="1:20" s="120" customFormat="1" ht="32.1" customHeight="1" x14ac:dyDescent="0.2">
      <c r="A416" s="361" t="s">
        <v>217</v>
      </c>
      <c r="B416" s="406" t="s">
        <v>65</v>
      </c>
      <c r="C416" s="477" t="s">
        <v>1287</v>
      </c>
      <c r="D416" s="364">
        <v>54</v>
      </c>
      <c r="E416" s="46">
        <v>0</v>
      </c>
      <c r="F416" s="46">
        <v>0</v>
      </c>
      <c r="G416" s="46">
        <v>0</v>
      </c>
      <c r="H416" s="46">
        <v>0</v>
      </c>
      <c r="I416" s="46">
        <v>0</v>
      </c>
      <c r="J416" s="46">
        <v>0</v>
      </c>
      <c r="K416" s="46"/>
      <c r="L416" s="46"/>
      <c r="M416" s="46"/>
      <c r="N416" s="46"/>
      <c r="O416" s="46"/>
      <c r="P416" s="46"/>
      <c r="Q416" s="374">
        <f t="shared" si="27"/>
        <v>0</v>
      </c>
      <c r="R416" s="375" t="str">
        <f t="shared" si="25"/>
        <v>SI</v>
      </c>
      <c r="S416" s="376" t="str">
        <f t="shared" si="26"/>
        <v>Sin Riesgo</v>
      </c>
      <c r="T416" s="121"/>
    </row>
    <row r="417" spans="1:20" s="120" customFormat="1" ht="32.1" customHeight="1" x14ac:dyDescent="0.2">
      <c r="A417" s="361" t="s">
        <v>217</v>
      </c>
      <c r="B417" s="406" t="s">
        <v>1288</v>
      </c>
      <c r="C417" s="477" t="s">
        <v>1289</v>
      </c>
      <c r="D417" s="364">
        <v>296</v>
      </c>
      <c r="E417" s="46">
        <v>2.1</v>
      </c>
      <c r="F417" s="46">
        <v>2.1</v>
      </c>
      <c r="G417" s="46">
        <v>2.1</v>
      </c>
      <c r="H417" s="46">
        <v>2.1</v>
      </c>
      <c r="I417" s="46"/>
      <c r="J417" s="46">
        <v>0</v>
      </c>
      <c r="K417" s="46"/>
      <c r="L417" s="46"/>
      <c r="M417" s="46"/>
      <c r="N417" s="46"/>
      <c r="O417" s="46"/>
      <c r="P417" s="46"/>
      <c r="Q417" s="374">
        <f t="shared" si="27"/>
        <v>1.6800000000000002</v>
      </c>
      <c r="R417" s="375" t="str">
        <f t="shared" si="25"/>
        <v>SI</v>
      </c>
      <c r="S417" s="376" t="str">
        <f t="shared" si="26"/>
        <v>Sin Riesgo</v>
      </c>
      <c r="T417" s="121"/>
    </row>
    <row r="418" spans="1:20" s="120" customFormat="1" ht="32.1" customHeight="1" x14ac:dyDescent="0.2">
      <c r="A418" s="361" t="s">
        <v>217</v>
      </c>
      <c r="B418" s="406" t="s">
        <v>1290</v>
      </c>
      <c r="C418" s="477" t="s">
        <v>1291</v>
      </c>
      <c r="D418" s="364">
        <v>84</v>
      </c>
      <c r="E418" s="46">
        <v>0</v>
      </c>
      <c r="F418" s="46">
        <v>0</v>
      </c>
      <c r="G418" s="46">
        <v>0</v>
      </c>
      <c r="H418" s="46">
        <v>0</v>
      </c>
      <c r="I418" s="46"/>
      <c r="J418" s="46">
        <v>0</v>
      </c>
      <c r="K418" s="46"/>
      <c r="L418" s="46"/>
      <c r="M418" s="46"/>
      <c r="N418" s="46"/>
      <c r="O418" s="46"/>
      <c r="P418" s="46"/>
      <c r="Q418" s="374">
        <f t="shared" si="27"/>
        <v>0</v>
      </c>
      <c r="R418" s="375" t="str">
        <f t="shared" si="25"/>
        <v>SI</v>
      </c>
      <c r="S418" s="376" t="str">
        <f t="shared" si="26"/>
        <v>Sin Riesgo</v>
      </c>
      <c r="T418" s="121"/>
    </row>
    <row r="419" spans="1:20" s="120" customFormat="1" ht="32.1" customHeight="1" x14ac:dyDescent="0.2">
      <c r="A419" s="361" t="s">
        <v>217</v>
      </c>
      <c r="B419" s="406" t="s">
        <v>615</v>
      </c>
      <c r="C419" s="477" t="s">
        <v>1292</v>
      </c>
      <c r="D419" s="364">
        <v>53</v>
      </c>
      <c r="E419" s="46">
        <v>0</v>
      </c>
      <c r="F419" s="46">
        <v>0</v>
      </c>
      <c r="G419" s="46">
        <v>0</v>
      </c>
      <c r="H419" s="46">
        <v>0</v>
      </c>
      <c r="I419" s="46"/>
      <c r="J419" s="46">
        <v>0</v>
      </c>
      <c r="K419" s="46"/>
      <c r="L419" s="46"/>
      <c r="M419" s="46"/>
      <c r="N419" s="46"/>
      <c r="O419" s="46"/>
      <c r="P419" s="46"/>
      <c r="Q419" s="374">
        <f t="shared" si="27"/>
        <v>0</v>
      </c>
      <c r="R419" s="375" t="str">
        <f t="shared" si="25"/>
        <v>SI</v>
      </c>
      <c r="S419" s="376" t="str">
        <f t="shared" si="26"/>
        <v>Sin Riesgo</v>
      </c>
      <c r="T419" s="121"/>
    </row>
    <row r="420" spans="1:20" s="120" customFormat="1" ht="32.1" customHeight="1" x14ac:dyDescent="0.2">
      <c r="A420" s="361" t="s">
        <v>217</v>
      </c>
      <c r="B420" s="406" t="s">
        <v>1293</v>
      </c>
      <c r="C420" s="477" t="s">
        <v>1294</v>
      </c>
      <c r="D420" s="364">
        <v>146</v>
      </c>
      <c r="E420" s="46">
        <v>2.1</v>
      </c>
      <c r="F420" s="46">
        <v>2.1</v>
      </c>
      <c r="G420" s="46">
        <v>2.1</v>
      </c>
      <c r="H420" s="46">
        <v>2.1</v>
      </c>
      <c r="I420" s="46"/>
      <c r="J420" s="46">
        <v>0</v>
      </c>
      <c r="K420" s="46"/>
      <c r="L420" s="46"/>
      <c r="M420" s="46"/>
      <c r="N420" s="46"/>
      <c r="O420" s="46"/>
      <c r="P420" s="46"/>
      <c r="Q420" s="374">
        <f t="shared" si="27"/>
        <v>1.6800000000000002</v>
      </c>
      <c r="R420" s="375" t="str">
        <f t="shared" si="25"/>
        <v>SI</v>
      </c>
      <c r="S420" s="376" t="str">
        <f t="shared" si="26"/>
        <v>Sin Riesgo</v>
      </c>
      <c r="T420" s="121"/>
    </row>
    <row r="421" spans="1:20" s="120" customFormat="1" ht="32.1" customHeight="1" x14ac:dyDescent="0.2">
      <c r="A421" s="361" t="s">
        <v>217</v>
      </c>
      <c r="B421" s="406" t="s">
        <v>1295</v>
      </c>
      <c r="C421" s="477" t="s">
        <v>1296</v>
      </c>
      <c r="D421" s="364">
        <v>42</v>
      </c>
      <c r="E421" s="46">
        <v>0</v>
      </c>
      <c r="F421" s="46">
        <v>0</v>
      </c>
      <c r="G421" s="46">
        <v>0</v>
      </c>
      <c r="H421" s="46">
        <v>21</v>
      </c>
      <c r="I421" s="46"/>
      <c r="J421" s="46">
        <v>0</v>
      </c>
      <c r="K421" s="46"/>
      <c r="L421" s="46"/>
      <c r="M421" s="46"/>
      <c r="N421" s="46"/>
      <c r="O421" s="46"/>
      <c r="P421" s="46"/>
      <c r="Q421" s="374">
        <f t="shared" si="27"/>
        <v>4.2</v>
      </c>
      <c r="R421" s="375" t="str">
        <f t="shared" si="25"/>
        <v>SI</v>
      </c>
      <c r="S421" s="376" t="str">
        <f t="shared" si="26"/>
        <v>Sin Riesgo</v>
      </c>
      <c r="T421" s="121"/>
    </row>
    <row r="422" spans="1:20" s="120" customFormat="1" ht="32.1" customHeight="1" x14ac:dyDescent="0.2">
      <c r="A422" s="361" t="s">
        <v>217</v>
      </c>
      <c r="B422" s="406" t="s">
        <v>974</v>
      </c>
      <c r="C422" s="477" t="s">
        <v>1297</v>
      </c>
      <c r="D422" s="364">
        <v>186</v>
      </c>
      <c r="E422" s="46"/>
      <c r="F422" s="46">
        <v>0</v>
      </c>
      <c r="G422" s="46"/>
      <c r="H422" s="46">
        <v>21</v>
      </c>
      <c r="I422" s="46"/>
      <c r="J422" s="46">
        <v>0</v>
      </c>
      <c r="K422" s="46"/>
      <c r="L422" s="46"/>
      <c r="M422" s="46"/>
      <c r="N422" s="46"/>
      <c r="O422" s="46"/>
      <c r="P422" s="46"/>
      <c r="Q422" s="374">
        <f t="shared" si="27"/>
        <v>7</v>
      </c>
      <c r="R422" s="375" t="str">
        <f t="shared" si="25"/>
        <v>NO</v>
      </c>
      <c r="S422" s="376" t="str">
        <f t="shared" si="26"/>
        <v>Bajo</v>
      </c>
      <c r="T422" s="121"/>
    </row>
    <row r="423" spans="1:20" s="120" customFormat="1" ht="32.1" customHeight="1" x14ac:dyDescent="0.2">
      <c r="A423" s="361" t="s">
        <v>217</v>
      </c>
      <c r="B423" s="406" t="s">
        <v>1298</v>
      </c>
      <c r="C423" s="477" t="s">
        <v>1299</v>
      </c>
      <c r="D423" s="364">
        <v>83</v>
      </c>
      <c r="E423" s="46"/>
      <c r="F423" s="46">
        <v>0</v>
      </c>
      <c r="G423" s="46"/>
      <c r="H423" s="46">
        <v>21</v>
      </c>
      <c r="I423" s="46"/>
      <c r="J423" s="46">
        <v>0</v>
      </c>
      <c r="K423" s="46"/>
      <c r="L423" s="46"/>
      <c r="M423" s="46"/>
      <c r="N423" s="46"/>
      <c r="O423" s="46"/>
      <c r="P423" s="46"/>
      <c r="Q423" s="374">
        <f t="shared" si="27"/>
        <v>7</v>
      </c>
      <c r="R423" s="375" t="str">
        <f t="shared" si="25"/>
        <v>NO</v>
      </c>
      <c r="S423" s="376" t="str">
        <f t="shared" si="26"/>
        <v>Bajo</v>
      </c>
      <c r="T423" s="121"/>
    </row>
    <row r="424" spans="1:20" s="120" customFormat="1" ht="32.1" customHeight="1" x14ac:dyDescent="0.2">
      <c r="A424" s="361" t="s">
        <v>217</v>
      </c>
      <c r="B424" s="406" t="s">
        <v>1300</v>
      </c>
      <c r="C424" s="477" t="s">
        <v>1301</v>
      </c>
      <c r="D424" s="364">
        <v>32</v>
      </c>
      <c r="E424" s="46"/>
      <c r="F424" s="46">
        <v>0</v>
      </c>
      <c r="G424" s="46"/>
      <c r="H424" s="46">
        <v>21</v>
      </c>
      <c r="I424" s="46"/>
      <c r="J424" s="46">
        <v>0</v>
      </c>
      <c r="K424" s="46"/>
      <c r="L424" s="46"/>
      <c r="M424" s="46"/>
      <c r="N424" s="46"/>
      <c r="O424" s="46"/>
      <c r="P424" s="46"/>
      <c r="Q424" s="374">
        <f t="shared" si="27"/>
        <v>7</v>
      </c>
      <c r="R424" s="375" t="str">
        <f t="shared" si="25"/>
        <v>NO</v>
      </c>
      <c r="S424" s="376" t="str">
        <f t="shared" si="26"/>
        <v>Bajo</v>
      </c>
      <c r="T424" s="121"/>
    </row>
    <row r="425" spans="1:20" s="120" customFormat="1" ht="32.1" customHeight="1" x14ac:dyDescent="0.2">
      <c r="A425" s="361" t="s">
        <v>217</v>
      </c>
      <c r="B425" s="406" t="s">
        <v>77</v>
      </c>
      <c r="C425" s="477" t="s">
        <v>1302</v>
      </c>
      <c r="D425" s="364">
        <v>254</v>
      </c>
      <c r="E425" s="46"/>
      <c r="F425" s="46">
        <v>0</v>
      </c>
      <c r="G425" s="46"/>
      <c r="H425" s="46">
        <v>21</v>
      </c>
      <c r="I425" s="46"/>
      <c r="J425" s="46">
        <v>0</v>
      </c>
      <c r="K425" s="46"/>
      <c r="L425" s="46"/>
      <c r="M425" s="46"/>
      <c r="N425" s="46"/>
      <c r="O425" s="46"/>
      <c r="P425" s="46"/>
      <c r="Q425" s="374">
        <f t="shared" si="27"/>
        <v>7</v>
      </c>
      <c r="R425" s="375" t="str">
        <f t="shared" si="25"/>
        <v>NO</v>
      </c>
      <c r="S425" s="376" t="str">
        <f t="shared" si="26"/>
        <v>Bajo</v>
      </c>
      <c r="T425" s="121"/>
    </row>
    <row r="426" spans="1:20" s="120" customFormat="1" ht="32.1" customHeight="1" x14ac:dyDescent="0.2">
      <c r="A426" s="361" t="s">
        <v>218</v>
      </c>
      <c r="B426" s="397" t="s">
        <v>4081</v>
      </c>
      <c r="C426" s="483" t="s">
        <v>4082</v>
      </c>
      <c r="D426" s="372">
        <v>160</v>
      </c>
      <c r="E426" s="47"/>
      <c r="F426" s="47"/>
      <c r="G426" s="47"/>
      <c r="H426" s="47"/>
      <c r="I426" s="47"/>
      <c r="J426" s="47">
        <v>0</v>
      </c>
      <c r="K426" s="47"/>
      <c r="L426" s="47"/>
      <c r="M426" s="47"/>
      <c r="N426" s="47"/>
      <c r="O426" s="47"/>
      <c r="P426" s="47"/>
      <c r="Q426" s="374">
        <f t="shared" si="27"/>
        <v>0</v>
      </c>
      <c r="R426" s="375" t="str">
        <f t="shared" si="25"/>
        <v>SI</v>
      </c>
      <c r="S426" s="376" t="str">
        <f t="shared" si="26"/>
        <v>Sin Riesgo</v>
      </c>
      <c r="T426" s="128"/>
    </row>
    <row r="427" spans="1:20" s="120" customFormat="1" ht="32.1" customHeight="1" x14ac:dyDescent="0.2">
      <c r="A427" s="361" t="s">
        <v>218</v>
      </c>
      <c r="B427" s="483" t="s">
        <v>4094</v>
      </c>
      <c r="C427" s="483" t="s">
        <v>4095</v>
      </c>
      <c r="D427" s="372">
        <v>25</v>
      </c>
      <c r="E427" s="47"/>
      <c r="F427" s="47"/>
      <c r="G427" s="47"/>
      <c r="H427" s="47"/>
      <c r="I427" s="47"/>
      <c r="J427" s="47"/>
      <c r="K427" s="47">
        <v>53</v>
      </c>
      <c r="L427" s="47"/>
      <c r="M427" s="47"/>
      <c r="N427" s="47"/>
      <c r="O427" s="47"/>
      <c r="P427" s="47"/>
      <c r="Q427" s="374">
        <f t="shared" si="27"/>
        <v>53</v>
      </c>
      <c r="R427" s="375" t="str">
        <f t="shared" si="25"/>
        <v>NO</v>
      </c>
      <c r="S427" s="376" t="str">
        <f t="shared" si="26"/>
        <v>Alto</v>
      </c>
      <c r="T427" s="128"/>
    </row>
    <row r="428" spans="1:20" s="120" customFormat="1" ht="32.1" customHeight="1" x14ac:dyDescent="0.2">
      <c r="A428" s="361" t="s">
        <v>218</v>
      </c>
      <c r="B428" s="483" t="s">
        <v>4087</v>
      </c>
      <c r="C428" s="483" t="s">
        <v>4478</v>
      </c>
      <c r="D428" s="372">
        <v>20</v>
      </c>
      <c r="E428" s="47"/>
      <c r="F428" s="47"/>
      <c r="G428" s="47"/>
      <c r="H428" s="47">
        <v>53</v>
      </c>
      <c r="I428" s="47"/>
      <c r="J428" s="47"/>
      <c r="K428" s="47"/>
      <c r="L428" s="47"/>
      <c r="M428" s="47"/>
      <c r="N428" s="47"/>
      <c r="O428" s="47"/>
      <c r="P428" s="47"/>
      <c r="Q428" s="374">
        <f t="shared" si="27"/>
        <v>53</v>
      </c>
      <c r="R428" s="375" t="str">
        <f t="shared" si="25"/>
        <v>NO</v>
      </c>
      <c r="S428" s="376" t="str">
        <f t="shared" si="26"/>
        <v>Alto</v>
      </c>
      <c r="T428" s="128"/>
    </row>
    <row r="429" spans="1:20" s="120" customFormat="1" ht="32.1" customHeight="1" x14ac:dyDescent="0.2">
      <c r="A429" s="361" t="s">
        <v>218</v>
      </c>
      <c r="B429" s="483" t="s">
        <v>4091</v>
      </c>
      <c r="C429" s="483" t="s">
        <v>4092</v>
      </c>
      <c r="D429" s="372">
        <v>37</v>
      </c>
      <c r="E429" s="47"/>
      <c r="F429" s="47">
        <v>53</v>
      </c>
      <c r="G429" s="47"/>
      <c r="H429" s="47"/>
      <c r="I429" s="47"/>
      <c r="J429" s="47"/>
      <c r="K429" s="47"/>
      <c r="L429" s="47"/>
      <c r="M429" s="47"/>
      <c r="N429" s="47"/>
      <c r="O429" s="47"/>
      <c r="P429" s="47"/>
      <c r="Q429" s="374">
        <f t="shared" si="27"/>
        <v>53</v>
      </c>
      <c r="R429" s="375" t="str">
        <f t="shared" si="25"/>
        <v>NO</v>
      </c>
      <c r="S429" s="376" t="str">
        <f t="shared" si="26"/>
        <v>Alto</v>
      </c>
      <c r="T429" s="128"/>
    </row>
    <row r="430" spans="1:20" s="120" customFormat="1" ht="32.1" customHeight="1" x14ac:dyDescent="0.2">
      <c r="A430" s="361" t="s">
        <v>218</v>
      </c>
      <c r="B430" s="483" t="s">
        <v>4085</v>
      </c>
      <c r="C430" s="483" t="s">
        <v>4086</v>
      </c>
      <c r="D430" s="372">
        <v>18</v>
      </c>
      <c r="E430" s="47"/>
      <c r="F430" s="47"/>
      <c r="G430" s="47"/>
      <c r="H430" s="47"/>
      <c r="I430" s="47"/>
      <c r="J430" s="47"/>
      <c r="K430" s="47"/>
      <c r="L430" s="47"/>
      <c r="M430" s="47"/>
      <c r="N430" s="47">
        <v>53</v>
      </c>
      <c r="O430" s="47"/>
      <c r="P430" s="47"/>
      <c r="Q430" s="374">
        <f t="shared" si="27"/>
        <v>53</v>
      </c>
      <c r="R430" s="375" t="str">
        <f t="shared" si="25"/>
        <v>NO</v>
      </c>
      <c r="S430" s="376" t="str">
        <f t="shared" si="26"/>
        <v>Alto</v>
      </c>
      <c r="T430" s="128"/>
    </row>
    <row r="431" spans="1:20" s="120" customFormat="1" ht="32.1" customHeight="1" x14ac:dyDescent="0.2">
      <c r="A431" s="361" t="s">
        <v>218</v>
      </c>
      <c r="B431" s="483" t="s">
        <v>3404</v>
      </c>
      <c r="C431" s="483" t="s">
        <v>4089</v>
      </c>
      <c r="D431" s="372">
        <v>39</v>
      </c>
      <c r="E431" s="47"/>
      <c r="F431" s="47"/>
      <c r="G431" s="47"/>
      <c r="H431" s="47"/>
      <c r="I431" s="47"/>
      <c r="J431" s="47"/>
      <c r="K431" s="47"/>
      <c r="L431" s="47"/>
      <c r="M431" s="47"/>
      <c r="N431" s="47"/>
      <c r="O431" s="47"/>
      <c r="P431" s="47">
        <v>53</v>
      </c>
      <c r="Q431" s="374">
        <f t="shared" si="27"/>
        <v>53</v>
      </c>
      <c r="R431" s="375" t="str">
        <f t="shared" si="25"/>
        <v>NO</v>
      </c>
      <c r="S431" s="376" t="str">
        <f t="shared" si="26"/>
        <v>Alto</v>
      </c>
      <c r="T431" s="128"/>
    </row>
    <row r="432" spans="1:20" s="120" customFormat="1" ht="32.1" customHeight="1" x14ac:dyDescent="0.2">
      <c r="A432" s="361" t="s">
        <v>218</v>
      </c>
      <c r="B432" s="483" t="s">
        <v>4083</v>
      </c>
      <c r="C432" s="483" t="s">
        <v>4084</v>
      </c>
      <c r="D432" s="372">
        <v>19</v>
      </c>
      <c r="E432" s="47"/>
      <c r="F432" s="47"/>
      <c r="G432" s="47"/>
      <c r="H432" s="47"/>
      <c r="I432" s="47"/>
      <c r="J432" s="47"/>
      <c r="K432" s="47">
        <v>53</v>
      </c>
      <c r="L432" s="47"/>
      <c r="M432" s="47"/>
      <c r="N432" s="47"/>
      <c r="O432" s="47"/>
      <c r="P432" s="47"/>
      <c r="Q432" s="374">
        <f t="shared" si="27"/>
        <v>53</v>
      </c>
      <c r="R432" s="375" t="str">
        <f t="shared" si="25"/>
        <v>NO</v>
      </c>
      <c r="S432" s="376" t="str">
        <f t="shared" si="26"/>
        <v>Alto</v>
      </c>
      <c r="T432" s="128"/>
    </row>
    <row r="433" spans="1:20" s="120" customFormat="1" ht="32.1" customHeight="1" x14ac:dyDescent="0.2">
      <c r="A433" s="361" t="s">
        <v>218</v>
      </c>
      <c r="B433" s="483" t="s">
        <v>1786</v>
      </c>
      <c r="C433" s="483" t="s">
        <v>4090</v>
      </c>
      <c r="D433" s="372">
        <v>22</v>
      </c>
      <c r="E433" s="47"/>
      <c r="F433" s="47"/>
      <c r="G433" s="47"/>
      <c r="H433" s="47"/>
      <c r="I433" s="47"/>
      <c r="J433" s="47"/>
      <c r="K433" s="47"/>
      <c r="L433" s="47"/>
      <c r="M433" s="47"/>
      <c r="N433" s="47"/>
      <c r="O433" s="47"/>
      <c r="P433" s="47">
        <v>53</v>
      </c>
      <c r="Q433" s="374">
        <f t="shared" si="27"/>
        <v>53</v>
      </c>
      <c r="R433" s="375" t="str">
        <f t="shared" si="25"/>
        <v>NO</v>
      </c>
      <c r="S433" s="376" t="str">
        <f t="shared" si="26"/>
        <v>Alto</v>
      </c>
      <c r="T433" s="128"/>
    </row>
    <row r="434" spans="1:20" s="100" customFormat="1" ht="32.1" customHeight="1" x14ac:dyDescent="0.2">
      <c r="A434" s="361" t="s">
        <v>218</v>
      </c>
      <c r="B434" s="483" t="s">
        <v>4088</v>
      </c>
      <c r="C434" s="483" t="s">
        <v>4222</v>
      </c>
      <c r="D434" s="372">
        <v>26</v>
      </c>
      <c r="E434" s="46"/>
      <c r="F434" s="46"/>
      <c r="G434" s="46"/>
      <c r="H434" s="46"/>
      <c r="I434" s="46"/>
      <c r="J434" s="46"/>
      <c r="K434" s="46">
        <v>53</v>
      </c>
      <c r="L434" s="46"/>
      <c r="M434" s="46"/>
      <c r="N434" s="46"/>
      <c r="O434" s="46"/>
      <c r="P434" s="46"/>
      <c r="Q434" s="374">
        <f>AVERAGE(E434:P434)</f>
        <v>53</v>
      </c>
      <c r="R434" s="375" t="str">
        <f t="shared" si="25"/>
        <v>NO</v>
      </c>
      <c r="S434" s="376" t="str">
        <f t="shared" si="26"/>
        <v>Alto</v>
      </c>
      <c r="T434" s="129"/>
    </row>
    <row r="435" spans="1:20" ht="32.1" customHeight="1" x14ac:dyDescent="0.2">
      <c r="A435" s="361" t="s">
        <v>218</v>
      </c>
      <c r="B435" s="483" t="s">
        <v>4096</v>
      </c>
      <c r="C435" s="483" t="s">
        <v>4479</v>
      </c>
      <c r="D435" s="372">
        <v>36</v>
      </c>
      <c r="E435" s="46"/>
      <c r="F435" s="46"/>
      <c r="G435" s="46"/>
      <c r="H435" s="46"/>
      <c r="I435" s="46"/>
      <c r="J435" s="46"/>
      <c r="K435" s="46">
        <v>53</v>
      </c>
      <c r="L435" s="46"/>
      <c r="M435" s="46"/>
      <c r="N435" s="46"/>
      <c r="O435" s="46"/>
      <c r="P435" s="46"/>
      <c r="Q435" s="374">
        <f>AVERAGE(E435:P435)</f>
        <v>53</v>
      </c>
      <c r="R435" s="375" t="str">
        <f t="shared" si="25"/>
        <v>NO</v>
      </c>
      <c r="S435" s="376" t="str">
        <f t="shared" si="26"/>
        <v>Alto</v>
      </c>
      <c r="T435" s="123"/>
    </row>
    <row r="436" spans="1:20" ht="32.1" customHeight="1" x14ac:dyDescent="0.2">
      <c r="A436" s="361" t="s">
        <v>218</v>
      </c>
      <c r="B436" s="483" t="s">
        <v>442</v>
      </c>
      <c r="C436" s="483" t="s">
        <v>4093</v>
      </c>
      <c r="D436" s="372">
        <v>25</v>
      </c>
      <c r="E436" s="46"/>
      <c r="F436" s="46"/>
      <c r="G436" s="46"/>
      <c r="H436" s="46"/>
      <c r="I436" s="46"/>
      <c r="J436" s="46"/>
      <c r="K436" s="46"/>
      <c r="L436" s="46"/>
      <c r="M436" s="46"/>
      <c r="N436" s="46">
        <v>53</v>
      </c>
      <c r="O436" s="46"/>
      <c r="P436" s="46"/>
      <c r="Q436" s="374">
        <f>AVERAGE(E436:P436)</f>
        <v>53</v>
      </c>
      <c r="R436" s="375" t="str">
        <f t="shared" si="25"/>
        <v>NO</v>
      </c>
      <c r="S436" s="376" t="str">
        <f t="shared" si="26"/>
        <v>Alto</v>
      </c>
      <c r="T436" s="123"/>
    </row>
    <row r="437" spans="1:20" ht="42.75" customHeight="1" x14ac:dyDescent="0.2">
      <c r="A437" s="361" t="s">
        <v>81</v>
      </c>
      <c r="B437" s="406" t="s">
        <v>4480</v>
      </c>
      <c r="C437" s="406" t="s">
        <v>4481</v>
      </c>
      <c r="D437" s="364">
        <v>624</v>
      </c>
      <c r="E437" s="46"/>
      <c r="F437" s="46"/>
      <c r="G437" s="46"/>
      <c r="H437" s="46"/>
      <c r="I437" s="46"/>
      <c r="J437" s="46"/>
      <c r="K437" s="46"/>
      <c r="L437" s="46">
        <v>5.23</v>
      </c>
      <c r="M437" s="46">
        <v>6.97</v>
      </c>
      <c r="N437" s="46">
        <v>21.53</v>
      </c>
      <c r="O437" s="46">
        <v>33.79</v>
      </c>
      <c r="P437" s="46">
        <v>6.54</v>
      </c>
      <c r="Q437" s="374">
        <f t="shared" si="27"/>
        <v>14.812000000000003</v>
      </c>
      <c r="R437" s="375" t="str">
        <f t="shared" ref="R437:R495" si="28">IF(Q437&lt;5,"SI","NO")</f>
        <v>NO</v>
      </c>
      <c r="S437" s="376" t="str">
        <f t="shared" si="26"/>
        <v>Medio</v>
      </c>
    </row>
    <row r="438" spans="1:20" ht="32.1" customHeight="1" x14ac:dyDescent="0.2">
      <c r="A438" s="361" t="s">
        <v>81</v>
      </c>
      <c r="B438" s="406" t="s">
        <v>1307</v>
      </c>
      <c r="C438" s="406" t="s">
        <v>4482</v>
      </c>
      <c r="D438" s="364">
        <v>137</v>
      </c>
      <c r="E438" s="46"/>
      <c r="F438" s="46"/>
      <c r="G438" s="46"/>
      <c r="H438" s="46"/>
      <c r="I438" s="46"/>
      <c r="J438" s="46"/>
      <c r="K438" s="46"/>
      <c r="L438" s="46">
        <v>0</v>
      </c>
      <c r="M438" s="46">
        <v>1.74</v>
      </c>
      <c r="N438" s="46">
        <v>0</v>
      </c>
      <c r="O438" s="46">
        <v>0</v>
      </c>
      <c r="P438" s="46">
        <v>0</v>
      </c>
      <c r="Q438" s="374">
        <f t="shared" si="27"/>
        <v>0.34799999999999998</v>
      </c>
      <c r="R438" s="375" t="str">
        <f t="shared" si="28"/>
        <v>SI</v>
      </c>
      <c r="S438" s="376" t="str">
        <f t="shared" si="26"/>
        <v>Sin Riesgo</v>
      </c>
    </row>
    <row r="439" spans="1:20" ht="32.1" customHeight="1" x14ac:dyDescent="0.2">
      <c r="A439" s="361" t="s">
        <v>81</v>
      </c>
      <c r="B439" s="406" t="s">
        <v>10</v>
      </c>
      <c r="C439" s="406" t="s">
        <v>4483</v>
      </c>
      <c r="D439" s="364">
        <v>149</v>
      </c>
      <c r="E439" s="46"/>
      <c r="F439" s="46"/>
      <c r="G439" s="46"/>
      <c r="H439" s="46"/>
      <c r="I439" s="46"/>
      <c r="J439" s="46"/>
      <c r="K439" s="46"/>
      <c r="L439" s="46">
        <v>0</v>
      </c>
      <c r="M439" s="46">
        <v>0</v>
      </c>
      <c r="N439" s="46">
        <v>0</v>
      </c>
      <c r="O439" s="46">
        <v>6.97</v>
      </c>
      <c r="P439" s="46">
        <v>0</v>
      </c>
      <c r="Q439" s="374">
        <f t="shared" si="27"/>
        <v>1.3939999999999999</v>
      </c>
      <c r="R439" s="375" t="str">
        <f t="shared" si="28"/>
        <v>SI</v>
      </c>
      <c r="S439" s="376" t="str">
        <f t="shared" si="26"/>
        <v>Sin Riesgo</v>
      </c>
    </row>
    <row r="440" spans="1:20" ht="32.1" customHeight="1" x14ac:dyDescent="0.2">
      <c r="A440" s="361" t="s">
        <v>81</v>
      </c>
      <c r="B440" s="406" t="s">
        <v>1908</v>
      </c>
      <c r="C440" s="406" t="s">
        <v>1306</v>
      </c>
      <c r="D440" s="364">
        <v>463</v>
      </c>
      <c r="E440" s="46"/>
      <c r="F440" s="46"/>
      <c r="G440" s="46"/>
      <c r="H440" s="46"/>
      <c r="I440" s="46"/>
      <c r="J440" s="46"/>
      <c r="K440" s="46"/>
      <c r="L440" s="46">
        <v>34.880000000000003</v>
      </c>
      <c r="M440" s="46">
        <v>13.08</v>
      </c>
      <c r="N440" s="46">
        <v>15.69</v>
      </c>
      <c r="O440" s="46">
        <v>42.73</v>
      </c>
      <c r="P440" s="46">
        <v>8.7200000000000006</v>
      </c>
      <c r="Q440" s="374">
        <f t="shared" si="27"/>
        <v>23.02</v>
      </c>
      <c r="R440" s="375" t="str">
        <f t="shared" si="28"/>
        <v>NO</v>
      </c>
      <c r="S440" s="376" t="str">
        <f t="shared" si="26"/>
        <v>Medio</v>
      </c>
    </row>
    <row r="441" spans="1:20" ht="32.1" customHeight="1" x14ac:dyDescent="0.2">
      <c r="A441" s="361" t="s">
        <v>81</v>
      </c>
      <c r="B441" s="406" t="s">
        <v>1307</v>
      </c>
      <c r="C441" s="406" t="s">
        <v>4484</v>
      </c>
      <c r="D441" s="364">
        <v>137</v>
      </c>
      <c r="E441" s="46"/>
      <c r="F441" s="46"/>
      <c r="G441" s="46"/>
      <c r="H441" s="46"/>
      <c r="I441" s="46"/>
      <c r="J441" s="46"/>
      <c r="K441" s="46"/>
      <c r="L441" s="46">
        <v>0</v>
      </c>
      <c r="M441" s="46">
        <v>1.7</v>
      </c>
      <c r="N441" s="46">
        <v>0</v>
      </c>
      <c r="O441" s="46">
        <v>0</v>
      </c>
      <c r="P441" s="46">
        <v>0</v>
      </c>
      <c r="Q441" s="374">
        <f t="shared" si="27"/>
        <v>0.33999999999999997</v>
      </c>
      <c r="R441" s="375" t="str">
        <f t="shared" si="28"/>
        <v>SI</v>
      </c>
      <c r="S441" s="376" t="str">
        <f t="shared" si="26"/>
        <v>Sin Riesgo</v>
      </c>
    </row>
    <row r="442" spans="1:20" ht="32.1" customHeight="1" x14ac:dyDescent="0.2">
      <c r="A442" s="361" t="s">
        <v>81</v>
      </c>
      <c r="B442" s="406" t="s">
        <v>4485</v>
      </c>
      <c r="C442" s="406" t="s">
        <v>4486</v>
      </c>
      <c r="D442" s="364">
        <v>272</v>
      </c>
      <c r="E442" s="46"/>
      <c r="F442" s="46"/>
      <c r="G442" s="46"/>
      <c r="H442" s="46"/>
      <c r="I442" s="46"/>
      <c r="J442" s="46"/>
      <c r="K442" s="46"/>
      <c r="L442" s="46">
        <v>0</v>
      </c>
      <c r="M442" s="46">
        <v>0</v>
      </c>
      <c r="N442" s="46">
        <v>0</v>
      </c>
      <c r="O442" s="46">
        <v>17.440000000000001</v>
      </c>
      <c r="P442" s="46">
        <v>0</v>
      </c>
      <c r="Q442" s="374">
        <f t="shared" si="27"/>
        <v>3.4880000000000004</v>
      </c>
      <c r="R442" s="375" t="str">
        <f t="shared" si="28"/>
        <v>SI</v>
      </c>
      <c r="S442" s="376" t="str">
        <f t="shared" si="26"/>
        <v>Sin Riesgo</v>
      </c>
    </row>
    <row r="443" spans="1:20" ht="32.1" customHeight="1" x14ac:dyDescent="0.2">
      <c r="A443" s="361" t="s">
        <v>81</v>
      </c>
      <c r="B443" s="406" t="s">
        <v>4487</v>
      </c>
      <c r="C443" s="406" t="s">
        <v>4488</v>
      </c>
      <c r="D443" s="364">
        <v>1.0449999999999999</v>
      </c>
      <c r="E443" s="46"/>
      <c r="F443" s="46"/>
      <c r="G443" s="46"/>
      <c r="H443" s="46"/>
      <c r="I443" s="46"/>
      <c r="J443" s="46"/>
      <c r="K443" s="46"/>
      <c r="L443" s="46">
        <v>6.97</v>
      </c>
      <c r="M443" s="46">
        <v>3.49</v>
      </c>
      <c r="N443" s="46">
        <v>0</v>
      </c>
      <c r="O443" s="46">
        <v>0</v>
      </c>
      <c r="P443" s="46">
        <v>1.74</v>
      </c>
      <c r="Q443" s="374">
        <f t="shared" si="27"/>
        <v>2.4400000000000004</v>
      </c>
      <c r="R443" s="375" t="str">
        <f t="shared" si="28"/>
        <v>SI</v>
      </c>
      <c r="S443" s="376" t="str">
        <f t="shared" si="26"/>
        <v>Sin Riesgo</v>
      </c>
    </row>
    <row r="444" spans="1:20" ht="32.1" customHeight="1" x14ac:dyDescent="0.2">
      <c r="A444" s="361" t="s">
        <v>81</v>
      </c>
      <c r="B444" s="406" t="s">
        <v>4489</v>
      </c>
      <c r="C444" s="406" t="s">
        <v>4490</v>
      </c>
      <c r="D444" s="364">
        <v>483</v>
      </c>
      <c r="E444" s="46"/>
      <c r="F444" s="46"/>
      <c r="G444" s="46"/>
      <c r="H444" s="46"/>
      <c r="I444" s="46"/>
      <c r="J444" s="46"/>
      <c r="K444" s="46"/>
      <c r="L444" s="46">
        <v>8.7200000000000006</v>
      </c>
      <c r="M444" s="46">
        <v>63.95</v>
      </c>
      <c r="N444" s="46">
        <v>0</v>
      </c>
      <c r="O444" s="46">
        <v>0</v>
      </c>
      <c r="P444" s="46">
        <v>0</v>
      </c>
      <c r="Q444" s="374">
        <f>AVERAGE(E444:P444)</f>
        <v>14.534000000000001</v>
      </c>
      <c r="R444" s="375" t="str">
        <f>IF(Q444&lt;5,"SI","NO")</f>
        <v>NO</v>
      </c>
      <c r="S444" s="376" t="str">
        <f>IF(Q444&lt;5,"Sin Riesgo",IF(Q444 &lt;=14,"Bajo",IF(Q444&lt;=35,"Medio",IF(Q444&lt;=80,"Alto","Inviable Sanitariamente"))))</f>
        <v>Medio</v>
      </c>
    </row>
    <row r="445" spans="1:20" ht="32.1" customHeight="1" x14ac:dyDescent="0.2">
      <c r="A445" s="361" t="s">
        <v>81</v>
      </c>
      <c r="B445" s="406" t="s">
        <v>1305</v>
      </c>
      <c r="C445" s="406" t="s">
        <v>4491</v>
      </c>
      <c r="D445" s="364">
        <v>455</v>
      </c>
      <c r="E445" s="46"/>
      <c r="F445" s="46"/>
      <c r="G445" s="46"/>
      <c r="H445" s="46"/>
      <c r="I445" s="46"/>
      <c r="J445" s="46"/>
      <c r="K445" s="46"/>
      <c r="L445" s="46">
        <v>11.04</v>
      </c>
      <c r="M445" s="46">
        <v>0</v>
      </c>
      <c r="N445" s="46">
        <v>0</v>
      </c>
      <c r="O445" s="46">
        <v>2.3199999999999998</v>
      </c>
      <c r="P445" s="46">
        <v>0</v>
      </c>
      <c r="Q445" s="374">
        <f>AVERAGE(E445:P445)</f>
        <v>2.6719999999999997</v>
      </c>
      <c r="R445" s="375" t="str">
        <f>IF(Q445&lt;5,"SI","NO")</f>
        <v>SI</v>
      </c>
      <c r="S445" s="376" t="str">
        <f>IF(Q445&lt;5,"Sin Riesgo",IF(Q445 &lt;=14,"Bajo",IF(Q445&lt;=35,"Medio",IF(Q445&lt;=80,"Alto","Inviable Sanitariamente"))))</f>
        <v>Sin Riesgo</v>
      </c>
    </row>
    <row r="446" spans="1:20" ht="32.1" customHeight="1" x14ac:dyDescent="0.2">
      <c r="A446" s="361" t="s">
        <v>81</v>
      </c>
      <c r="B446" s="406" t="s">
        <v>4492</v>
      </c>
      <c r="C446" s="406" t="s">
        <v>4493</v>
      </c>
      <c r="D446" s="364">
        <v>954</v>
      </c>
      <c r="E446" s="46"/>
      <c r="F446" s="46"/>
      <c r="G446" s="46"/>
      <c r="H446" s="46"/>
      <c r="I446" s="46"/>
      <c r="J446" s="46"/>
      <c r="K446" s="46"/>
      <c r="L446" s="46">
        <v>5.23</v>
      </c>
      <c r="M446" s="46">
        <v>3.49</v>
      </c>
      <c r="N446" s="46">
        <v>0</v>
      </c>
      <c r="O446" s="46">
        <v>6.97</v>
      </c>
      <c r="P446" s="46">
        <v>3.49</v>
      </c>
      <c r="Q446" s="374">
        <f t="shared" si="27"/>
        <v>3.8359999999999999</v>
      </c>
      <c r="R446" s="375" t="str">
        <f t="shared" si="28"/>
        <v>SI</v>
      </c>
      <c r="S446" s="376" t="str">
        <f t="shared" si="26"/>
        <v>Sin Riesgo</v>
      </c>
    </row>
    <row r="447" spans="1:20" ht="32.1" customHeight="1" x14ac:dyDescent="0.2">
      <c r="A447" s="361" t="s">
        <v>81</v>
      </c>
      <c r="B447" s="406" t="s">
        <v>4494</v>
      </c>
      <c r="C447" s="406" t="s">
        <v>4495</v>
      </c>
      <c r="D447" s="364">
        <v>1.0880000000000001</v>
      </c>
      <c r="E447" s="46"/>
      <c r="F447" s="46"/>
      <c r="G447" s="46"/>
      <c r="H447" s="46"/>
      <c r="I447" s="46"/>
      <c r="J447" s="46"/>
      <c r="K447" s="46"/>
      <c r="L447" s="46">
        <v>1.74</v>
      </c>
      <c r="M447" s="46">
        <v>0</v>
      </c>
      <c r="N447" s="46">
        <v>0</v>
      </c>
      <c r="O447" s="46">
        <v>17</v>
      </c>
      <c r="P447" s="46">
        <v>0</v>
      </c>
      <c r="Q447" s="374">
        <f t="shared" si="27"/>
        <v>3.7479999999999998</v>
      </c>
      <c r="R447" s="375" t="str">
        <f t="shared" si="28"/>
        <v>SI</v>
      </c>
      <c r="S447" s="376" t="str">
        <f t="shared" si="26"/>
        <v>Sin Riesgo</v>
      </c>
    </row>
    <row r="448" spans="1:20" ht="32.1" customHeight="1" x14ac:dyDescent="0.2">
      <c r="A448" s="361" t="s">
        <v>81</v>
      </c>
      <c r="B448" s="406" t="s">
        <v>4496</v>
      </c>
      <c r="C448" s="406" t="s">
        <v>4497</v>
      </c>
      <c r="D448" s="364">
        <v>1.0880000000000001</v>
      </c>
      <c r="E448" s="46"/>
      <c r="F448" s="46"/>
      <c r="G448" s="46"/>
      <c r="H448" s="46"/>
      <c r="I448" s="46"/>
      <c r="J448" s="46"/>
      <c r="K448" s="46"/>
      <c r="L448" s="46">
        <v>1.74</v>
      </c>
      <c r="M448" s="46">
        <v>0</v>
      </c>
      <c r="N448" s="46">
        <v>0</v>
      </c>
      <c r="O448" s="46">
        <v>17</v>
      </c>
      <c r="P448" s="46">
        <v>0</v>
      </c>
      <c r="Q448" s="374">
        <f t="shared" ref="Q448:Q514" si="29">AVERAGE(E448:P448)</f>
        <v>3.7479999999999998</v>
      </c>
      <c r="R448" s="375" t="str">
        <f t="shared" si="28"/>
        <v>SI</v>
      </c>
      <c r="S448" s="376" t="str">
        <f t="shared" si="26"/>
        <v>Sin Riesgo</v>
      </c>
    </row>
    <row r="449" spans="1:19" ht="32.1" customHeight="1" x14ac:dyDescent="0.2">
      <c r="A449" s="361" t="s">
        <v>81</v>
      </c>
      <c r="B449" s="406" t="s">
        <v>4498</v>
      </c>
      <c r="C449" s="406" t="s">
        <v>4499</v>
      </c>
      <c r="D449" s="364">
        <v>1.0880000000000001</v>
      </c>
      <c r="E449" s="46"/>
      <c r="F449" s="46"/>
      <c r="G449" s="46"/>
      <c r="H449" s="46"/>
      <c r="I449" s="46"/>
      <c r="J449" s="46"/>
      <c r="K449" s="46"/>
      <c r="L449" s="46">
        <v>1.74</v>
      </c>
      <c r="M449" s="46">
        <v>0</v>
      </c>
      <c r="N449" s="46">
        <v>0</v>
      </c>
      <c r="O449" s="46">
        <v>17</v>
      </c>
      <c r="P449" s="46">
        <v>0</v>
      </c>
      <c r="Q449" s="374">
        <f t="shared" si="29"/>
        <v>3.7479999999999998</v>
      </c>
      <c r="R449" s="375" t="str">
        <f t="shared" si="28"/>
        <v>SI</v>
      </c>
      <c r="S449" s="376" t="str">
        <f t="shared" si="26"/>
        <v>Sin Riesgo</v>
      </c>
    </row>
    <row r="450" spans="1:19" ht="32.1" customHeight="1" x14ac:dyDescent="0.2">
      <c r="A450" s="361" t="s">
        <v>81</v>
      </c>
      <c r="B450" s="406" t="s">
        <v>4500</v>
      </c>
      <c r="C450" s="406" t="s">
        <v>4501</v>
      </c>
      <c r="D450" s="364">
        <v>139</v>
      </c>
      <c r="E450" s="46"/>
      <c r="F450" s="46"/>
      <c r="G450" s="46"/>
      <c r="H450" s="46"/>
      <c r="I450" s="46"/>
      <c r="J450" s="46"/>
      <c r="K450" s="46"/>
      <c r="L450" s="46">
        <v>6.97</v>
      </c>
      <c r="M450" s="46">
        <v>0</v>
      </c>
      <c r="N450" s="46">
        <v>0</v>
      </c>
      <c r="O450" s="46">
        <v>0</v>
      </c>
      <c r="P450" s="46">
        <v>0</v>
      </c>
      <c r="Q450" s="374">
        <f t="shared" si="29"/>
        <v>1.3939999999999999</v>
      </c>
      <c r="R450" s="375" t="str">
        <f t="shared" si="28"/>
        <v>SI</v>
      </c>
      <c r="S450" s="376" t="str">
        <f t="shared" si="26"/>
        <v>Sin Riesgo</v>
      </c>
    </row>
    <row r="451" spans="1:19" ht="32.1" customHeight="1" x14ac:dyDescent="0.2">
      <c r="A451" s="361" t="s">
        <v>81</v>
      </c>
      <c r="B451" s="406" t="s">
        <v>4502</v>
      </c>
      <c r="C451" s="406" t="s">
        <v>4503</v>
      </c>
      <c r="D451" s="364">
        <v>86</v>
      </c>
      <c r="E451" s="46"/>
      <c r="F451" s="46"/>
      <c r="G451" s="46"/>
      <c r="H451" s="46"/>
      <c r="I451" s="46"/>
      <c r="J451" s="46"/>
      <c r="K451" s="46"/>
      <c r="L451" s="46">
        <v>8.7200000000000006</v>
      </c>
      <c r="M451" s="46">
        <v>3.49</v>
      </c>
      <c r="N451" s="46">
        <v>16.57</v>
      </c>
      <c r="O451" s="46">
        <v>34.880000000000003</v>
      </c>
      <c r="P451" s="46">
        <v>7.85</v>
      </c>
      <c r="Q451" s="374">
        <f t="shared" si="29"/>
        <v>14.302000000000001</v>
      </c>
      <c r="R451" s="375" t="str">
        <f t="shared" si="28"/>
        <v>NO</v>
      </c>
      <c r="S451" s="376" t="str">
        <f t="shared" si="26"/>
        <v>Medio</v>
      </c>
    </row>
    <row r="452" spans="1:19" ht="32.1" customHeight="1" x14ac:dyDescent="0.2">
      <c r="A452" s="361" t="s">
        <v>81</v>
      </c>
      <c r="B452" s="406" t="s">
        <v>1645</v>
      </c>
      <c r="C452" s="406" t="s">
        <v>1621</v>
      </c>
      <c r="D452" s="364">
        <v>304</v>
      </c>
      <c r="E452" s="46"/>
      <c r="F452" s="46"/>
      <c r="G452" s="46"/>
      <c r="H452" s="46"/>
      <c r="I452" s="46"/>
      <c r="J452" s="46"/>
      <c r="K452" s="46"/>
      <c r="L452" s="46">
        <v>24.42</v>
      </c>
      <c r="M452" s="46">
        <v>3.49</v>
      </c>
      <c r="N452" s="46">
        <v>26.16</v>
      </c>
      <c r="O452" s="46">
        <v>12.21</v>
      </c>
      <c r="P452" s="46">
        <v>8.7200000000000006</v>
      </c>
      <c r="Q452" s="374">
        <f t="shared" si="29"/>
        <v>15</v>
      </c>
      <c r="R452" s="375" t="str">
        <f t="shared" si="28"/>
        <v>NO</v>
      </c>
      <c r="S452" s="376" t="str">
        <f t="shared" si="26"/>
        <v>Medio</v>
      </c>
    </row>
    <row r="453" spans="1:19" ht="32.1" customHeight="1" x14ac:dyDescent="0.2">
      <c r="A453" s="361" t="s">
        <v>81</v>
      </c>
      <c r="B453" s="406" t="s">
        <v>4504</v>
      </c>
      <c r="C453" s="406" t="s">
        <v>4505</v>
      </c>
      <c r="D453" s="364">
        <v>421</v>
      </c>
      <c r="E453" s="46"/>
      <c r="F453" s="46"/>
      <c r="G453" s="46"/>
      <c r="H453" s="46"/>
      <c r="I453" s="46"/>
      <c r="J453" s="46"/>
      <c r="K453" s="46"/>
      <c r="L453" s="46">
        <v>0</v>
      </c>
      <c r="M453" s="46">
        <v>0</v>
      </c>
      <c r="N453" s="46">
        <v>0</v>
      </c>
      <c r="O453" s="46">
        <v>0</v>
      </c>
      <c r="P453" s="46">
        <v>0</v>
      </c>
      <c r="Q453" s="374">
        <f t="shared" si="29"/>
        <v>0</v>
      </c>
      <c r="R453" s="375" t="str">
        <f t="shared" si="28"/>
        <v>SI</v>
      </c>
      <c r="S453" s="376" t="str">
        <f t="shared" si="26"/>
        <v>Sin Riesgo</v>
      </c>
    </row>
    <row r="454" spans="1:19" ht="32.1" customHeight="1" x14ac:dyDescent="0.2">
      <c r="A454" s="361" t="s">
        <v>81</v>
      </c>
      <c r="B454" s="406" t="s">
        <v>4506</v>
      </c>
      <c r="C454" s="406" t="s">
        <v>4507</v>
      </c>
      <c r="D454" s="364">
        <v>2.2229999999999999</v>
      </c>
      <c r="E454" s="46"/>
      <c r="F454" s="46"/>
      <c r="G454" s="46"/>
      <c r="H454" s="46"/>
      <c r="I454" s="46"/>
      <c r="J454" s="46"/>
      <c r="K454" s="46"/>
      <c r="L454" s="46">
        <v>4.18</v>
      </c>
      <c r="M454" s="46">
        <v>1.39</v>
      </c>
      <c r="N454" s="46">
        <v>1.39</v>
      </c>
      <c r="O454" s="46">
        <v>4.18</v>
      </c>
      <c r="P454" s="46">
        <v>0</v>
      </c>
      <c r="Q454" s="374">
        <f t="shared" si="29"/>
        <v>2.2279999999999998</v>
      </c>
      <c r="R454" s="375" t="str">
        <f t="shared" si="28"/>
        <v>SI</v>
      </c>
      <c r="S454" s="376" t="str">
        <f t="shared" si="26"/>
        <v>Sin Riesgo</v>
      </c>
    </row>
    <row r="455" spans="1:19" ht="32.1" customHeight="1" x14ac:dyDescent="0.2">
      <c r="A455" s="361" t="s">
        <v>81</v>
      </c>
      <c r="B455" s="406" t="s">
        <v>2141</v>
      </c>
      <c r="C455" s="406" t="s">
        <v>4508</v>
      </c>
      <c r="D455" s="364">
        <v>693</v>
      </c>
      <c r="E455" s="46"/>
      <c r="F455" s="46"/>
      <c r="G455" s="46"/>
      <c r="H455" s="46"/>
      <c r="I455" s="46"/>
      <c r="J455" s="46"/>
      <c r="K455" s="46"/>
      <c r="L455" s="46">
        <v>0</v>
      </c>
      <c r="M455" s="46">
        <v>0</v>
      </c>
      <c r="N455" s="46">
        <v>0</v>
      </c>
      <c r="O455" s="46">
        <v>8.7200000000000006</v>
      </c>
      <c r="P455" s="46">
        <v>0</v>
      </c>
      <c r="Q455" s="374">
        <f>AVERAGE(E455:P455)</f>
        <v>1.7440000000000002</v>
      </c>
      <c r="R455" s="375" t="str">
        <f>IF(Q455&lt;5,"SI","NO")</f>
        <v>SI</v>
      </c>
      <c r="S455" s="376" t="str">
        <f>IF(Q455&lt;5,"Sin Riesgo",IF(Q455 &lt;=14,"Bajo",IF(Q455&lt;=35,"Medio",IF(Q455&lt;=80,"Alto","Inviable Sanitariamente"))))</f>
        <v>Sin Riesgo</v>
      </c>
    </row>
    <row r="456" spans="1:19" ht="32.1" customHeight="1" x14ac:dyDescent="0.2">
      <c r="A456" s="361" t="s">
        <v>81</v>
      </c>
      <c r="B456" s="406" t="s">
        <v>4509</v>
      </c>
      <c r="C456" s="406" t="s">
        <v>4510</v>
      </c>
      <c r="D456" s="364">
        <v>394</v>
      </c>
      <c r="E456" s="46"/>
      <c r="F456" s="46"/>
      <c r="G456" s="46"/>
      <c r="H456" s="46"/>
      <c r="I456" s="46"/>
      <c r="J456" s="46"/>
      <c r="K456" s="46"/>
      <c r="L456" s="46">
        <v>0</v>
      </c>
      <c r="M456" s="46">
        <v>0</v>
      </c>
      <c r="N456" s="46">
        <v>0</v>
      </c>
      <c r="O456" s="46">
        <v>0.87</v>
      </c>
      <c r="P456" s="46">
        <v>0.87</v>
      </c>
      <c r="Q456" s="374">
        <f t="shared" si="29"/>
        <v>0.34799999999999998</v>
      </c>
      <c r="R456" s="375" t="str">
        <f t="shared" si="28"/>
        <v>SI</v>
      </c>
      <c r="S456" s="376" t="str">
        <f t="shared" si="26"/>
        <v>Sin Riesgo</v>
      </c>
    </row>
    <row r="457" spans="1:19" ht="32.1" customHeight="1" x14ac:dyDescent="0.2">
      <c r="A457" s="361" t="s">
        <v>81</v>
      </c>
      <c r="B457" s="406" t="s">
        <v>4511</v>
      </c>
      <c r="C457" s="406" t="s">
        <v>4512</v>
      </c>
      <c r="D457" s="364">
        <v>833</v>
      </c>
      <c r="E457" s="46"/>
      <c r="F457" s="46"/>
      <c r="G457" s="46"/>
      <c r="H457" s="46"/>
      <c r="I457" s="46"/>
      <c r="J457" s="46"/>
      <c r="K457" s="46"/>
      <c r="L457" s="46">
        <v>6.97</v>
      </c>
      <c r="M457" s="46">
        <v>6.97</v>
      </c>
      <c r="N457" s="46">
        <v>8.7200000000000006</v>
      </c>
      <c r="O457" s="46">
        <v>13.08</v>
      </c>
      <c r="P457" s="46">
        <v>0</v>
      </c>
      <c r="Q457" s="374">
        <f t="shared" si="29"/>
        <v>7.1480000000000006</v>
      </c>
      <c r="R457" s="375" t="str">
        <f t="shared" si="28"/>
        <v>NO</v>
      </c>
      <c r="S457" s="376" t="str">
        <f t="shared" si="26"/>
        <v>Bajo</v>
      </c>
    </row>
    <row r="458" spans="1:19" ht="32.1" customHeight="1" x14ac:dyDescent="0.2">
      <c r="A458" s="361" t="s">
        <v>81</v>
      </c>
      <c r="B458" s="406" t="s">
        <v>1304</v>
      </c>
      <c r="C458" s="406" t="s">
        <v>4513</v>
      </c>
      <c r="D458" s="364">
        <v>708</v>
      </c>
      <c r="E458" s="46"/>
      <c r="F458" s="46"/>
      <c r="G458" s="46"/>
      <c r="H458" s="46"/>
      <c r="I458" s="46"/>
      <c r="J458" s="46"/>
      <c r="K458" s="46"/>
      <c r="L458" s="46">
        <v>6.54</v>
      </c>
      <c r="M458" s="46">
        <v>0</v>
      </c>
      <c r="N458" s="46">
        <v>0</v>
      </c>
      <c r="O458" s="46">
        <v>1.74</v>
      </c>
      <c r="P458" s="46">
        <v>6.1</v>
      </c>
      <c r="Q458" s="374">
        <f t="shared" si="29"/>
        <v>2.8759999999999999</v>
      </c>
      <c r="R458" s="375" t="str">
        <f t="shared" si="28"/>
        <v>SI</v>
      </c>
      <c r="S458" s="376" t="str">
        <f t="shared" si="26"/>
        <v>Sin Riesgo</v>
      </c>
    </row>
    <row r="459" spans="1:19" ht="32.1" customHeight="1" x14ac:dyDescent="0.2">
      <c r="A459" s="361" t="s">
        <v>81</v>
      </c>
      <c r="B459" s="406" t="s">
        <v>4514</v>
      </c>
      <c r="C459" s="406" t="s">
        <v>4515</v>
      </c>
      <c r="D459" s="364">
        <v>1.5860000000000001</v>
      </c>
      <c r="E459" s="46"/>
      <c r="F459" s="46"/>
      <c r="G459" s="46"/>
      <c r="H459" s="46"/>
      <c r="I459" s="46"/>
      <c r="J459" s="46"/>
      <c r="K459" s="46"/>
      <c r="L459" s="46">
        <v>0</v>
      </c>
      <c r="M459" s="46">
        <v>0</v>
      </c>
      <c r="N459" s="46">
        <v>0</v>
      </c>
      <c r="O459" s="46">
        <v>0</v>
      </c>
      <c r="P459" s="46">
        <v>1.74</v>
      </c>
      <c r="Q459" s="374">
        <f t="shared" si="29"/>
        <v>0.34799999999999998</v>
      </c>
      <c r="R459" s="375" t="str">
        <f t="shared" si="28"/>
        <v>SI</v>
      </c>
      <c r="S459" s="376" t="str">
        <f t="shared" si="26"/>
        <v>Sin Riesgo</v>
      </c>
    </row>
    <row r="460" spans="1:19" ht="32.1" customHeight="1" x14ac:dyDescent="0.2">
      <c r="A460" s="361" t="s">
        <v>81</v>
      </c>
      <c r="B460" s="406" t="s">
        <v>4516</v>
      </c>
      <c r="C460" s="406" t="s">
        <v>4517</v>
      </c>
      <c r="D460" s="364">
        <v>414</v>
      </c>
      <c r="E460" s="46"/>
      <c r="F460" s="46"/>
      <c r="G460" s="46"/>
      <c r="H460" s="46"/>
      <c r="I460" s="46"/>
      <c r="J460" s="46"/>
      <c r="K460" s="46"/>
      <c r="L460" s="46">
        <v>0</v>
      </c>
      <c r="M460" s="46">
        <v>0</v>
      </c>
      <c r="N460" s="46">
        <v>0</v>
      </c>
      <c r="O460" s="46">
        <v>0</v>
      </c>
      <c r="P460" s="46">
        <v>0</v>
      </c>
      <c r="Q460" s="374">
        <f t="shared" si="29"/>
        <v>0</v>
      </c>
      <c r="R460" s="375" t="str">
        <f t="shared" si="28"/>
        <v>SI</v>
      </c>
      <c r="S460" s="376" t="str">
        <f t="shared" si="26"/>
        <v>Sin Riesgo</v>
      </c>
    </row>
    <row r="461" spans="1:19" ht="32.1" customHeight="1" x14ac:dyDescent="0.2">
      <c r="A461" s="361" t="s">
        <v>53</v>
      </c>
      <c r="B461" s="445" t="s">
        <v>1043</v>
      </c>
      <c r="C461" s="477" t="s">
        <v>1308</v>
      </c>
      <c r="D461" s="409">
        <v>92</v>
      </c>
      <c r="E461" s="46"/>
      <c r="F461" s="46"/>
      <c r="G461" s="46">
        <v>36.1</v>
      </c>
      <c r="H461" s="46"/>
      <c r="I461" s="46"/>
      <c r="J461" s="46"/>
      <c r="K461" s="46"/>
      <c r="L461" s="46"/>
      <c r="M461" s="46"/>
      <c r="N461" s="46"/>
      <c r="O461" s="46"/>
      <c r="P461" s="46"/>
      <c r="Q461" s="374">
        <f t="shared" si="29"/>
        <v>36.1</v>
      </c>
      <c r="R461" s="375" t="str">
        <f t="shared" si="28"/>
        <v>NO</v>
      </c>
      <c r="S461" s="376" t="str">
        <f t="shared" si="26"/>
        <v>Alto</v>
      </c>
    </row>
    <row r="462" spans="1:19" ht="32.1" customHeight="1" x14ac:dyDescent="0.2">
      <c r="A462" s="361" t="s">
        <v>53</v>
      </c>
      <c r="B462" s="445" t="s">
        <v>1309</v>
      </c>
      <c r="C462" s="477" t="s">
        <v>1310</v>
      </c>
      <c r="D462" s="409">
        <v>80</v>
      </c>
      <c r="E462" s="46"/>
      <c r="F462" s="46"/>
      <c r="G462" s="46"/>
      <c r="H462" s="46"/>
      <c r="I462" s="46"/>
      <c r="J462" s="46"/>
      <c r="K462" s="46"/>
      <c r="L462" s="46">
        <v>97.35</v>
      </c>
      <c r="M462" s="46"/>
      <c r="N462" s="46"/>
      <c r="O462" s="46"/>
      <c r="P462" s="46"/>
      <c r="Q462" s="374">
        <f t="shared" si="29"/>
        <v>97.35</v>
      </c>
      <c r="R462" s="375" t="str">
        <f t="shared" si="28"/>
        <v>NO</v>
      </c>
      <c r="S462" s="376" t="str">
        <f t="shared" si="26"/>
        <v>Inviable Sanitariamente</v>
      </c>
    </row>
    <row r="463" spans="1:19" ht="32.1" customHeight="1" x14ac:dyDescent="0.2">
      <c r="A463" s="361" t="s">
        <v>53</v>
      </c>
      <c r="B463" s="445" t="s">
        <v>1311</v>
      </c>
      <c r="C463" s="477" t="s">
        <v>1312</v>
      </c>
      <c r="D463" s="409">
        <v>90</v>
      </c>
      <c r="E463" s="46"/>
      <c r="F463" s="46"/>
      <c r="G463" s="46"/>
      <c r="H463" s="46"/>
      <c r="I463" s="46"/>
      <c r="J463" s="46"/>
      <c r="K463" s="46"/>
      <c r="L463" s="46">
        <v>97.35</v>
      </c>
      <c r="M463" s="46"/>
      <c r="N463" s="46"/>
      <c r="O463" s="46"/>
      <c r="P463" s="46"/>
      <c r="Q463" s="374">
        <f t="shared" si="29"/>
        <v>97.35</v>
      </c>
      <c r="R463" s="375" t="str">
        <f t="shared" si="28"/>
        <v>NO</v>
      </c>
      <c r="S463" s="376" t="str">
        <f t="shared" si="26"/>
        <v>Inviable Sanitariamente</v>
      </c>
    </row>
    <row r="464" spans="1:19" ht="32.1" customHeight="1" x14ac:dyDescent="0.2">
      <c r="A464" s="361" t="s">
        <v>53</v>
      </c>
      <c r="B464" s="445" t="s">
        <v>1313</v>
      </c>
      <c r="C464" s="477" t="s">
        <v>1314</v>
      </c>
      <c r="D464" s="409">
        <v>600</v>
      </c>
      <c r="E464" s="46"/>
      <c r="F464" s="46"/>
      <c r="G464" s="46"/>
      <c r="H464" s="46"/>
      <c r="I464" s="46"/>
      <c r="J464" s="46"/>
      <c r="K464" s="46"/>
      <c r="L464" s="46"/>
      <c r="M464" s="46"/>
      <c r="N464" s="46">
        <v>0</v>
      </c>
      <c r="O464" s="46"/>
      <c r="P464" s="46"/>
      <c r="Q464" s="374">
        <f t="shared" si="29"/>
        <v>0</v>
      </c>
      <c r="R464" s="375" t="str">
        <f t="shared" si="28"/>
        <v>SI</v>
      </c>
      <c r="S464" s="376" t="str">
        <f t="shared" si="26"/>
        <v>Sin Riesgo</v>
      </c>
    </row>
    <row r="465" spans="1:19" ht="32.1" customHeight="1" x14ac:dyDescent="0.2">
      <c r="A465" s="361" t="s">
        <v>53</v>
      </c>
      <c r="B465" s="445" t="s">
        <v>1315</v>
      </c>
      <c r="C465" s="477" t="s">
        <v>1316</v>
      </c>
      <c r="D465" s="409">
        <v>70</v>
      </c>
      <c r="E465" s="46"/>
      <c r="F465" s="46"/>
      <c r="G465" s="46"/>
      <c r="H465" s="46"/>
      <c r="I465" s="46"/>
      <c r="J465" s="46"/>
      <c r="K465" s="46">
        <v>97.91</v>
      </c>
      <c r="L465" s="46"/>
      <c r="M465" s="46"/>
      <c r="N465" s="46">
        <v>100</v>
      </c>
      <c r="O465" s="46"/>
      <c r="P465" s="46"/>
      <c r="Q465" s="374">
        <f t="shared" si="29"/>
        <v>98.954999999999998</v>
      </c>
      <c r="R465" s="375" t="str">
        <f t="shared" si="28"/>
        <v>NO</v>
      </c>
      <c r="S465" s="376" t="str">
        <f t="shared" ref="S465:S530" si="30">IF(Q465&lt;5,"Sin Riesgo",IF(Q465 &lt;=14,"Bajo",IF(Q465&lt;=35,"Medio",IF(Q465&lt;=80,"Alto","Inviable Sanitariamente"))))</f>
        <v>Inviable Sanitariamente</v>
      </c>
    </row>
    <row r="466" spans="1:19" ht="32.1" customHeight="1" x14ac:dyDescent="0.2">
      <c r="A466" s="361" t="s">
        <v>53</v>
      </c>
      <c r="B466" s="445" t="s">
        <v>1317</v>
      </c>
      <c r="C466" s="477" t="s">
        <v>1318</v>
      </c>
      <c r="D466" s="409">
        <v>75</v>
      </c>
      <c r="E466" s="46"/>
      <c r="F466" s="46">
        <v>96.39</v>
      </c>
      <c r="G466" s="46"/>
      <c r="H466" s="46"/>
      <c r="I466" s="46"/>
      <c r="J466" s="46"/>
      <c r="K466" s="46"/>
      <c r="L466" s="46"/>
      <c r="M466" s="46"/>
      <c r="N466" s="46"/>
      <c r="O466" s="46"/>
      <c r="P466" s="46"/>
      <c r="Q466" s="374">
        <f t="shared" si="29"/>
        <v>96.39</v>
      </c>
      <c r="R466" s="375" t="str">
        <f t="shared" si="28"/>
        <v>NO</v>
      </c>
      <c r="S466" s="376" t="str">
        <f t="shared" si="30"/>
        <v>Inviable Sanitariamente</v>
      </c>
    </row>
    <row r="467" spans="1:19" ht="32.1" customHeight="1" x14ac:dyDescent="0.2">
      <c r="A467" s="361" t="s">
        <v>53</v>
      </c>
      <c r="B467" s="445" t="s">
        <v>1319</v>
      </c>
      <c r="C467" s="477" t="s">
        <v>1320</v>
      </c>
      <c r="D467" s="409">
        <v>80</v>
      </c>
      <c r="E467" s="46">
        <v>76.92</v>
      </c>
      <c r="F467" s="46"/>
      <c r="G467" s="46">
        <v>23.08</v>
      </c>
      <c r="H467" s="46"/>
      <c r="I467" s="46"/>
      <c r="J467" s="46"/>
      <c r="K467" s="46"/>
      <c r="L467" s="46"/>
      <c r="M467" s="46">
        <v>97.35</v>
      </c>
      <c r="N467" s="46"/>
      <c r="O467" s="46"/>
      <c r="P467" s="46"/>
      <c r="Q467" s="374">
        <f t="shared" si="29"/>
        <v>65.783333333333331</v>
      </c>
      <c r="R467" s="375" t="str">
        <f t="shared" si="28"/>
        <v>NO</v>
      </c>
      <c r="S467" s="376" t="str">
        <f t="shared" si="30"/>
        <v>Alto</v>
      </c>
    </row>
    <row r="468" spans="1:19" ht="32.1" customHeight="1" x14ac:dyDescent="0.2">
      <c r="A468" s="361" t="s">
        <v>53</v>
      </c>
      <c r="B468" s="445" t="s">
        <v>1321</v>
      </c>
      <c r="C468" s="477" t="s">
        <v>1322</v>
      </c>
      <c r="D468" s="364">
        <v>192</v>
      </c>
      <c r="E468" s="46"/>
      <c r="F468" s="46">
        <v>0</v>
      </c>
      <c r="G468" s="46"/>
      <c r="H468" s="46"/>
      <c r="I468" s="46"/>
      <c r="J468" s="46"/>
      <c r="K468" s="46"/>
      <c r="L468" s="46"/>
      <c r="M468" s="46">
        <v>0</v>
      </c>
      <c r="N468" s="46"/>
      <c r="O468" s="46"/>
      <c r="P468" s="46"/>
      <c r="Q468" s="374">
        <f t="shared" si="29"/>
        <v>0</v>
      </c>
      <c r="R468" s="375" t="str">
        <f t="shared" si="28"/>
        <v>SI</v>
      </c>
      <c r="S468" s="376" t="str">
        <f t="shared" si="30"/>
        <v>Sin Riesgo</v>
      </c>
    </row>
    <row r="469" spans="1:19" ht="32.1" customHeight="1" x14ac:dyDescent="0.2">
      <c r="A469" s="361" t="s">
        <v>53</v>
      </c>
      <c r="B469" s="445" t="s">
        <v>1323</v>
      </c>
      <c r="C469" s="477" t="s">
        <v>1324</v>
      </c>
      <c r="D469" s="409">
        <v>26</v>
      </c>
      <c r="E469" s="46"/>
      <c r="F469" s="46"/>
      <c r="G469" s="46">
        <v>0</v>
      </c>
      <c r="H469" s="46"/>
      <c r="I469" s="46"/>
      <c r="J469" s="46"/>
      <c r="K469" s="46"/>
      <c r="L469" s="46"/>
      <c r="M469" s="46"/>
      <c r="N469" s="46"/>
      <c r="O469" s="46"/>
      <c r="P469" s="46"/>
      <c r="Q469" s="374">
        <f t="shared" si="29"/>
        <v>0</v>
      </c>
      <c r="R469" s="375" t="str">
        <f t="shared" si="28"/>
        <v>SI</v>
      </c>
      <c r="S469" s="376" t="str">
        <f t="shared" si="30"/>
        <v>Sin Riesgo</v>
      </c>
    </row>
    <row r="470" spans="1:19" ht="32.1" customHeight="1" x14ac:dyDescent="0.2">
      <c r="A470" s="361" t="s">
        <v>53</v>
      </c>
      <c r="B470" s="445" t="s">
        <v>1325</v>
      </c>
      <c r="C470" s="477" t="s">
        <v>1326</v>
      </c>
      <c r="D470" s="409">
        <v>40</v>
      </c>
      <c r="E470" s="46"/>
      <c r="F470" s="46"/>
      <c r="G470" s="46"/>
      <c r="H470" s="46"/>
      <c r="I470" s="46"/>
      <c r="J470" s="46"/>
      <c r="K470" s="46"/>
      <c r="L470" s="46"/>
      <c r="M470" s="46">
        <v>97.35</v>
      </c>
      <c r="N470" s="46"/>
      <c r="O470" s="46"/>
      <c r="P470" s="46"/>
      <c r="Q470" s="374">
        <f t="shared" si="29"/>
        <v>97.35</v>
      </c>
      <c r="R470" s="375" t="str">
        <f t="shared" si="28"/>
        <v>NO</v>
      </c>
      <c r="S470" s="376" t="str">
        <f t="shared" si="30"/>
        <v>Inviable Sanitariamente</v>
      </c>
    </row>
    <row r="471" spans="1:19" ht="32.1" customHeight="1" x14ac:dyDescent="0.2">
      <c r="A471" s="361" t="s">
        <v>53</v>
      </c>
      <c r="B471" s="445" t="s">
        <v>665</v>
      </c>
      <c r="C471" s="477" t="s">
        <v>1327</v>
      </c>
      <c r="D471" s="409">
        <v>38</v>
      </c>
      <c r="E471" s="46"/>
      <c r="F471" s="46">
        <v>70.328000000000003</v>
      </c>
      <c r="G471" s="46"/>
      <c r="H471" s="46"/>
      <c r="I471" s="46"/>
      <c r="J471" s="46"/>
      <c r="K471" s="46"/>
      <c r="L471" s="46"/>
      <c r="M471" s="46">
        <v>97.5</v>
      </c>
      <c r="N471" s="46"/>
      <c r="O471" s="46"/>
      <c r="P471" s="46"/>
      <c r="Q471" s="374">
        <f t="shared" si="29"/>
        <v>83.914000000000001</v>
      </c>
      <c r="R471" s="375" t="str">
        <f t="shared" si="28"/>
        <v>NO</v>
      </c>
      <c r="S471" s="376" t="str">
        <f t="shared" si="30"/>
        <v>Inviable Sanitariamente</v>
      </c>
    </row>
    <row r="472" spans="1:19" ht="32.1" customHeight="1" x14ac:dyDescent="0.2">
      <c r="A472" s="361" t="s">
        <v>53</v>
      </c>
      <c r="B472" s="445" t="s">
        <v>1328</v>
      </c>
      <c r="C472" s="477" t="s">
        <v>1329</v>
      </c>
      <c r="D472" s="409">
        <v>30</v>
      </c>
      <c r="E472" s="46"/>
      <c r="F472" s="46"/>
      <c r="G472" s="46"/>
      <c r="H472" s="46"/>
      <c r="I472" s="46"/>
      <c r="J472" s="46"/>
      <c r="K472" s="46"/>
      <c r="L472" s="46"/>
      <c r="M472" s="46">
        <v>53.1</v>
      </c>
      <c r="N472" s="46"/>
      <c r="O472" s="46"/>
      <c r="P472" s="46"/>
      <c r="Q472" s="374">
        <f t="shared" si="29"/>
        <v>53.1</v>
      </c>
      <c r="R472" s="375" t="str">
        <f t="shared" si="28"/>
        <v>NO</v>
      </c>
      <c r="S472" s="376" t="str">
        <f t="shared" si="30"/>
        <v>Alto</v>
      </c>
    </row>
    <row r="473" spans="1:19" ht="32.1" customHeight="1" x14ac:dyDescent="0.2">
      <c r="A473" s="361" t="s">
        <v>53</v>
      </c>
      <c r="B473" s="445" t="s">
        <v>1330</v>
      </c>
      <c r="C473" s="477" t="s">
        <v>1331</v>
      </c>
      <c r="D473" s="409">
        <v>88</v>
      </c>
      <c r="E473" s="46"/>
      <c r="F473" s="46"/>
      <c r="G473" s="46"/>
      <c r="H473" s="46"/>
      <c r="I473" s="46"/>
      <c r="J473" s="46"/>
      <c r="K473" s="46"/>
      <c r="L473" s="46"/>
      <c r="M473" s="46"/>
      <c r="N473" s="46"/>
      <c r="O473" s="46">
        <v>97.5</v>
      </c>
      <c r="P473" s="46"/>
      <c r="Q473" s="374">
        <f t="shared" si="29"/>
        <v>97.5</v>
      </c>
      <c r="R473" s="375" t="str">
        <f t="shared" si="28"/>
        <v>NO</v>
      </c>
      <c r="S473" s="376" t="str">
        <f t="shared" si="30"/>
        <v>Inviable Sanitariamente</v>
      </c>
    </row>
    <row r="474" spans="1:19" ht="32.1" customHeight="1" x14ac:dyDescent="0.2">
      <c r="A474" s="361" t="s">
        <v>53</v>
      </c>
      <c r="B474" s="445" t="s">
        <v>1332</v>
      </c>
      <c r="C474" s="477" t="s">
        <v>1333</v>
      </c>
      <c r="D474" s="409">
        <v>100</v>
      </c>
      <c r="E474" s="46"/>
      <c r="F474" s="46"/>
      <c r="G474" s="46"/>
      <c r="H474" s="46"/>
      <c r="I474" s="46"/>
      <c r="J474" s="46"/>
      <c r="K474" s="46"/>
      <c r="L474" s="46">
        <v>96.39</v>
      </c>
      <c r="M474" s="46"/>
      <c r="N474" s="46"/>
      <c r="O474" s="46"/>
      <c r="P474" s="46"/>
      <c r="Q474" s="374">
        <f t="shared" si="29"/>
        <v>96.39</v>
      </c>
      <c r="R474" s="375" t="str">
        <f t="shared" si="28"/>
        <v>NO</v>
      </c>
      <c r="S474" s="376" t="str">
        <f t="shared" si="30"/>
        <v>Inviable Sanitariamente</v>
      </c>
    </row>
    <row r="475" spans="1:19" ht="32.1" customHeight="1" x14ac:dyDescent="0.2">
      <c r="A475" s="361" t="s">
        <v>53</v>
      </c>
      <c r="B475" s="445" t="s">
        <v>1334</v>
      </c>
      <c r="C475" s="477" t="s">
        <v>1335</v>
      </c>
      <c r="D475" s="364">
        <v>42</v>
      </c>
      <c r="E475" s="46"/>
      <c r="F475" s="46"/>
      <c r="G475" s="46"/>
      <c r="H475" s="46"/>
      <c r="I475" s="46">
        <v>56.5</v>
      </c>
      <c r="J475" s="46"/>
      <c r="K475" s="46"/>
      <c r="L475" s="46"/>
      <c r="M475" s="46"/>
      <c r="N475" s="46"/>
      <c r="O475" s="46"/>
      <c r="P475" s="46"/>
      <c r="Q475" s="374">
        <f t="shared" si="29"/>
        <v>56.5</v>
      </c>
      <c r="R475" s="375" t="str">
        <f t="shared" si="28"/>
        <v>NO</v>
      </c>
      <c r="S475" s="376" t="str">
        <f t="shared" si="30"/>
        <v>Alto</v>
      </c>
    </row>
    <row r="476" spans="1:19" ht="32.1" customHeight="1" x14ac:dyDescent="0.2">
      <c r="A476" s="361" t="s">
        <v>219</v>
      </c>
      <c r="B476" s="484" t="s">
        <v>1336</v>
      </c>
      <c r="C476" s="477" t="s">
        <v>1337</v>
      </c>
      <c r="D476" s="364">
        <v>170</v>
      </c>
      <c r="E476" s="46"/>
      <c r="F476" s="46"/>
      <c r="G476" s="46"/>
      <c r="H476" s="46"/>
      <c r="I476" s="46"/>
      <c r="J476" s="46"/>
      <c r="K476" s="46"/>
      <c r="L476" s="46"/>
      <c r="M476" s="46"/>
      <c r="N476" s="46">
        <v>97.3</v>
      </c>
      <c r="O476" s="46"/>
      <c r="P476" s="46"/>
      <c r="Q476" s="374">
        <f t="shared" si="29"/>
        <v>97.3</v>
      </c>
      <c r="R476" s="375" t="str">
        <f t="shared" si="28"/>
        <v>NO</v>
      </c>
      <c r="S476" s="376" t="str">
        <f t="shared" si="30"/>
        <v>Inviable Sanitariamente</v>
      </c>
    </row>
    <row r="477" spans="1:19" ht="32.1" customHeight="1" x14ac:dyDescent="0.2">
      <c r="A477" s="361" t="s">
        <v>219</v>
      </c>
      <c r="B477" s="484" t="s">
        <v>1338</v>
      </c>
      <c r="C477" s="477" t="s">
        <v>1339</v>
      </c>
      <c r="D477" s="364">
        <v>65</v>
      </c>
      <c r="E477" s="46"/>
      <c r="F477" s="46"/>
      <c r="G477" s="46"/>
      <c r="H477" s="46"/>
      <c r="I477" s="46"/>
      <c r="J477" s="46"/>
      <c r="K477" s="46"/>
      <c r="L477" s="46"/>
      <c r="M477" s="46"/>
      <c r="N477" s="46">
        <v>97.3</v>
      </c>
      <c r="O477" s="46"/>
      <c r="P477" s="46"/>
      <c r="Q477" s="374">
        <f t="shared" si="29"/>
        <v>97.3</v>
      </c>
      <c r="R477" s="375" t="str">
        <f t="shared" si="28"/>
        <v>NO</v>
      </c>
      <c r="S477" s="376" t="str">
        <f t="shared" si="30"/>
        <v>Inviable Sanitariamente</v>
      </c>
    </row>
    <row r="478" spans="1:19" ht="32.1" customHeight="1" x14ac:dyDescent="0.2">
      <c r="A478" s="361" t="s">
        <v>219</v>
      </c>
      <c r="B478" s="484" t="s">
        <v>1340</v>
      </c>
      <c r="C478" s="477" t="s">
        <v>1341</v>
      </c>
      <c r="D478" s="409">
        <v>28</v>
      </c>
      <c r="E478" s="46"/>
      <c r="F478" s="46"/>
      <c r="G478" s="46">
        <v>97.4</v>
      </c>
      <c r="H478" s="46"/>
      <c r="I478" s="46"/>
      <c r="J478" s="46"/>
      <c r="K478" s="46"/>
      <c r="L478" s="46">
        <v>97.3</v>
      </c>
      <c r="M478" s="46"/>
      <c r="N478" s="46"/>
      <c r="O478" s="46"/>
      <c r="P478" s="46"/>
      <c r="Q478" s="374">
        <f t="shared" si="29"/>
        <v>97.35</v>
      </c>
      <c r="R478" s="375" t="str">
        <f t="shared" si="28"/>
        <v>NO</v>
      </c>
      <c r="S478" s="376" t="str">
        <f t="shared" si="30"/>
        <v>Inviable Sanitariamente</v>
      </c>
    </row>
    <row r="479" spans="1:19" ht="32.1" customHeight="1" x14ac:dyDescent="0.2">
      <c r="A479" s="361" t="s">
        <v>219</v>
      </c>
      <c r="B479" s="484" t="s">
        <v>96</v>
      </c>
      <c r="C479" s="477" t="s">
        <v>1342</v>
      </c>
      <c r="D479" s="409">
        <v>40</v>
      </c>
      <c r="E479" s="46"/>
      <c r="F479" s="46">
        <v>97.4</v>
      </c>
      <c r="G479" s="46"/>
      <c r="H479" s="46"/>
      <c r="I479" s="46"/>
      <c r="J479" s="46"/>
      <c r="K479" s="46"/>
      <c r="L479" s="46">
        <v>97.3</v>
      </c>
      <c r="M479" s="46"/>
      <c r="N479" s="46"/>
      <c r="O479" s="46"/>
      <c r="P479" s="46"/>
      <c r="Q479" s="374">
        <f t="shared" si="29"/>
        <v>97.35</v>
      </c>
      <c r="R479" s="375" t="str">
        <f t="shared" si="28"/>
        <v>NO</v>
      </c>
      <c r="S479" s="376" t="str">
        <f t="shared" si="30"/>
        <v>Inviable Sanitariamente</v>
      </c>
    </row>
    <row r="480" spans="1:19" ht="32.1" customHeight="1" x14ac:dyDescent="0.2">
      <c r="A480" s="361" t="s">
        <v>219</v>
      </c>
      <c r="B480" s="484" t="s">
        <v>239</v>
      </c>
      <c r="C480" s="477" t="s">
        <v>1343</v>
      </c>
      <c r="D480" s="409">
        <v>32</v>
      </c>
      <c r="E480" s="46"/>
      <c r="F480" s="46"/>
      <c r="G480" s="46">
        <v>97.4</v>
      </c>
      <c r="H480" s="46"/>
      <c r="I480" s="46"/>
      <c r="J480" s="46"/>
      <c r="K480" s="46"/>
      <c r="L480" s="46"/>
      <c r="M480" s="46">
        <v>97.3</v>
      </c>
      <c r="N480" s="46"/>
      <c r="O480" s="46"/>
      <c r="P480" s="46"/>
      <c r="Q480" s="374">
        <f t="shared" si="29"/>
        <v>97.35</v>
      </c>
      <c r="R480" s="375" t="str">
        <f t="shared" si="28"/>
        <v>NO</v>
      </c>
      <c r="S480" s="376" t="str">
        <f t="shared" si="30"/>
        <v>Inviable Sanitariamente</v>
      </c>
    </row>
    <row r="481" spans="1:19" ht="32.1" customHeight="1" x14ac:dyDescent="0.2">
      <c r="A481" s="361" t="s">
        <v>219</v>
      </c>
      <c r="B481" s="484" t="s">
        <v>1344</v>
      </c>
      <c r="C481" s="477" t="s">
        <v>1345</v>
      </c>
      <c r="D481" s="364">
        <v>42</v>
      </c>
      <c r="E481" s="46"/>
      <c r="F481" s="46"/>
      <c r="G481" s="46"/>
      <c r="H481" s="46"/>
      <c r="I481" s="46"/>
      <c r="J481" s="46"/>
      <c r="K481" s="46"/>
      <c r="L481" s="46"/>
      <c r="M481" s="46"/>
      <c r="N481" s="46">
        <v>97.3</v>
      </c>
      <c r="O481" s="46"/>
      <c r="P481" s="46"/>
      <c r="Q481" s="374">
        <f t="shared" si="29"/>
        <v>97.3</v>
      </c>
      <c r="R481" s="375" t="str">
        <f t="shared" si="28"/>
        <v>NO</v>
      </c>
      <c r="S481" s="376" t="str">
        <f t="shared" si="30"/>
        <v>Inviable Sanitariamente</v>
      </c>
    </row>
    <row r="482" spans="1:19" ht="32.1" customHeight="1" x14ac:dyDescent="0.2">
      <c r="A482" s="361" t="s">
        <v>219</v>
      </c>
      <c r="B482" s="484" t="s">
        <v>1346</v>
      </c>
      <c r="C482" s="477" t="s">
        <v>1347</v>
      </c>
      <c r="D482" s="364">
        <v>22</v>
      </c>
      <c r="E482" s="46"/>
      <c r="F482" s="46"/>
      <c r="G482" s="46"/>
      <c r="H482" s="46"/>
      <c r="I482" s="46"/>
      <c r="J482" s="46"/>
      <c r="K482" s="46"/>
      <c r="L482" s="46"/>
      <c r="M482" s="46">
        <v>97.3</v>
      </c>
      <c r="N482" s="46"/>
      <c r="O482" s="46"/>
      <c r="P482" s="46"/>
      <c r="Q482" s="374">
        <f t="shared" si="29"/>
        <v>97.3</v>
      </c>
      <c r="R482" s="375" t="str">
        <f t="shared" si="28"/>
        <v>NO</v>
      </c>
      <c r="S482" s="376" t="str">
        <f t="shared" si="30"/>
        <v>Inviable Sanitariamente</v>
      </c>
    </row>
    <row r="483" spans="1:19" ht="32.1" customHeight="1" x14ac:dyDescent="0.2">
      <c r="A483" s="361" t="s">
        <v>74</v>
      </c>
      <c r="B483" s="484" t="s">
        <v>1348</v>
      </c>
      <c r="C483" s="477" t="s">
        <v>1349</v>
      </c>
      <c r="D483" s="364">
        <v>350</v>
      </c>
      <c r="E483" s="46"/>
      <c r="F483" s="46"/>
      <c r="G483" s="46"/>
      <c r="H483" s="46"/>
      <c r="I483" s="46"/>
      <c r="J483" s="46"/>
      <c r="K483" s="46">
        <v>53.1</v>
      </c>
      <c r="L483" s="46"/>
      <c r="M483" s="46"/>
      <c r="N483" s="46"/>
      <c r="O483" s="46">
        <v>97.3</v>
      </c>
      <c r="P483" s="46"/>
      <c r="Q483" s="374">
        <f t="shared" si="29"/>
        <v>75.2</v>
      </c>
      <c r="R483" s="375" t="str">
        <f t="shared" si="28"/>
        <v>NO</v>
      </c>
      <c r="S483" s="376" t="str">
        <f t="shared" si="30"/>
        <v>Alto</v>
      </c>
    </row>
    <row r="484" spans="1:19" ht="32.1" customHeight="1" x14ac:dyDescent="0.2">
      <c r="A484" s="361" t="s">
        <v>74</v>
      </c>
      <c r="B484" s="484" t="s">
        <v>1350</v>
      </c>
      <c r="C484" s="477" t="s">
        <v>1351</v>
      </c>
      <c r="D484" s="364">
        <v>66</v>
      </c>
      <c r="E484" s="46"/>
      <c r="F484" s="46"/>
      <c r="G484" s="46"/>
      <c r="H484" s="46"/>
      <c r="I484" s="46"/>
      <c r="J484" s="46"/>
      <c r="K484" s="46">
        <v>97.3</v>
      </c>
      <c r="L484" s="46"/>
      <c r="M484" s="46"/>
      <c r="N484" s="46"/>
      <c r="O484" s="46">
        <v>97.3</v>
      </c>
      <c r="P484" s="46"/>
      <c r="Q484" s="374">
        <f t="shared" si="29"/>
        <v>97.3</v>
      </c>
      <c r="R484" s="375" t="str">
        <f t="shared" si="28"/>
        <v>NO</v>
      </c>
      <c r="S484" s="376" t="str">
        <f t="shared" si="30"/>
        <v>Inviable Sanitariamente</v>
      </c>
    </row>
    <row r="485" spans="1:19" ht="32.1" customHeight="1" x14ac:dyDescent="0.2">
      <c r="A485" s="361" t="s">
        <v>74</v>
      </c>
      <c r="B485" s="484" t="s">
        <v>57</v>
      </c>
      <c r="C485" s="477" t="s">
        <v>1352</v>
      </c>
      <c r="D485" s="364">
        <v>20</v>
      </c>
      <c r="E485" s="46"/>
      <c r="F485" s="46"/>
      <c r="G485" s="46"/>
      <c r="H485" s="46"/>
      <c r="I485" s="46"/>
      <c r="J485" s="46"/>
      <c r="K485" s="46">
        <v>97.3</v>
      </c>
      <c r="L485" s="46"/>
      <c r="M485" s="46"/>
      <c r="N485" s="46"/>
      <c r="O485" s="46"/>
      <c r="P485" s="46">
        <v>97.3</v>
      </c>
      <c r="Q485" s="374">
        <f t="shared" si="29"/>
        <v>97.3</v>
      </c>
      <c r="R485" s="375" t="str">
        <f t="shared" si="28"/>
        <v>NO</v>
      </c>
      <c r="S485" s="376" t="str">
        <f t="shared" si="30"/>
        <v>Inviable Sanitariamente</v>
      </c>
    </row>
    <row r="486" spans="1:19" ht="32.1" customHeight="1" x14ac:dyDescent="0.2">
      <c r="A486" s="361" t="s">
        <v>74</v>
      </c>
      <c r="B486" s="484" t="s">
        <v>1353</v>
      </c>
      <c r="C486" s="477" t="s">
        <v>1354</v>
      </c>
      <c r="D486" s="364">
        <v>200</v>
      </c>
      <c r="E486" s="46"/>
      <c r="F486" s="46"/>
      <c r="G486" s="46"/>
      <c r="H486" s="46"/>
      <c r="I486" s="46"/>
      <c r="J486" s="46"/>
      <c r="K486" s="46">
        <v>97.3</v>
      </c>
      <c r="L486" s="46"/>
      <c r="M486" s="46"/>
      <c r="N486" s="46"/>
      <c r="O486" s="46">
        <v>97.3</v>
      </c>
      <c r="P486" s="46"/>
      <c r="Q486" s="374">
        <f t="shared" si="29"/>
        <v>97.3</v>
      </c>
      <c r="R486" s="375" t="str">
        <f t="shared" si="28"/>
        <v>NO</v>
      </c>
      <c r="S486" s="376" t="str">
        <f t="shared" si="30"/>
        <v>Inviable Sanitariamente</v>
      </c>
    </row>
    <row r="487" spans="1:19" ht="32.1" customHeight="1" x14ac:dyDescent="0.2">
      <c r="A487" s="361" t="s">
        <v>74</v>
      </c>
      <c r="B487" s="484" t="s">
        <v>54</v>
      </c>
      <c r="C487" s="477" t="s">
        <v>1355</v>
      </c>
      <c r="D487" s="364">
        <v>64</v>
      </c>
      <c r="E487" s="46"/>
      <c r="F487" s="46"/>
      <c r="G487" s="46"/>
      <c r="H487" s="46"/>
      <c r="I487" s="46"/>
      <c r="J487" s="46"/>
      <c r="K487" s="46">
        <v>53.1</v>
      </c>
      <c r="L487" s="46"/>
      <c r="M487" s="46"/>
      <c r="N487" s="46"/>
      <c r="O487" s="46">
        <v>97.3</v>
      </c>
      <c r="P487" s="46"/>
      <c r="Q487" s="374">
        <f t="shared" si="29"/>
        <v>75.2</v>
      </c>
      <c r="R487" s="381" t="str">
        <f t="shared" si="28"/>
        <v>NO</v>
      </c>
      <c r="S487" s="376" t="str">
        <f t="shared" si="30"/>
        <v>Alto</v>
      </c>
    </row>
    <row r="488" spans="1:19" ht="32.1" customHeight="1" x14ac:dyDescent="0.2">
      <c r="A488" s="361" t="s">
        <v>74</v>
      </c>
      <c r="B488" s="484" t="s">
        <v>1356</v>
      </c>
      <c r="C488" s="477" t="s">
        <v>1357</v>
      </c>
      <c r="D488" s="364">
        <v>40</v>
      </c>
      <c r="E488" s="46"/>
      <c r="F488" s="46"/>
      <c r="G488" s="46"/>
      <c r="H488" s="46"/>
      <c r="I488" s="46"/>
      <c r="J488" s="46"/>
      <c r="K488" s="46">
        <v>53.1</v>
      </c>
      <c r="L488" s="46"/>
      <c r="M488" s="46"/>
      <c r="N488" s="46"/>
      <c r="O488" s="46"/>
      <c r="P488" s="46">
        <v>97.3</v>
      </c>
      <c r="Q488" s="374">
        <f t="shared" si="29"/>
        <v>75.2</v>
      </c>
      <c r="R488" s="381" t="str">
        <f t="shared" si="28"/>
        <v>NO</v>
      </c>
      <c r="S488" s="376" t="str">
        <f t="shared" si="30"/>
        <v>Alto</v>
      </c>
    </row>
    <row r="489" spans="1:19" ht="32.1" customHeight="1" x14ac:dyDescent="0.2">
      <c r="A489" s="361" t="s">
        <v>74</v>
      </c>
      <c r="B489" s="484" t="s">
        <v>4518</v>
      </c>
      <c r="C489" s="477" t="s">
        <v>1749</v>
      </c>
      <c r="D489" s="364">
        <v>30</v>
      </c>
      <c r="E489" s="46"/>
      <c r="F489" s="46"/>
      <c r="G489" s="46"/>
      <c r="H489" s="46"/>
      <c r="I489" s="46"/>
      <c r="J489" s="46"/>
      <c r="K489" s="46">
        <v>53.1</v>
      </c>
      <c r="L489" s="46"/>
      <c r="M489" s="46"/>
      <c r="N489" s="46"/>
      <c r="O489" s="46"/>
      <c r="P489" s="46">
        <v>97.3</v>
      </c>
      <c r="Q489" s="374">
        <f t="shared" si="29"/>
        <v>75.2</v>
      </c>
      <c r="R489" s="381" t="str">
        <f t="shared" si="28"/>
        <v>NO</v>
      </c>
      <c r="S489" s="376" t="str">
        <f t="shared" si="30"/>
        <v>Alto</v>
      </c>
    </row>
    <row r="490" spans="1:19" ht="32.1" customHeight="1" x14ac:dyDescent="0.2">
      <c r="A490" s="361" t="s">
        <v>74</v>
      </c>
      <c r="B490" s="484" t="s">
        <v>9</v>
      </c>
      <c r="C490" s="477" t="s">
        <v>1358</v>
      </c>
      <c r="D490" s="364">
        <v>40</v>
      </c>
      <c r="E490" s="46"/>
      <c r="F490" s="46"/>
      <c r="G490" s="46"/>
      <c r="H490" s="46"/>
      <c r="I490" s="46"/>
      <c r="J490" s="46"/>
      <c r="K490" s="46">
        <v>53.1</v>
      </c>
      <c r="L490" s="46"/>
      <c r="M490" s="46"/>
      <c r="N490" s="46"/>
      <c r="O490" s="46"/>
      <c r="P490" s="46">
        <v>97.3</v>
      </c>
      <c r="Q490" s="374">
        <f t="shared" si="29"/>
        <v>75.2</v>
      </c>
      <c r="R490" s="381" t="str">
        <f t="shared" si="28"/>
        <v>NO</v>
      </c>
      <c r="S490" s="376" t="str">
        <f t="shared" si="30"/>
        <v>Alto</v>
      </c>
    </row>
    <row r="491" spans="1:19" ht="32.1" customHeight="1" x14ac:dyDescent="0.2">
      <c r="A491" s="361" t="s">
        <v>74</v>
      </c>
      <c r="B491" s="484" t="s">
        <v>1359</v>
      </c>
      <c r="C491" s="477" t="s">
        <v>1360</v>
      </c>
      <c r="D491" s="364">
        <v>30</v>
      </c>
      <c r="E491" s="46"/>
      <c r="F491" s="46"/>
      <c r="G491" s="46"/>
      <c r="H491" s="46"/>
      <c r="I491" s="46"/>
      <c r="J491" s="46"/>
      <c r="K491" s="46">
        <v>53.1</v>
      </c>
      <c r="L491" s="46"/>
      <c r="M491" s="46"/>
      <c r="N491" s="46"/>
      <c r="O491" s="46"/>
      <c r="P491" s="46">
        <v>97.3</v>
      </c>
      <c r="Q491" s="374">
        <f t="shared" si="29"/>
        <v>75.2</v>
      </c>
      <c r="R491" s="381" t="str">
        <f t="shared" si="28"/>
        <v>NO</v>
      </c>
      <c r="S491" s="376" t="str">
        <f t="shared" si="30"/>
        <v>Alto</v>
      </c>
    </row>
    <row r="492" spans="1:19" ht="32.1" customHeight="1" x14ac:dyDescent="0.2">
      <c r="A492" s="385" t="s">
        <v>94</v>
      </c>
      <c r="B492" s="484" t="s">
        <v>1361</v>
      </c>
      <c r="C492" s="477" t="s">
        <v>1362</v>
      </c>
      <c r="D492" s="364">
        <v>62</v>
      </c>
      <c r="E492" s="46"/>
      <c r="F492" s="46">
        <v>97.3</v>
      </c>
      <c r="G492" s="46"/>
      <c r="H492" s="46"/>
      <c r="I492" s="46"/>
      <c r="J492" s="46"/>
      <c r="K492" s="46"/>
      <c r="L492" s="46"/>
      <c r="M492" s="46"/>
      <c r="N492" s="46"/>
      <c r="O492" s="46"/>
      <c r="P492" s="46"/>
      <c r="Q492" s="374">
        <f t="shared" si="29"/>
        <v>97.3</v>
      </c>
      <c r="R492" s="381" t="str">
        <f t="shared" si="28"/>
        <v>NO</v>
      </c>
      <c r="S492" s="376" t="str">
        <f t="shared" si="30"/>
        <v>Inviable Sanitariamente</v>
      </c>
    </row>
    <row r="493" spans="1:19" ht="32.1" customHeight="1" x14ac:dyDescent="0.2">
      <c r="A493" s="385" t="s">
        <v>94</v>
      </c>
      <c r="B493" s="484" t="s">
        <v>1363</v>
      </c>
      <c r="C493" s="477" t="s">
        <v>1364</v>
      </c>
      <c r="D493" s="364">
        <v>22</v>
      </c>
      <c r="E493" s="46"/>
      <c r="F493" s="46"/>
      <c r="G493" s="46"/>
      <c r="H493" s="46"/>
      <c r="I493" s="46">
        <v>97.3</v>
      </c>
      <c r="J493" s="46"/>
      <c r="K493" s="46"/>
      <c r="L493" s="46"/>
      <c r="M493" s="46"/>
      <c r="N493" s="46"/>
      <c r="O493" s="46"/>
      <c r="P493" s="46"/>
      <c r="Q493" s="374">
        <f t="shared" si="29"/>
        <v>97.3</v>
      </c>
      <c r="R493" s="381" t="str">
        <f t="shared" si="28"/>
        <v>NO</v>
      </c>
      <c r="S493" s="376" t="str">
        <f t="shared" si="30"/>
        <v>Inviable Sanitariamente</v>
      </c>
    </row>
    <row r="494" spans="1:19" ht="32.1" customHeight="1" x14ac:dyDescent="0.2">
      <c r="A494" s="385" t="s">
        <v>94</v>
      </c>
      <c r="B494" s="484" t="s">
        <v>1365</v>
      </c>
      <c r="C494" s="477" t="s">
        <v>1366</v>
      </c>
      <c r="D494" s="364">
        <v>120</v>
      </c>
      <c r="E494" s="46"/>
      <c r="F494" s="46"/>
      <c r="G494" s="46"/>
      <c r="H494" s="46"/>
      <c r="I494" s="46">
        <v>97.3</v>
      </c>
      <c r="J494" s="46"/>
      <c r="K494" s="46"/>
      <c r="L494" s="46"/>
      <c r="M494" s="46"/>
      <c r="N494" s="46"/>
      <c r="O494" s="46"/>
      <c r="P494" s="46"/>
      <c r="Q494" s="374">
        <f t="shared" si="29"/>
        <v>97.3</v>
      </c>
      <c r="R494" s="381" t="str">
        <f t="shared" si="28"/>
        <v>NO</v>
      </c>
      <c r="S494" s="376" t="str">
        <f t="shared" si="30"/>
        <v>Inviable Sanitariamente</v>
      </c>
    </row>
    <row r="495" spans="1:19" ht="32.1" customHeight="1" x14ac:dyDescent="0.2">
      <c r="A495" s="385" t="s">
        <v>94</v>
      </c>
      <c r="B495" s="484" t="s">
        <v>1367</v>
      </c>
      <c r="C495" s="477" t="s">
        <v>1368</v>
      </c>
      <c r="D495" s="364">
        <v>81</v>
      </c>
      <c r="E495" s="46"/>
      <c r="F495" s="46"/>
      <c r="G495" s="46"/>
      <c r="H495" s="46">
        <v>97.3</v>
      </c>
      <c r="I495" s="46"/>
      <c r="J495" s="46"/>
      <c r="K495" s="46"/>
      <c r="L495" s="46"/>
      <c r="M495" s="46"/>
      <c r="N495" s="46"/>
      <c r="O495" s="46"/>
      <c r="P495" s="46"/>
      <c r="Q495" s="374">
        <f t="shared" si="29"/>
        <v>97.3</v>
      </c>
      <c r="R495" s="381" t="str">
        <f t="shared" si="28"/>
        <v>NO</v>
      </c>
      <c r="S495" s="376" t="str">
        <f t="shared" si="30"/>
        <v>Inviable Sanitariamente</v>
      </c>
    </row>
    <row r="496" spans="1:19" ht="32.1" customHeight="1" x14ac:dyDescent="0.2">
      <c r="A496" s="385" t="s">
        <v>94</v>
      </c>
      <c r="B496" s="484" t="s">
        <v>1369</v>
      </c>
      <c r="C496" s="477" t="s">
        <v>1370</v>
      </c>
      <c r="D496" s="364">
        <v>85</v>
      </c>
      <c r="E496" s="46"/>
      <c r="F496" s="46">
        <v>97.3</v>
      </c>
      <c r="G496" s="46"/>
      <c r="H496" s="46">
        <v>0</v>
      </c>
      <c r="I496" s="46"/>
      <c r="J496" s="46">
        <v>97.3</v>
      </c>
      <c r="K496" s="46"/>
      <c r="L496" s="46"/>
      <c r="M496" s="46"/>
      <c r="N496" s="46"/>
      <c r="O496" s="46"/>
      <c r="P496" s="46"/>
      <c r="Q496" s="374">
        <f t="shared" si="29"/>
        <v>64.86666666666666</v>
      </c>
      <c r="R496" s="375" t="str">
        <f t="shared" ref="R496:R564" si="31">IF(Q496&lt;5,"SI","NO")</f>
        <v>NO</v>
      </c>
      <c r="S496" s="376" t="str">
        <f t="shared" si="30"/>
        <v>Alto</v>
      </c>
    </row>
    <row r="497" spans="1:19" ht="32.1" customHeight="1" x14ac:dyDescent="0.2">
      <c r="A497" s="385" t="s">
        <v>94</v>
      </c>
      <c r="B497" s="484" t="s">
        <v>783</v>
      </c>
      <c r="C497" s="477" t="s">
        <v>1371</v>
      </c>
      <c r="D497" s="364">
        <v>35</v>
      </c>
      <c r="E497" s="46"/>
      <c r="F497" s="46"/>
      <c r="G497" s="46"/>
      <c r="H497" s="46">
        <v>97.3</v>
      </c>
      <c r="I497" s="46"/>
      <c r="J497" s="46"/>
      <c r="K497" s="46"/>
      <c r="L497" s="46"/>
      <c r="M497" s="46"/>
      <c r="N497" s="46"/>
      <c r="O497" s="46"/>
      <c r="P497" s="46"/>
      <c r="Q497" s="374">
        <f t="shared" si="29"/>
        <v>97.3</v>
      </c>
      <c r="R497" s="381" t="str">
        <f t="shared" si="31"/>
        <v>NO</v>
      </c>
      <c r="S497" s="376" t="str">
        <f t="shared" si="30"/>
        <v>Inviable Sanitariamente</v>
      </c>
    </row>
    <row r="498" spans="1:19" ht="32.1" customHeight="1" x14ac:dyDescent="0.2">
      <c r="A498" s="385" t="s">
        <v>94</v>
      </c>
      <c r="B498" s="484" t="s">
        <v>1372</v>
      </c>
      <c r="C498" s="477" t="s">
        <v>1373</v>
      </c>
      <c r="D498" s="364">
        <v>60</v>
      </c>
      <c r="E498" s="46"/>
      <c r="F498" s="46"/>
      <c r="G498" s="46">
        <v>97.3</v>
      </c>
      <c r="H498" s="46"/>
      <c r="I498" s="46">
        <v>97.3</v>
      </c>
      <c r="J498" s="46"/>
      <c r="K498" s="46"/>
      <c r="L498" s="46"/>
      <c r="M498" s="46"/>
      <c r="N498" s="46"/>
      <c r="O498" s="46"/>
      <c r="P498" s="46"/>
      <c r="Q498" s="374">
        <f t="shared" si="29"/>
        <v>97.3</v>
      </c>
      <c r="R498" s="381" t="str">
        <f t="shared" si="31"/>
        <v>NO</v>
      </c>
      <c r="S498" s="376" t="str">
        <f t="shared" si="30"/>
        <v>Inviable Sanitariamente</v>
      </c>
    </row>
    <row r="499" spans="1:19" ht="32.1" customHeight="1" x14ac:dyDescent="0.2">
      <c r="A499" s="385" t="s">
        <v>94</v>
      </c>
      <c r="B499" s="484" t="s">
        <v>1374</v>
      </c>
      <c r="C499" s="477" t="s">
        <v>1375</v>
      </c>
      <c r="D499" s="364">
        <v>40</v>
      </c>
      <c r="E499" s="46"/>
      <c r="F499" s="46"/>
      <c r="G499" s="46"/>
      <c r="H499" s="46">
        <v>97.3</v>
      </c>
      <c r="I499" s="46"/>
      <c r="J499" s="46"/>
      <c r="K499" s="46"/>
      <c r="L499" s="46"/>
      <c r="M499" s="46"/>
      <c r="N499" s="46"/>
      <c r="O499" s="46"/>
      <c r="P499" s="46"/>
      <c r="Q499" s="374">
        <f t="shared" si="29"/>
        <v>97.3</v>
      </c>
      <c r="R499" s="381" t="str">
        <f t="shared" si="31"/>
        <v>NO</v>
      </c>
      <c r="S499" s="376" t="str">
        <f t="shared" si="30"/>
        <v>Inviable Sanitariamente</v>
      </c>
    </row>
    <row r="500" spans="1:19" ht="32.1" customHeight="1" x14ac:dyDescent="0.2">
      <c r="A500" s="385" t="s">
        <v>94</v>
      </c>
      <c r="B500" s="484" t="s">
        <v>1376</v>
      </c>
      <c r="C500" s="477" t="s">
        <v>1377</v>
      </c>
      <c r="D500" s="364">
        <v>40</v>
      </c>
      <c r="E500" s="46"/>
      <c r="F500" s="46"/>
      <c r="G500" s="46"/>
      <c r="H500" s="46"/>
      <c r="I500" s="46">
        <v>97.3</v>
      </c>
      <c r="J500" s="46"/>
      <c r="K500" s="46"/>
      <c r="L500" s="46"/>
      <c r="M500" s="46"/>
      <c r="N500" s="46"/>
      <c r="O500" s="46"/>
      <c r="P500" s="46"/>
      <c r="Q500" s="374">
        <f t="shared" si="29"/>
        <v>97.3</v>
      </c>
      <c r="R500" s="381" t="str">
        <f t="shared" si="31"/>
        <v>NO</v>
      </c>
      <c r="S500" s="376" t="str">
        <f t="shared" si="30"/>
        <v>Inviable Sanitariamente</v>
      </c>
    </row>
    <row r="501" spans="1:19" ht="32.1" customHeight="1" x14ac:dyDescent="0.2">
      <c r="A501" s="385" t="s">
        <v>94</v>
      </c>
      <c r="B501" s="484" t="s">
        <v>1378</v>
      </c>
      <c r="C501" s="477" t="s">
        <v>1379</v>
      </c>
      <c r="D501" s="364">
        <v>105</v>
      </c>
      <c r="E501" s="46"/>
      <c r="F501" s="46">
        <v>97.3</v>
      </c>
      <c r="G501" s="46"/>
      <c r="H501" s="46"/>
      <c r="I501" s="46"/>
      <c r="J501" s="46"/>
      <c r="K501" s="46"/>
      <c r="L501" s="46"/>
      <c r="M501" s="46"/>
      <c r="N501" s="46"/>
      <c r="O501" s="46"/>
      <c r="P501" s="46"/>
      <c r="Q501" s="374">
        <f t="shared" si="29"/>
        <v>97.3</v>
      </c>
      <c r="R501" s="381" t="str">
        <f t="shared" si="31"/>
        <v>NO</v>
      </c>
      <c r="S501" s="376" t="str">
        <f t="shared" si="30"/>
        <v>Inviable Sanitariamente</v>
      </c>
    </row>
    <row r="502" spans="1:19" ht="32.1" customHeight="1" x14ac:dyDescent="0.2">
      <c r="A502" s="385" t="s">
        <v>94</v>
      </c>
      <c r="B502" s="484" t="s">
        <v>1380</v>
      </c>
      <c r="C502" s="477" t="s">
        <v>1381</v>
      </c>
      <c r="D502" s="364">
        <v>30</v>
      </c>
      <c r="E502" s="46"/>
      <c r="F502" s="46"/>
      <c r="G502" s="46"/>
      <c r="H502" s="46"/>
      <c r="I502" s="46">
        <v>97.3</v>
      </c>
      <c r="J502" s="46"/>
      <c r="K502" s="46"/>
      <c r="L502" s="46"/>
      <c r="M502" s="46"/>
      <c r="N502" s="46"/>
      <c r="O502" s="46"/>
      <c r="P502" s="46"/>
      <c r="Q502" s="374">
        <f t="shared" si="29"/>
        <v>97.3</v>
      </c>
      <c r="R502" s="381" t="str">
        <f t="shared" si="31"/>
        <v>NO</v>
      </c>
      <c r="S502" s="376" t="str">
        <f t="shared" si="30"/>
        <v>Inviable Sanitariamente</v>
      </c>
    </row>
    <row r="503" spans="1:19" ht="32.1" customHeight="1" x14ac:dyDescent="0.2">
      <c r="A503" s="385" t="s">
        <v>94</v>
      </c>
      <c r="B503" s="484" t="s">
        <v>1382</v>
      </c>
      <c r="C503" s="477" t="s">
        <v>1383</v>
      </c>
      <c r="D503" s="364">
        <v>40</v>
      </c>
      <c r="E503" s="46"/>
      <c r="F503" s="46"/>
      <c r="G503" s="46"/>
      <c r="H503" s="46"/>
      <c r="I503" s="46">
        <v>97.3</v>
      </c>
      <c r="J503" s="46"/>
      <c r="K503" s="46"/>
      <c r="L503" s="46"/>
      <c r="M503" s="46"/>
      <c r="N503" s="46"/>
      <c r="O503" s="46"/>
      <c r="P503" s="46"/>
      <c r="Q503" s="374">
        <f t="shared" si="29"/>
        <v>97.3</v>
      </c>
      <c r="R503" s="381" t="str">
        <f t="shared" si="31"/>
        <v>NO</v>
      </c>
      <c r="S503" s="376" t="str">
        <f t="shared" si="30"/>
        <v>Inviable Sanitariamente</v>
      </c>
    </row>
    <row r="504" spans="1:19" ht="32.1" customHeight="1" x14ac:dyDescent="0.2">
      <c r="A504" s="385" t="s">
        <v>94</v>
      </c>
      <c r="B504" s="484" t="s">
        <v>1384</v>
      </c>
      <c r="C504" s="477" t="s">
        <v>1385</v>
      </c>
      <c r="D504" s="364">
        <v>23</v>
      </c>
      <c r="E504" s="46"/>
      <c r="F504" s="46"/>
      <c r="G504" s="46"/>
      <c r="H504" s="46">
        <v>97.3</v>
      </c>
      <c r="I504" s="46"/>
      <c r="J504" s="46"/>
      <c r="K504" s="46"/>
      <c r="L504" s="46"/>
      <c r="M504" s="46"/>
      <c r="N504" s="46"/>
      <c r="O504" s="46"/>
      <c r="P504" s="46"/>
      <c r="Q504" s="374">
        <f t="shared" si="29"/>
        <v>97.3</v>
      </c>
      <c r="R504" s="381" t="str">
        <f t="shared" si="31"/>
        <v>NO</v>
      </c>
      <c r="S504" s="376" t="str">
        <f t="shared" si="30"/>
        <v>Inviable Sanitariamente</v>
      </c>
    </row>
    <row r="505" spans="1:19" ht="32.1" customHeight="1" x14ac:dyDescent="0.2">
      <c r="A505" s="385" t="s">
        <v>94</v>
      </c>
      <c r="B505" s="484" t="s">
        <v>1386</v>
      </c>
      <c r="C505" s="477" t="s">
        <v>1387</v>
      </c>
      <c r="D505" s="364">
        <v>80</v>
      </c>
      <c r="E505" s="46"/>
      <c r="F505" s="46"/>
      <c r="G505" s="46"/>
      <c r="H505" s="46">
        <v>97.3</v>
      </c>
      <c r="I505" s="46"/>
      <c r="J505" s="46"/>
      <c r="K505" s="46"/>
      <c r="L505" s="46"/>
      <c r="M505" s="46"/>
      <c r="N505" s="46"/>
      <c r="O505" s="46"/>
      <c r="P505" s="46"/>
      <c r="Q505" s="374">
        <f t="shared" si="29"/>
        <v>97.3</v>
      </c>
      <c r="R505" s="381" t="str">
        <f t="shared" si="31"/>
        <v>NO</v>
      </c>
      <c r="S505" s="376" t="str">
        <f t="shared" si="30"/>
        <v>Inviable Sanitariamente</v>
      </c>
    </row>
    <row r="506" spans="1:19" ht="32.1" customHeight="1" x14ac:dyDescent="0.2">
      <c r="A506" s="385" t="s">
        <v>94</v>
      </c>
      <c r="B506" s="484" t="s">
        <v>1388</v>
      </c>
      <c r="C506" s="477" t="s">
        <v>1389</v>
      </c>
      <c r="D506" s="364">
        <v>52</v>
      </c>
      <c r="E506" s="46"/>
      <c r="F506" s="46"/>
      <c r="G506" s="46"/>
      <c r="H506" s="46">
        <v>97.3</v>
      </c>
      <c r="I506" s="46"/>
      <c r="J506" s="46"/>
      <c r="K506" s="46">
        <v>97.3</v>
      </c>
      <c r="L506" s="46"/>
      <c r="M506" s="46"/>
      <c r="N506" s="46"/>
      <c r="O506" s="46"/>
      <c r="P506" s="46"/>
      <c r="Q506" s="374">
        <f t="shared" si="29"/>
        <v>97.3</v>
      </c>
      <c r="R506" s="381" t="str">
        <f t="shared" si="31"/>
        <v>NO</v>
      </c>
      <c r="S506" s="376" t="str">
        <f t="shared" si="30"/>
        <v>Inviable Sanitariamente</v>
      </c>
    </row>
    <row r="507" spans="1:19" ht="32.1" customHeight="1" x14ac:dyDescent="0.2">
      <c r="A507" s="385" t="s">
        <v>94</v>
      </c>
      <c r="B507" s="484" t="s">
        <v>1390</v>
      </c>
      <c r="C507" s="477" t="s">
        <v>1391</v>
      </c>
      <c r="D507" s="364">
        <v>56</v>
      </c>
      <c r="E507" s="46"/>
      <c r="F507" s="46">
        <v>97.3</v>
      </c>
      <c r="G507" s="46"/>
      <c r="H507" s="46"/>
      <c r="I507" s="46"/>
      <c r="J507" s="46"/>
      <c r="K507" s="46"/>
      <c r="L507" s="46"/>
      <c r="M507" s="46"/>
      <c r="N507" s="46"/>
      <c r="O507" s="46"/>
      <c r="P507" s="46"/>
      <c r="Q507" s="374">
        <f>AVERAGE(E507:P507)</f>
        <v>97.3</v>
      </c>
      <c r="R507" s="381" t="str">
        <f>IF(Q507&lt;5,"SI","NO")</f>
        <v>NO</v>
      </c>
      <c r="S507" s="376" t="str">
        <f>IF(Q507&lt;5,"Sin Riesgo",IF(Q507 &lt;=14,"Bajo",IF(Q507&lt;=35,"Medio",IF(Q507&lt;=80,"Alto","Inviable Sanitariamente"))))</f>
        <v>Inviable Sanitariamente</v>
      </c>
    </row>
    <row r="508" spans="1:19" ht="32.1" customHeight="1" x14ac:dyDescent="0.2">
      <c r="A508" s="385" t="s">
        <v>94</v>
      </c>
      <c r="B508" s="484" t="s">
        <v>4260</v>
      </c>
      <c r="C508" s="477" t="s">
        <v>4261</v>
      </c>
      <c r="D508" s="364">
        <v>40</v>
      </c>
      <c r="E508" s="46"/>
      <c r="F508" s="46"/>
      <c r="G508" s="46"/>
      <c r="H508" s="46"/>
      <c r="I508" s="46">
        <v>97.3</v>
      </c>
      <c r="J508" s="46"/>
      <c r="K508" s="46"/>
      <c r="L508" s="46"/>
      <c r="M508" s="46"/>
      <c r="N508" s="46"/>
      <c r="O508" s="46"/>
      <c r="P508" s="46"/>
      <c r="Q508" s="374">
        <f t="shared" si="29"/>
        <v>97.3</v>
      </c>
      <c r="R508" s="381" t="str">
        <f t="shared" si="31"/>
        <v>NO</v>
      </c>
      <c r="S508" s="376" t="str">
        <f t="shared" si="30"/>
        <v>Inviable Sanitariamente</v>
      </c>
    </row>
    <row r="509" spans="1:19" ht="36.75" customHeight="1" x14ac:dyDescent="0.2">
      <c r="A509" s="385" t="s">
        <v>220</v>
      </c>
      <c r="B509" s="379" t="s">
        <v>1432</v>
      </c>
      <c r="C509" s="472" t="s">
        <v>1392</v>
      </c>
      <c r="D509" s="485">
        <v>110</v>
      </c>
      <c r="E509" s="46">
        <v>0</v>
      </c>
      <c r="F509" s="46">
        <v>0</v>
      </c>
      <c r="G509" s="46"/>
      <c r="H509" s="46"/>
      <c r="I509" s="46"/>
      <c r="J509" s="46">
        <v>0</v>
      </c>
      <c r="K509" s="46">
        <v>0</v>
      </c>
      <c r="L509" s="46"/>
      <c r="M509" s="46"/>
      <c r="N509" s="46"/>
      <c r="O509" s="46">
        <v>0</v>
      </c>
      <c r="P509" s="46"/>
      <c r="Q509" s="374">
        <f t="shared" si="29"/>
        <v>0</v>
      </c>
      <c r="R509" s="395" t="str">
        <f t="shared" si="31"/>
        <v>SI</v>
      </c>
      <c r="S509" s="376" t="str">
        <f t="shared" si="30"/>
        <v>Sin Riesgo</v>
      </c>
    </row>
    <row r="510" spans="1:19" ht="36.75" customHeight="1" x14ac:dyDescent="0.2">
      <c r="A510" s="385" t="s">
        <v>220</v>
      </c>
      <c r="B510" s="379" t="s">
        <v>4537</v>
      </c>
      <c r="C510" s="472" t="s">
        <v>4538</v>
      </c>
      <c r="D510" s="485"/>
      <c r="E510" s="46"/>
      <c r="F510" s="46"/>
      <c r="G510" s="46">
        <v>0</v>
      </c>
      <c r="H510" s="46"/>
      <c r="I510" s="46"/>
      <c r="J510" s="46"/>
      <c r="K510" s="46"/>
      <c r="L510" s="46">
        <v>0</v>
      </c>
      <c r="M510" s="46"/>
      <c r="N510" s="46"/>
      <c r="O510" s="46"/>
      <c r="P510" s="46">
        <v>0</v>
      </c>
      <c r="Q510" s="374">
        <f t="shared" ref="Q510" si="32">AVERAGE(E510:P510)</f>
        <v>0</v>
      </c>
      <c r="R510" s="395" t="str">
        <f t="shared" ref="R510" si="33">IF(Q510&lt;5,"SI","NO")</f>
        <v>SI</v>
      </c>
      <c r="S510" s="376" t="str">
        <f t="shared" ref="S510" si="34">IF(Q510&lt;5,"Sin Riesgo",IF(Q510 &lt;=14,"Bajo",IF(Q510&lt;=35,"Medio",IF(Q510&lt;=80,"Alto","Inviable Sanitariamente"))))</f>
        <v>Sin Riesgo</v>
      </c>
    </row>
    <row r="511" spans="1:19" ht="32.1" customHeight="1" x14ac:dyDescent="0.2">
      <c r="A511" s="385" t="s">
        <v>220</v>
      </c>
      <c r="B511" s="379" t="s">
        <v>1433</v>
      </c>
      <c r="C511" s="472" t="s">
        <v>1393</v>
      </c>
      <c r="D511" s="485">
        <v>165</v>
      </c>
      <c r="E511" s="46">
        <v>0</v>
      </c>
      <c r="F511" s="46"/>
      <c r="G511" s="46"/>
      <c r="H511" s="46"/>
      <c r="I511" s="46">
        <v>0</v>
      </c>
      <c r="J511" s="46">
        <v>0</v>
      </c>
      <c r="K511" s="46">
        <v>0</v>
      </c>
      <c r="L511" s="46"/>
      <c r="M511" s="46"/>
      <c r="N511" s="46"/>
      <c r="O511" s="46">
        <v>0</v>
      </c>
      <c r="P511" s="46">
        <v>0</v>
      </c>
      <c r="Q511" s="374">
        <f t="shared" si="29"/>
        <v>0</v>
      </c>
      <c r="R511" s="395" t="str">
        <f t="shared" si="31"/>
        <v>SI</v>
      </c>
      <c r="S511" s="376" t="str">
        <f t="shared" si="30"/>
        <v>Sin Riesgo</v>
      </c>
    </row>
    <row r="512" spans="1:19" ht="32.1" customHeight="1" x14ac:dyDescent="0.2">
      <c r="A512" s="385" t="s">
        <v>220</v>
      </c>
      <c r="B512" s="379" t="s">
        <v>1434</v>
      </c>
      <c r="C512" s="472" t="s">
        <v>1394</v>
      </c>
      <c r="D512" s="485">
        <v>165</v>
      </c>
      <c r="E512" s="46"/>
      <c r="F512" s="46">
        <v>0</v>
      </c>
      <c r="G512" s="46">
        <v>0</v>
      </c>
      <c r="H512" s="46">
        <v>0</v>
      </c>
      <c r="I512" s="46"/>
      <c r="J512" s="46"/>
      <c r="K512" s="46"/>
      <c r="L512" s="46">
        <v>0</v>
      </c>
      <c r="M512" s="46">
        <v>0</v>
      </c>
      <c r="N512" s="46">
        <v>0</v>
      </c>
      <c r="O512" s="46"/>
      <c r="P512" s="46"/>
      <c r="Q512" s="374">
        <f t="shared" si="29"/>
        <v>0</v>
      </c>
      <c r="R512" s="395" t="str">
        <f t="shared" si="31"/>
        <v>SI</v>
      </c>
      <c r="S512" s="376" t="str">
        <f t="shared" si="30"/>
        <v>Sin Riesgo</v>
      </c>
    </row>
    <row r="513" spans="1:19" ht="32.1" customHeight="1" x14ac:dyDescent="0.2">
      <c r="A513" s="385" t="s">
        <v>220</v>
      </c>
      <c r="B513" s="379" t="s">
        <v>1435</v>
      </c>
      <c r="C513" s="472" t="s">
        <v>1395</v>
      </c>
      <c r="D513" s="485">
        <v>100</v>
      </c>
      <c r="E513" s="46"/>
      <c r="F513" s="46"/>
      <c r="G513" s="46"/>
      <c r="H513" s="46">
        <v>0</v>
      </c>
      <c r="I513" s="46"/>
      <c r="J513" s="46"/>
      <c r="K513" s="46"/>
      <c r="L513" s="46"/>
      <c r="M513" s="46">
        <v>0</v>
      </c>
      <c r="N513" s="46"/>
      <c r="O513" s="46"/>
      <c r="P513" s="46"/>
      <c r="Q513" s="374">
        <f t="shared" si="29"/>
        <v>0</v>
      </c>
      <c r="R513" s="395" t="str">
        <f t="shared" si="31"/>
        <v>SI</v>
      </c>
      <c r="S513" s="376" t="str">
        <f t="shared" si="30"/>
        <v>Sin Riesgo</v>
      </c>
    </row>
    <row r="514" spans="1:19" ht="32.1" customHeight="1" x14ac:dyDescent="0.2">
      <c r="A514" s="385" t="s">
        <v>220</v>
      </c>
      <c r="B514" s="379" t="s">
        <v>1109</v>
      </c>
      <c r="C514" s="472" t="s">
        <v>1396</v>
      </c>
      <c r="D514" s="485">
        <v>681</v>
      </c>
      <c r="E514" s="46">
        <v>0</v>
      </c>
      <c r="F514" s="46">
        <v>0</v>
      </c>
      <c r="G514" s="46">
        <v>0</v>
      </c>
      <c r="H514" s="46">
        <v>0</v>
      </c>
      <c r="I514" s="46">
        <v>0</v>
      </c>
      <c r="J514" s="46">
        <v>0</v>
      </c>
      <c r="K514" s="46">
        <v>0</v>
      </c>
      <c r="L514" s="46">
        <v>0</v>
      </c>
      <c r="M514" s="46">
        <v>0</v>
      </c>
      <c r="N514" s="46">
        <v>0</v>
      </c>
      <c r="O514" s="46">
        <v>0</v>
      </c>
      <c r="P514" s="46">
        <v>0</v>
      </c>
      <c r="Q514" s="374">
        <f t="shared" si="29"/>
        <v>0</v>
      </c>
      <c r="R514" s="395" t="str">
        <f t="shared" si="31"/>
        <v>SI</v>
      </c>
      <c r="S514" s="376" t="str">
        <f t="shared" si="30"/>
        <v>Sin Riesgo</v>
      </c>
    </row>
    <row r="515" spans="1:19" ht="32.1" customHeight="1" x14ac:dyDescent="0.2">
      <c r="A515" s="385" t="s">
        <v>220</v>
      </c>
      <c r="B515" s="379" t="s">
        <v>1429</v>
      </c>
      <c r="C515" s="472" t="s">
        <v>1397</v>
      </c>
      <c r="D515" s="486">
        <v>45</v>
      </c>
      <c r="E515" s="46">
        <v>0</v>
      </c>
      <c r="F515" s="46">
        <v>0</v>
      </c>
      <c r="G515" s="46">
        <v>0</v>
      </c>
      <c r="H515" s="46">
        <v>0</v>
      </c>
      <c r="I515" s="46">
        <v>0</v>
      </c>
      <c r="J515" s="46">
        <v>0</v>
      </c>
      <c r="K515" s="46">
        <v>0</v>
      </c>
      <c r="L515" s="46">
        <v>0</v>
      </c>
      <c r="M515" s="46">
        <v>0</v>
      </c>
      <c r="N515" s="46">
        <v>0</v>
      </c>
      <c r="O515" s="46">
        <v>0</v>
      </c>
      <c r="P515" s="46">
        <v>0</v>
      </c>
      <c r="Q515" s="374">
        <f t="shared" ref="Q515:Q572" si="35">AVERAGE(E515:P515)</f>
        <v>0</v>
      </c>
      <c r="R515" s="395" t="str">
        <f t="shared" si="31"/>
        <v>SI</v>
      </c>
      <c r="S515" s="376" t="str">
        <f t="shared" si="30"/>
        <v>Sin Riesgo</v>
      </c>
    </row>
    <row r="516" spans="1:19" ht="32.1" customHeight="1" x14ac:dyDescent="0.2">
      <c r="A516" s="385" t="s">
        <v>220</v>
      </c>
      <c r="B516" s="379" t="s">
        <v>1429</v>
      </c>
      <c r="C516" s="472" t="s">
        <v>1398</v>
      </c>
      <c r="D516" s="485"/>
      <c r="E516" s="46"/>
      <c r="F516" s="46"/>
      <c r="G516" s="46"/>
      <c r="H516" s="46"/>
      <c r="I516" s="46"/>
      <c r="J516" s="46"/>
      <c r="K516" s="46"/>
      <c r="L516" s="46"/>
      <c r="M516" s="46"/>
      <c r="N516" s="46"/>
      <c r="O516" s="46"/>
      <c r="P516" s="46"/>
      <c r="Q516" s="374" t="e">
        <f t="shared" si="35"/>
        <v>#DIV/0!</v>
      </c>
      <c r="R516" s="395" t="e">
        <f t="shared" si="31"/>
        <v>#DIV/0!</v>
      </c>
      <c r="S516" s="376" t="e">
        <f t="shared" si="30"/>
        <v>#DIV/0!</v>
      </c>
    </row>
    <row r="517" spans="1:19" ht="32.1" customHeight="1" x14ac:dyDescent="0.2">
      <c r="A517" s="385" t="s">
        <v>220</v>
      </c>
      <c r="B517" s="379" t="s">
        <v>1426</v>
      </c>
      <c r="C517" s="472" t="s">
        <v>1399</v>
      </c>
      <c r="D517" s="485"/>
      <c r="E517" s="46"/>
      <c r="F517" s="46"/>
      <c r="G517" s="46"/>
      <c r="H517" s="46"/>
      <c r="I517" s="46"/>
      <c r="J517" s="46"/>
      <c r="K517" s="46"/>
      <c r="L517" s="46"/>
      <c r="M517" s="46"/>
      <c r="N517" s="46"/>
      <c r="O517" s="46"/>
      <c r="P517" s="46"/>
      <c r="Q517" s="374" t="e">
        <f t="shared" si="35"/>
        <v>#DIV/0!</v>
      </c>
      <c r="R517" s="395" t="e">
        <f t="shared" si="31"/>
        <v>#DIV/0!</v>
      </c>
      <c r="S517" s="376" t="e">
        <f t="shared" si="30"/>
        <v>#DIV/0!</v>
      </c>
    </row>
    <row r="518" spans="1:19" ht="32.1" customHeight="1" x14ac:dyDescent="0.2">
      <c r="A518" s="385" t="s">
        <v>220</v>
      </c>
      <c r="B518" s="379" t="s">
        <v>1430</v>
      </c>
      <c r="C518" s="472" t="s">
        <v>1400</v>
      </c>
      <c r="D518" s="485"/>
      <c r="E518" s="46"/>
      <c r="F518" s="46"/>
      <c r="G518" s="46"/>
      <c r="H518" s="46"/>
      <c r="I518" s="46"/>
      <c r="J518" s="46"/>
      <c r="K518" s="46"/>
      <c r="L518" s="46"/>
      <c r="M518" s="46"/>
      <c r="N518" s="46"/>
      <c r="O518" s="46"/>
      <c r="P518" s="46"/>
      <c r="Q518" s="374" t="e">
        <f t="shared" si="35"/>
        <v>#DIV/0!</v>
      </c>
      <c r="R518" s="395" t="e">
        <f t="shared" si="31"/>
        <v>#DIV/0!</v>
      </c>
      <c r="S518" s="376" t="e">
        <f t="shared" si="30"/>
        <v>#DIV/0!</v>
      </c>
    </row>
    <row r="519" spans="1:19" ht="32.1" customHeight="1" x14ac:dyDescent="0.2">
      <c r="A519" s="385" t="s">
        <v>220</v>
      </c>
      <c r="B519" s="379" t="s">
        <v>1427</v>
      </c>
      <c r="C519" s="472" t="s">
        <v>1401</v>
      </c>
      <c r="D519" s="485">
        <v>45</v>
      </c>
      <c r="E519" s="46"/>
      <c r="F519" s="46"/>
      <c r="G519" s="46"/>
      <c r="H519" s="46"/>
      <c r="I519" s="46">
        <v>0</v>
      </c>
      <c r="J519" s="46"/>
      <c r="K519" s="46"/>
      <c r="L519" s="46"/>
      <c r="M519" s="46"/>
      <c r="N519" s="46">
        <v>0</v>
      </c>
      <c r="O519" s="46">
        <v>0</v>
      </c>
      <c r="P519" s="46"/>
      <c r="Q519" s="374">
        <f t="shared" si="35"/>
        <v>0</v>
      </c>
      <c r="R519" s="395" t="str">
        <f t="shared" si="31"/>
        <v>SI</v>
      </c>
      <c r="S519" s="376" t="str">
        <f t="shared" si="30"/>
        <v>Sin Riesgo</v>
      </c>
    </row>
    <row r="520" spans="1:19" ht="32.1" customHeight="1" x14ac:dyDescent="0.2">
      <c r="A520" s="385" t="s">
        <v>220</v>
      </c>
      <c r="B520" s="379" t="s">
        <v>0</v>
      </c>
      <c r="C520" s="472" t="s">
        <v>1402</v>
      </c>
      <c r="D520" s="485">
        <v>52</v>
      </c>
      <c r="E520" s="46"/>
      <c r="F520" s="46"/>
      <c r="G520" s="46"/>
      <c r="H520" s="46"/>
      <c r="I520" s="46"/>
      <c r="J520" s="46">
        <v>0</v>
      </c>
      <c r="K520" s="46"/>
      <c r="L520" s="46"/>
      <c r="M520" s="46"/>
      <c r="N520" s="46"/>
      <c r="O520" s="46"/>
      <c r="P520" s="46">
        <v>0</v>
      </c>
      <c r="Q520" s="374">
        <f t="shared" si="35"/>
        <v>0</v>
      </c>
      <c r="R520" s="395" t="str">
        <f t="shared" si="31"/>
        <v>SI</v>
      </c>
      <c r="S520" s="376" t="str">
        <f t="shared" si="30"/>
        <v>Sin Riesgo</v>
      </c>
    </row>
    <row r="521" spans="1:19" ht="32.1" customHeight="1" x14ac:dyDescent="0.2">
      <c r="A521" s="385" t="s">
        <v>220</v>
      </c>
      <c r="B521" s="379" t="s">
        <v>65</v>
      </c>
      <c r="C521" s="472" t="s">
        <v>1403</v>
      </c>
      <c r="D521" s="485">
        <v>47</v>
      </c>
      <c r="E521" s="46">
        <v>0</v>
      </c>
      <c r="F521" s="46">
        <v>0</v>
      </c>
      <c r="G521" s="46">
        <v>0</v>
      </c>
      <c r="H521" s="46">
        <v>0</v>
      </c>
      <c r="I521" s="46"/>
      <c r="J521" s="46"/>
      <c r="K521" s="46">
        <v>0</v>
      </c>
      <c r="L521" s="46">
        <v>0</v>
      </c>
      <c r="M521" s="46">
        <v>0</v>
      </c>
      <c r="N521" s="46"/>
      <c r="O521" s="46"/>
      <c r="P521" s="46"/>
      <c r="Q521" s="374">
        <f t="shared" si="35"/>
        <v>0</v>
      </c>
      <c r="R521" s="395" t="str">
        <f t="shared" si="31"/>
        <v>SI</v>
      </c>
      <c r="S521" s="376" t="str">
        <f t="shared" si="30"/>
        <v>Sin Riesgo</v>
      </c>
    </row>
    <row r="522" spans="1:19" ht="32.1" customHeight="1" x14ac:dyDescent="0.2">
      <c r="A522" s="385" t="s">
        <v>220</v>
      </c>
      <c r="B522" s="379" t="s">
        <v>533</v>
      </c>
      <c r="C522" s="472" t="s">
        <v>1404</v>
      </c>
      <c r="D522" s="485">
        <v>113</v>
      </c>
      <c r="E522" s="46">
        <v>0</v>
      </c>
      <c r="F522" s="46">
        <v>0</v>
      </c>
      <c r="G522" s="46">
        <v>0</v>
      </c>
      <c r="H522" s="46"/>
      <c r="I522" s="46"/>
      <c r="J522" s="46"/>
      <c r="K522" s="46">
        <v>0</v>
      </c>
      <c r="L522" s="46">
        <v>0</v>
      </c>
      <c r="M522" s="46"/>
      <c r="N522" s="46"/>
      <c r="O522" s="46">
        <v>0</v>
      </c>
      <c r="P522" s="46">
        <v>0</v>
      </c>
      <c r="Q522" s="374">
        <f t="shared" si="35"/>
        <v>0</v>
      </c>
      <c r="R522" s="395" t="str">
        <f t="shared" si="31"/>
        <v>SI</v>
      </c>
      <c r="S522" s="376" t="str">
        <f t="shared" si="30"/>
        <v>Sin Riesgo</v>
      </c>
    </row>
    <row r="523" spans="1:19" ht="32.1" customHeight="1" x14ac:dyDescent="0.2">
      <c r="A523" s="385" t="s">
        <v>220</v>
      </c>
      <c r="B523" s="379" t="s">
        <v>1436</v>
      </c>
      <c r="C523" s="472" t="s">
        <v>1405</v>
      </c>
      <c r="D523" s="485">
        <v>347</v>
      </c>
      <c r="E523" s="46"/>
      <c r="F523" s="46"/>
      <c r="G523" s="46"/>
      <c r="H523" s="46">
        <v>0</v>
      </c>
      <c r="I523" s="46">
        <v>0</v>
      </c>
      <c r="J523" s="46"/>
      <c r="K523" s="46"/>
      <c r="L523" s="46"/>
      <c r="M523" s="46">
        <v>0</v>
      </c>
      <c r="N523" s="46"/>
      <c r="O523" s="46"/>
      <c r="P523" s="46"/>
      <c r="Q523" s="374">
        <f t="shared" si="35"/>
        <v>0</v>
      </c>
      <c r="R523" s="395" t="str">
        <f t="shared" si="31"/>
        <v>SI</v>
      </c>
      <c r="S523" s="376" t="str">
        <f t="shared" si="30"/>
        <v>Sin Riesgo</v>
      </c>
    </row>
    <row r="524" spans="1:19" ht="32.1" customHeight="1" x14ac:dyDescent="0.2">
      <c r="A524" s="385" t="s">
        <v>220</v>
      </c>
      <c r="B524" s="379" t="s">
        <v>1134</v>
      </c>
      <c r="C524" s="472" t="s">
        <v>1406</v>
      </c>
      <c r="D524" s="485"/>
      <c r="E524" s="46"/>
      <c r="F524" s="46"/>
      <c r="G524" s="46"/>
      <c r="H524" s="46"/>
      <c r="I524" s="46"/>
      <c r="J524" s="46">
        <v>0</v>
      </c>
      <c r="K524" s="46"/>
      <c r="L524" s="46"/>
      <c r="M524" s="46"/>
      <c r="N524" s="46">
        <v>0</v>
      </c>
      <c r="O524" s="46"/>
      <c r="P524" s="46"/>
      <c r="Q524" s="374">
        <f t="shared" si="35"/>
        <v>0</v>
      </c>
      <c r="R524" s="395" t="str">
        <f t="shared" si="31"/>
        <v>SI</v>
      </c>
      <c r="S524" s="376" t="str">
        <f t="shared" si="30"/>
        <v>Sin Riesgo</v>
      </c>
    </row>
    <row r="525" spans="1:19" ht="32.1" customHeight="1" x14ac:dyDescent="0.2">
      <c r="A525" s="385" t="s">
        <v>220</v>
      </c>
      <c r="B525" s="379" t="s">
        <v>966</v>
      </c>
      <c r="C525" s="472" t="s">
        <v>1407</v>
      </c>
      <c r="D525" s="485">
        <v>51</v>
      </c>
      <c r="E525" s="46"/>
      <c r="F525" s="46">
        <v>0</v>
      </c>
      <c r="G525" s="46">
        <v>0</v>
      </c>
      <c r="H525" s="46">
        <v>0</v>
      </c>
      <c r="I525" s="46"/>
      <c r="J525" s="46"/>
      <c r="K525" s="46"/>
      <c r="L525" s="46">
        <v>0</v>
      </c>
      <c r="M525" s="46">
        <v>0</v>
      </c>
      <c r="N525" s="46">
        <v>0</v>
      </c>
      <c r="O525" s="46">
        <v>0</v>
      </c>
      <c r="P525" s="46"/>
      <c r="Q525" s="374">
        <f t="shared" si="35"/>
        <v>0</v>
      </c>
      <c r="R525" s="395" t="str">
        <f t="shared" si="31"/>
        <v>SI</v>
      </c>
      <c r="S525" s="376" t="str">
        <f t="shared" si="30"/>
        <v>Sin Riesgo</v>
      </c>
    </row>
    <row r="526" spans="1:19" ht="32.1" customHeight="1" x14ac:dyDescent="0.2">
      <c r="A526" s="385" t="s">
        <v>220</v>
      </c>
      <c r="B526" s="379" t="s">
        <v>1437</v>
      </c>
      <c r="C526" s="472" t="s">
        <v>1408</v>
      </c>
      <c r="D526" s="485"/>
      <c r="E526" s="46"/>
      <c r="F526" s="46"/>
      <c r="G526" s="46"/>
      <c r="H526" s="46"/>
      <c r="I526" s="46"/>
      <c r="J526" s="46"/>
      <c r="K526" s="46"/>
      <c r="L526" s="46"/>
      <c r="M526" s="46"/>
      <c r="N526" s="46"/>
      <c r="O526" s="46"/>
      <c r="P526" s="46"/>
      <c r="Q526" s="374" t="e">
        <f t="shared" si="35"/>
        <v>#DIV/0!</v>
      </c>
      <c r="R526" s="395" t="e">
        <f t="shared" si="31"/>
        <v>#DIV/0!</v>
      </c>
      <c r="S526" s="376" t="e">
        <f t="shared" si="30"/>
        <v>#DIV/0!</v>
      </c>
    </row>
    <row r="527" spans="1:19" ht="32.1" customHeight="1" x14ac:dyDescent="0.2">
      <c r="A527" s="385" t="s">
        <v>220</v>
      </c>
      <c r="B527" s="379" t="s">
        <v>65</v>
      </c>
      <c r="C527" s="472" t="s">
        <v>1409</v>
      </c>
      <c r="D527" s="485">
        <v>47</v>
      </c>
      <c r="E527" s="46">
        <v>0</v>
      </c>
      <c r="F527" s="46"/>
      <c r="G527" s="46"/>
      <c r="H527" s="46"/>
      <c r="I527" s="46"/>
      <c r="J527" s="46">
        <v>0</v>
      </c>
      <c r="K527" s="46">
        <v>0</v>
      </c>
      <c r="L527" s="46"/>
      <c r="M527" s="46"/>
      <c r="N527" s="46"/>
      <c r="O527" s="46"/>
      <c r="P527" s="46"/>
      <c r="Q527" s="374">
        <f t="shared" si="35"/>
        <v>0</v>
      </c>
      <c r="R527" s="395" t="str">
        <f t="shared" si="31"/>
        <v>SI</v>
      </c>
      <c r="S527" s="376" t="str">
        <f t="shared" si="30"/>
        <v>Sin Riesgo</v>
      </c>
    </row>
    <row r="528" spans="1:19" ht="32.1" customHeight="1" x14ac:dyDescent="0.2">
      <c r="A528" s="385" t="s">
        <v>220</v>
      </c>
      <c r="B528" s="379" t="s">
        <v>1438</v>
      </c>
      <c r="C528" s="472" t="s">
        <v>1410</v>
      </c>
      <c r="D528" s="485"/>
      <c r="E528" s="46"/>
      <c r="F528" s="46"/>
      <c r="G528" s="46"/>
      <c r="H528" s="46"/>
      <c r="I528" s="46"/>
      <c r="J528" s="46"/>
      <c r="K528" s="46"/>
      <c r="L528" s="46"/>
      <c r="M528" s="46"/>
      <c r="N528" s="46"/>
      <c r="O528" s="46"/>
      <c r="P528" s="46"/>
      <c r="Q528" s="374" t="e">
        <f t="shared" si="35"/>
        <v>#DIV/0!</v>
      </c>
      <c r="R528" s="395" t="e">
        <f t="shared" si="31"/>
        <v>#DIV/0!</v>
      </c>
      <c r="S528" s="376" t="e">
        <f t="shared" si="30"/>
        <v>#DIV/0!</v>
      </c>
    </row>
    <row r="529" spans="1:19" ht="32.1" customHeight="1" x14ac:dyDescent="0.2">
      <c r="A529" s="385" t="s">
        <v>220</v>
      </c>
      <c r="B529" s="379" t="s">
        <v>450</v>
      </c>
      <c r="C529" s="472" t="s">
        <v>1411</v>
      </c>
      <c r="D529" s="485">
        <v>47</v>
      </c>
      <c r="E529" s="46"/>
      <c r="F529" s="46"/>
      <c r="G529" s="46"/>
      <c r="H529" s="46"/>
      <c r="I529" s="46">
        <v>0</v>
      </c>
      <c r="J529" s="46"/>
      <c r="K529" s="46"/>
      <c r="L529" s="46"/>
      <c r="M529" s="46"/>
      <c r="N529" s="46"/>
      <c r="O529" s="46"/>
      <c r="P529" s="46">
        <v>0</v>
      </c>
      <c r="Q529" s="374">
        <f t="shared" si="35"/>
        <v>0</v>
      </c>
      <c r="R529" s="395" t="str">
        <f t="shared" si="31"/>
        <v>SI</v>
      </c>
      <c r="S529" s="376" t="str">
        <f t="shared" si="30"/>
        <v>Sin Riesgo</v>
      </c>
    </row>
    <row r="530" spans="1:19" ht="32.1" customHeight="1" x14ac:dyDescent="0.2">
      <c r="A530" s="385" t="s">
        <v>220</v>
      </c>
      <c r="B530" s="379" t="s">
        <v>1439</v>
      </c>
      <c r="C530" s="472" t="s">
        <v>1412</v>
      </c>
      <c r="D530" s="485"/>
      <c r="E530" s="46"/>
      <c r="F530" s="46"/>
      <c r="G530" s="46"/>
      <c r="H530" s="46"/>
      <c r="I530" s="46"/>
      <c r="J530" s="46"/>
      <c r="K530" s="46"/>
      <c r="L530" s="46"/>
      <c r="M530" s="46"/>
      <c r="N530" s="46"/>
      <c r="O530" s="46"/>
      <c r="P530" s="46"/>
      <c r="Q530" s="374" t="e">
        <f t="shared" si="35"/>
        <v>#DIV/0!</v>
      </c>
      <c r="R530" s="395" t="e">
        <f t="shared" si="31"/>
        <v>#DIV/0!</v>
      </c>
      <c r="S530" s="376" t="e">
        <f t="shared" si="30"/>
        <v>#DIV/0!</v>
      </c>
    </row>
    <row r="531" spans="1:19" ht="32.1" customHeight="1" x14ac:dyDescent="0.2">
      <c r="A531" s="385" t="s">
        <v>220</v>
      </c>
      <c r="B531" s="379" t="s">
        <v>12</v>
      </c>
      <c r="C531" s="472" t="s">
        <v>1413</v>
      </c>
      <c r="D531" s="485">
        <v>126</v>
      </c>
      <c r="E531" s="46"/>
      <c r="F531" s="46"/>
      <c r="G531" s="46"/>
      <c r="H531" s="46"/>
      <c r="I531" s="46">
        <v>0</v>
      </c>
      <c r="J531" s="46"/>
      <c r="K531" s="46"/>
      <c r="L531" s="46"/>
      <c r="M531" s="46"/>
      <c r="N531" s="46">
        <v>0</v>
      </c>
      <c r="O531" s="46"/>
      <c r="P531" s="46"/>
      <c r="Q531" s="374">
        <f t="shared" si="35"/>
        <v>0</v>
      </c>
      <c r="R531" s="395" t="str">
        <f t="shared" si="31"/>
        <v>SI</v>
      </c>
      <c r="S531" s="376" t="str">
        <f t="shared" ref="S531:S572" si="36">IF(Q531&lt;5,"Sin Riesgo",IF(Q531 &lt;=14,"Bajo",IF(Q531&lt;=35,"Medio",IF(Q531&lt;=80,"Alto","Inviable Sanitariamente"))))</f>
        <v>Sin Riesgo</v>
      </c>
    </row>
    <row r="532" spans="1:19" ht="32.1" customHeight="1" x14ac:dyDescent="0.2">
      <c r="A532" s="385" t="s">
        <v>220</v>
      </c>
      <c r="B532" s="379" t="s">
        <v>1160</v>
      </c>
      <c r="C532" s="472" t="s">
        <v>1414</v>
      </c>
      <c r="D532" s="485">
        <v>126</v>
      </c>
      <c r="E532" s="46"/>
      <c r="F532" s="46"/>
      <c r="G532" s="46">
        <v>0</v>
      </c>
      <c r="H532" s="46"/>
      <c r="I532" s="46"/>
      <c r="J532" s="46"/>
      <c r="K532" s="46"/>
      <c r="L532" s="46">
        <v>0</v>
      </c>
      <c r="M532" s="46"/>
      <c r="N532" s="46"/>
      <c r="O532" s="46"/>
      <c r="P532" s="46"/>
      <c r="Q532" s="374">
        <f t="shared" si="35"/>
        <v>0</v>
      </c>
      <c r="R532" s="395" t="str">
        <f t="shared" si="31"/>
        <v>SI</v>
      </c>
      <c r="S532" s="376" t="str">
        <f t="shared" si="36"/>
        <v>Sin Riesgo</v>
      </c>
    </row>
    <row r="533" spans="1:19" ht="32.1" customHeight="1" x14ac:dyDescent="0.2">
      <c r="A533" s="385" t="s">
        <v>220</v>
      </c>
      <c r="B533" s="379" t="s">
        <v>1440</v>
      </c>
      <c r="C533" s="472" t="s">
        <v>1415</v>
      </c>
      <c r="D533" s="485">
        <v>126</v>
      </c>
      <c r="E533" s="46"/>
      <c r="F533" s="46"/>
      <c r="G533" s="46"/>
      <c r="H533" s="46">
        <v>0</v>
      </c>
      <c r="I533" s="46"/>
      <c r="J533" s="46"/>
      <c r="K533" s="46"/>
      <c r="L533" s="46"/>
      <c r="M533" s="46">
        <v>0</v>
      </c>
      <c r="N533" s="46"/>
      <c r="O533" s="46"/>
      <c r="P533" s="46"/>
      <c r="Q533" s="374">
        <f t="shared" si="35"/>
        <v>0</v>
      </c>
      <c r="R533" s="395" t="str">
        <f t="shared" si="31"/>
        <v>SI</v>
      </c>
      <c r="S533" s="376" t="str">
        <f t="shared" si="36"/>
        <v>Sin Riesgo</v>
      </c>
    </row>
    <row r="534" spans="1:19" ht="32.1" customHeight="1" x14ac:dyDescent="0.2">
      <c r="A534" s="385" t="s">
        <v>220</v>
      </c>
      <c r="B534" s="379" t="s">
        <v>1441</v>
      </c>
      <c r="C534" s="472" t="s">
        <v>1416</v>
      </c>
      <c r="D534" s="485">
        <v>126</v>
      </c>
      <c r="E534" s="46"/>
      <c r="F534" s="46">
        <v>0</v>
      </c>
      <c r="G534" s="46"/>
      <c r="H534" s="46"/>
      <c r="I534" s="46"/>
      <c r="J534" s="46"/>
      <c r="K534" s="46">
        <v>0</v>
      </c>
      <c r="L534" s="46"/>
      <c r="M534" s="46"/>
      <c r="N534" s="46"/>
      <c r="O534" s="46"/>
      <c r="P534" s="46">
        <v>0</v>
      </c>
      <c r="Q534" s="374">
        <f t="shared" si="35"/>
        <v>0</v>
      </c>
      <c r="R534" s="395" t="str">
        <f t="shared" si="31"/>
        <v>SI</v>
      </c>
      <c r="S534" s="376" t="str">
        <f t="shared" si="36"/>
        <v>Sin Riesgo</v>
      </c>
    </row>
    <row r="535" spans="1:19" ht="32.1" customHeight="1" x14ac:dyDescent="0.2">
      <c r="A535" s="385" t="s">
        <v>220</v>
      </c>
      <c r="B535" s="379" t="s">
        <v>1428</v>
      </c>
      <c r="C535" s="472" t="s">
        <v>1417</v>
      </c>
      <c r="D535" s="485"/>
      <c r="E535" s="46"/>
      <c r="F535" s="46"/>
      <c r="G535" s="46"/>
      <c r="H535" s="46"/>
      <c r="I535" s="46"/>
      <c r="J535" s="46"/>
      <c r="K535" s="46"/>
      <c r="L535" s="46"/>
      <c r="M535" s="46"/>
      <c r="N535" s="46"/>
      <c r="O535" s="46"/>
      <c r="P535" s="46"/>
      <c r="Q535" s="374" t="e">
        <f t="shared" si="35"/>
        <v>#DIV/0!</v>
      </c>
      <c r="R535" s="395" t="e">
        <f t="shared" si="31"/>
        <v>#DIV/0!</v>
      </c>
      <c r="S535" s="376" t="e">
        <f t="shared" si="36"/>
        <v>#DIV/0!</v>
      </c>
    </row>
    <row r="536" spans="1:19" ht="32.1" customHeight="1" x14ac:dyDescent="0.2">
      <c r="A536" s="385" t="s">
        <v>220</v>
      </c>
      <c r="B536" s="379" t="s">
        <v>4519</v>
      </c>
      <c r="C536" s="472" t="s">
        <v>4520</v>
      </c>
      <c r="D536" s="485"/>
      <c r="E536" s="46">
        <v>0</v>
      </c>
      <c r="F536" s="46"/>
      <c r="G536" s="46"/>
      <c r="H536" s="46"/>
      <c r="I536" s="46"/>
      <c r="J536" s="46"/>
      <c r="K536" s="46">
        <v>0</v>
      </c>
      <c r="L536" s="46"/>
      <c r="M536" s="46"/>
      <c r="N536" s="46"/>
      <c r="O536" s="46"/>
      <c r="P536" s="46"/>
      <c r="Q536" s="374">
        <f t="shared" si="35"/>
        <v>0</v>
      </c>
      <c r="R536" s="395" t="str">
        <f t="shared" si="31"/>
        <v>SI</v>
      </c>
      <c r="S536" s="376" t="str">
        <f t="shared" si="36"/>
        <v>Sin Riesgo</v>
      </c>
    </row>
    <row r="537" spans="1:19" ht="32.1" customHeight="1" x14ac:dyDescent="0.2">
      <c r="A537" s="385" t="s">
        <v>220</v>
      </c>
      <c r="B537" s="379" t="s">
        <v>4521</v>
      </c>
      <c r="C537" s="472" t="s">
        <v>4522</v>
      </c>
      <c r="D537" s="485"/>
      <c r="E537" s="46"/>
      <c r="F537" s="46">
        <v>0</v>
      </c>
      <c r="G537" s="46"/>
      <c r="H537" s="46"/>
      <c r="I537" s="46"/>
      <c r="J537" s="46"/>
      <c r="K537" s="46"/>
      <c r="L537" s="46">
        <v>0</v>
      </c>
      <c r="M537" s="46"/>
      <c r="N537" s="46"/>
      <c r="O537" s="46"/>
      <c r="P537" s="46"/>
      <c r="Q537" s="374">
        <f t="shared" si="35"/>
        <v>0</v>
      </c>
      <c r="R537" s="395" t="str">
        <f t="shared" si="31"/>
        <v>SI</v>
      </c>
      <c r="S537" s="376" t="str">
        <f t="shared" si="36"/>
        <v>Sin Riesgo</v>
      </c>
    </row>
    <row r="538" spans="1:19" ht="32.1" customHeight="1" x14ac:dyDescent="0.2">
      <c r="A538" s="385" t="s">
        <v>220</v>
      </c>
      <c r="B538" s="379" t="s">
        <v>4523</v>
      </c>
      <c r="C538" s="472" t="s">
        <v>4524</v>
      </c>
      <c r="D538" s="485"/>
      <c r="E538" s="46"/>
      <c r="F538" s="46"/>
      <c r="G538" s="46">
        <v>0</v>
      </c>
      <c r="H538" s="46"/>
      <c r="I538" s="46"/>
      <c r="J538" s="46"/>
      <c r="K538" s="46"/>
      <c r="L538" s="46"/>
      <c r="M538" s="46">
        <v>0</v>
      </c>
      <c r="N538" s="46"/>
      <c r="O538" s="46"/>
      <c r="P538" s="46"/>
      <c r="Q538" s="374">
        <f t="shared" si="35"/>
        <v>0</v>
      </c>
      <c r="R538" s="395" t="str">
        <f t="shared" si="31"/>
        <v>SI</v>
      </c>
      <c r="S538" s="376" t="str">
        <f t="shared" si="36"/>
        <v>Sin Riesgo</v>
      </c>
    </row>
    <row r="539" spans="1:19" ht="32.1" customHeight="1" x14ac:dyDescent="0.2">
      <c r="A539" s="385" t="s">
        <v>220</v>
      </c>
      <c r="B539" s="379" t="s">
        <v>4525</v>
      </c>
      <c r="C539" s="472" t="s">
        <v>4526</v>
      </c>
      <c r="D539" s="485"/>
      <c r="E539" s="46"/>
      <c r="F539" s="46"/>
      <c r="G539" s="46"/>
      <c r="H539" s="46">
        <v>0</v>
      </c>
      <c r="I539" s="46"/>
      <c r="J539" s="46"/>
      <c r="K539" s="46"/>
      <c r="L539" s="46"/>
      <c r="M539" s="46"/>
      <c r="N539" s="46">
        <v>0</v>
      </c>
      <c r="O539" s="46"/>
      <c r="P539" s="46"/>
      <c r="Q539" s="374">
        <f t="shared" si="35"/>
        <v>0</v>
      </c>
      <c r="R539" s="395" t="str">
        <f t="shared" si="31"/>
        <v>SI</v>
      </c>
      <c r="S539" s="376" t="str">
        <f t="shared" si="36"/>
        <v>Sin Riesgo</v>
      </c>
    </row>
    <row r="540" spans="1:19" ht="32.1" customHeight="1" x14ac:dyDescent="0.2">
      <c r="A540" s="385" t="s">
        <v>220</v>
      </c>
      <c r="B540" s="379" t="s">
        <v>4527</v>
      </c>
      <c r="C540" s="472" t="s">
        <v>4528</v>
      </c>
      <c r="D540" s="485"/>
      <c r="E540" s="46"/>
      <c r="F540" s="46"/>
      <c r="G540" s="46"/>
      <c r="H540" s="46"/>
      <c r="I540" s="46">
        <v>0</v>
      </c>
      <c r="J540" s="46"/>
      <c r="K540" s="46"/>
      <c r="L540" s="46"/>
      <c r="M540" s="46"/>
      <c r="N540" s="46"/>
      <c r="O540" s="46">
        <v>0</v>
      </c>
      <c r="P540" s="46"/>
      <c r="Q540" s="374">
        <f t="shared" si="35"/>
        <v>0</v>
      </c>
      <c r="R540" s="395" t="str">
        <f t="shared" si="31"/>
        <v>SI</v>
      </c>
      <c r="S540" s="376" t="str">
        <f t="shared" si="36"/>
        <v>Sin Riesgo</v>
      </c>
    </row>
    <row r="541" spans="1:19" ht="32.1" customHeight="1" x14ac:dyDescent="0.2">
      <c r="A541" s="385" t="s">
        <v>220</v>
      </c>
      <c r="B541" s="379" t="s">
        <v>4529</v>
      </c>
      <c r="C541" s="472" t="s">
        <v>4530</v>
      </c>
      <c r="D541" s="485"/>
      <c r="E541" s="46"/>
      <c r="F541" s="46"/>
      <c r="G541" s="46"/>
      <c r="H541" s="46"/>
      <c r="I541" s="46"/>
      <c r="J541" s="46">
        <v>0</v>
      </c>
      <c r="K541" s="46"/>
      <c r="L541" s="46"/>
      <c r="M541" s="46"/>
      <c r="N541" s="46"/>
      <c r="O541" s="46"/>
      <c r="P541" s="46">
        <v>0</v>
      </c>
      <c r="Q541" s="374">
        <f t="shared" si="35"/>
        <v>0</v>
      </c>
      <c r="R541" s="395" t="str">
        <f t="shared" si="31"/>
        <v>SI</v>
      </c>
      <c r="S541" s="376" t="str">
        <f t="shared" si="36"/>
        <v>Sin Riesgo</v>
      </c>
    </row>
    <row r="542" spans="1:19" ht="32.1" customHeight="1" x14ac:dyDescent="0.2">
      <c r="A542" s="385" t="s">
        <v>220</v>
      </c>
      <c r="B542" s="379" t="s">
        <v>1426</v>
      </c>
      <c r="C542" s="472" t="s">
        <v>1418</v>
      </c>
      <c r="D542" s="485">
        <v>49</v>
      </c>
      <c r="E542" s="46">
        <v>0</v>
      </c>
      <c r="F542" s="46">
        <v>0</v>
      </c>
      <c r="G542" s="46"/>
      <c r="H542" s="46"/>
      <c r="I542" s="46"/>
      <c r="J542" s="46"/>
      <c r="K542" s="46">
        <v>0</v>
      </c>
      <c r="L542" s="46">
        <v>0</v>
      </c>
      <c r="M542" s="46"/>
      <c r="N542" s="46"/>
      <c r="O542" s="46"/>
      <c r="P542" s="46"/>
      <c r="Q542" s="374">
        <f t="shared" si="35"/>
        <v>0</v>
      </c>
      <c r="R542" s="395" t="str">
        <f t="shared" si="31"/>
        <v>SI</v>
      </c>
      <c r="S542" s="376" t="str">
        <f t="shared" si="36"/>
        <v>Sin Riesgo</v>
      </c>
    </row>
    <row r="543" spans="1:19" ht="32.1" customHeight="1" x14ac:dyDescent="0.2">
      <c r="A543" s="385" t="s">
        <v>220</v>
      </c>
      <c r="B543" s="379" t="s">
        <v>1427</v>
      </c>
      <c r="C543" s="472" t="s">
        <v>1419</v>
      </c>
      <c r="D543" s="487"/>
      <c r="E543" s="46"/>
      <c r="F543" s="46"/>
      <c r="G543" s="46"/>
      <c r="H543" s="46"/>
      <c r="I543" s="46"/>
      <c r="J543" s="46"/>
      <c r="K543" s="46"/>
      <c r="L543" s="46"/>
      <c r="M543" s="46"/>
      <c r="N543" s="46"/>
      <c r="O543" s="46"/>
      <c r="P543" s="46"/>
      <c r="Q543" s="374" t="e">
        <f t="shared" si="35"/>
        <v>#DIV/0!</v>
      </c>
      <c r="R543" s="395" t="e">
        <f t="shared" si="31"/>
        <v>#DIV/0!</v>
      </c>
      <c r="S543" s="376" t="e">
        <f t="shared" si="36"/>
        <v>#DIV/0!</v>
      </c>
    </row>
    <row r="544" spans="1:19" ht="32.1" customHeight="1" x14ac:dyDescent="0.2">
      <c r="A544" s="385" t="s">
        <v>220</v>
      </c>
      <c r="B544" s="379" t="s">
        <v>1428</v>
      </c>
      <c r="C544" s="472" t="s">
        <v>1420</v>
      </c>
      <c r="D544" s="485">
        <v>52</v>
      </c>
      <c r="E544" s="46"/>
      <c r="F544" s="46"/>
      <c r="G544" s="46"/>
      <c r="H544" s="46"/>
      <c r="I544" s="46"/>
      <c r="J544" s="46">
        <v>0</v>
      </c>
      <c r="K544" s="46"/>
      <c r="L544" s="46"/>
      <c r="M544" s="46"/>
      <c r="N544" s="46"/>
      <c r="O544" s="46"/>
      <c r="P544" s="46">
        <v>0</v>
      </c>
      <c r="Q544" s="374">
        <f t="shared" si="35"/>
        <v>0</v>
      </c>
      <c r="R544" s="395" t="str">
        <f t="shared" si="31"/>
        <v>SI</v>
      </c>
      <c r="S544" s="376" t="str">
        <f t="shared" si="36"/>
        <v>Sin Riesgo</v>
      </c>
    </row>
    <row r="545" spans="1:19" ht="32.1" customHeight="1" x14ac:dyDescent="0.2">
      <c r="A545" s="385" t="s">
        <v>220</v>
      </c>
      <c r="B545" s="379" t="s">
        <v>1429</v>
      </c>
      <c r="C545" s="472" t="s">
        <v>1421</v>
      </c>
      <c r="D545" s="485"/>
      <c r="E545" s="46"/>
      <c r="F545" s="46"/>
      <c r="G545" s="46"/>
      <c r="H545" s="46"/>
      <c r="I545" s="46"/>
      <c r="J545" s="46"/>
      <c r="K545" s="46"/>
      <c r="L545" s="46"/>
      <c r="M545" s="46"/>
      <c r="N545" s="46"/>
      <c r="O545" s="46"/>
      <c r="P545" s="46"/>
      <c r="Q545" s="374" t="e">
        <f t="shared" si="35"/>
        <v>#DIV/0!</v>
      </c>
      <c r="R545" s="395" t="e">
        <f t="shared" si="31"/>
        <v>#DIV/0!</v>
      </c>
      <c r="S545" s="376" t="e">
        <f t="shared" si="36"/>
        <v>#DIV/0!</v>
      </c>
    </row>
    <row r="546" spans="1:19" ht="32.1" customHeight="1" x14ac:dyDescent="0.2">
      <c r="A546" s="385" t="s">
        <v>220</v>
      </c>
      <c r="B546" s="379" t="s">
        <v>60</v>
      </c>
      <c r="C546" s="472" t="s">
        <v>1422</v>
      </c>
      <c r="D546" s="485"/>
      <c r="E546" s="46"/>
      <c r="F546" s="46"/>
      <c r="G546" s="46"/>
      <c r="H546" s="46"/>
      <c r="I546" s="46"/>
      <c r="J546" s="46"/>
      <c r="K546" s="46"/>
      <c r="L546" s="46"/>
      <c r="M546" s="46"/>
      <c r="N546" s="46"/>
      <c r="O546" s="46"/>
      <c r="P546" s="46"/>
      <c r="Q546" s="374" t="e">
        <f t="shared" si="35"/>
        <v>#DIV/0!</v>
      </c>
      <c r="R546" s="395" t="e">
        <f t="shared" si="31"/>
        <v>#DIV/0!</v>
      </c>
      <c r="S546" s="376" t="e">
        <f t="shared" si="36"/>
        <v>#DIV/0!</v>
      </c>
    </row>
    <row r="547" spans="1:19" ht="32.1" customHeight="1" x14ac:dyDescent="0.2">
      <c r="A547" s="385" t="s">
        <v>220</v>
      </c>
      <c r="B547" s="379" t="s">
        <v>1430</v>
      </c>
      <c r="C547" s="472" t="s">
        <v>1423</v>
      </c>
      <c r="D547" s="485">
        <v>52</v>
      </c>
      <c r="E547" s="46"/>
      <c r="F547" s="46"/>
      <c r="G547" s="46">
        <v>0</v>
      </c>
      <c r="H547" s="46">
        <v>0</v>
      </c>
      <c r="I547" s="46">
        <v>0</v>
      </c>
      <c r="J547" s="46"/>
      <c r="K547" s="46"/>
      <c r="L547" s="46"/>
      <c r="M547" s="46">
        <v>0</v>
      </c>
      <c r="N547" s="46">
        <v>0</v>
      </c>
      <c r="O547" s="46">
        <v>0</v>
      </c>
      <c r="P547" s="46"/>
      <c r="Q547" s="374">
        <f t="shared" si="35"/>
        <v>0</v>
      </c>
      <c r="R547" s="395" t="str">
        <f t="shared" si="31"/>
        <v>SI</v>
      </c>
      <c r="S547" s="376" t="str">
        <f t="shared" si="36"/>
        <v>Sin Riesgo</v>
      </c>
    </row>
    <row r="548" spans="1:19" ht="32.1" customHeight="1" x14ac:dyDescent="0.2">
      <c r="A548" s="385" t="s">
        <v>220</v>
      </c>
      <c r="B548" s="379" t="s">
        <v>1323</v>
      </c>
      <c r="C548" s="472" t="s">
        <v>1424</v>
      </c>
      <c r="D548" s="485">
        <v>195</v>
      </c>
      <c r="E548" s="46">
        <v>0</v>
      </c>
      <c r="F548" s="46">
        <v>0</v>
      </c>
      <c r="G548" s="46">
        <v>0</v>
      </c>
      <c r="H548" s="46">
        <v>0</v>
      </c>
      <c r="I548" s="46">
        <v>0</v>
      </c>
      <c r="J548" s="46">
        <v>0</v>
      </c>
      <c r="K548" s="46">
        <v>0</v>
      </c>
      <c r="L548" s="46">
        <v>0</v>
      </c>
      <c r="M548" s="46">
        <v>0</v>
      </c>
      <c r="N548" s="46">
        <v>0</v>
      </c>
      <c r="O548" s="46">
        <v>0</v>
      </c>
      <c r="P548" s="46">
        <v>0</v>
      </c>
      <c r="Q548" s="374">
        <f t="shared" si="35"/>
        <v>0</v>
      </c>
      <c r="R548" s="395" t="str">
        <f t="shared" si="31"/>
        <v>SI</v>
      </c>
      <c r="S548" s="376" t="str">
        <f t="shared" si="36"/>
        <v>Sin Riesgo</v>
      </c>
    </row>
    <row r="549" spans="1:19" ht="32.1" customHeight="1" x14ac:dyDescent="0.2">
      <c r="A549" s="385" t="s">
        <v>220</v>
      </c>
      <c r="B549" s="379" t="s">
        <v>4531</v>
      </c>
      <c r="C549" s="472" t="s">
        <v>4532</v>
      </c>
      <c r="D549" s="485"/>
      <c r="E549" s="46"/>
      <c r="F549" s="46">
        <v>0</v>
      </c>
      <c r="G549" s="46"/>
      <c r="H549" s="46">
        <v>0</v>
      </c>
      <c r="I549" s="46"/>
      <c r="J549" s="46"/>
      <c r="K549" s="46"/>
      <c r="L549" s="46">
        <v>0</v>
      </c>
      <c r="M549" s="46"/>
      <c r="N549" s="46">
        <v>0</v>
      </c>
      <c r="O549" s="46"/>
      <c r="P549" s="46"/>
      <c r="Q549" s="374">
        <f t="shared" si="35"/>
        <v>0</v>
      </c>
      <c r="R549" s="395" t="str">
        <f t="shared" si="31"/>
        <v>SI</v>
      </c>
      <c r="S549" s="376" t="str">
        <f t="shared" si="36"/>
        <v>Sin Riesgo</v>
      </c>
    </row>
    <row r="550" spans="1:19" ht="32.1" customHeight="1" x14ac:dyDescent="0.2">
      <c r="A550" s="385" t="s">
        <v>220</v>
      </c>
      <c r="B550" s="379" t="s">
        <v>4533</v>
      </c>
      <c r="C550" s="472" t="s">
        <v>4534</v>
      </c>
      <c r="D550" s="485"/>
      <c r="E550" s="46"/>
      <c r="F550" s="46"/>
      <c r="G550" s="46"/>
      <c r="H550" s="46"/>
      <c r="I550" s="46">
        <v>0</v>
      </c>
      <c r="J550" s="46"/>
      <c r="K550" s="46"/>
      <c r="L550" s="46"/>
      <c r="M550" s="46"/>
      <c r="N550" s="46"/>
      <c r="O550" s="46">
        <v>0</v>
      </c>
      <c r="P550" s="46"/>
      <c r="Q550" s="374">
        <f t="shared" si="35"/>
        <v>0</v>
      </c>
      <c r="R550" s="395" t="str">
        <f t="shared" si="31"/>
        <v>SI</v>
      </c>
      <c r="S550" s="376" t="str">
        <f t="shared" si="36"/>
        <v>Sin Riesgo</v>
      </c>
    </row>
    <row r="551" spans="1:19" ht="32.1" customHeight="1" x14ac:dyDescent="0.2">
      <c r="A551" s="385" t="s">
        <v>220</v>
      </c>
      <c r="B551" s="379" t="s">
        <v>4535</v>
      </c>
      <c r="C551" s="472" t="s">
        <v>4536</v>
      </c>
      <c r="D551" s="485"/>
      <c r="E551" s="46"/>
      <c r="F551" s="46"/>
      <c r="G551" s="46"/>
      <c r="H551" s="46"/>
      <c r="I551" s="46"/>
      <c r="J551" s="46">
        <v>0</v>
      </c>
      <c r="K551" s="46"/>
      <c r="L551" s="46"/>
      <c r="M551" s="46"/>
      <c r="N551" s="46"/>
      <c r="O551" s="46"/>
      <c r="P551" s="46">
        <v>0</v>
      </c>
      <c r="Q551" s="374">
        <f t="shared" si="35"/>
        <v>0</v>
      </c>
      <c r="R551" s="395" t="str">
        <f t="shared" si="31"/>
        <v>SI</v>
      </c>
      <c r="S551" s="376" t="str">
        <f t="shared" si="36"/>
        <v>Sin Riesgo</v>
      </c>
    </row>
    <row r="552" spans="1:19" ht="32.1" customHeight="1" x14ac:dyDescent="0.2">
      <c r="A552" s="385" t="s">
        <v>220</v>
      </c>
      <c r="B552" s="379" t="s">
        <v>4264</v>
      </c>
      <c r="C552" s="472" t="s">
        <v>4265</v>
      </c>
      <c r="D552" s="485"/>
      <c r="E552" s="46">
        <v>0</v>
      </c>
      <c r="F552" s="46"/>
      <c r="G552" s="46"/>
      <c r="H552" s="46"/>
      <c r="I552" s="46"/>
      <c r="J552" s="46">
        <v>0</v>
      </c>
      <c r="K552" s="46"/>
      <c r="L552" s="46"/>
      <c r="M552" s="46"/>
      <c r="N552" s="46"/>
      <c r="O552" s="46">
        <v>0</v>
      </c>
      <c r="P552" s="46">
        <v>0</v>
      </c>
      <c r="Q552" s="374">
        <f t="shared" si="35"/>
        <v>0</v>
      </c>
      <c r="R552" s="395" t="str">
        <f t="shared" si="31"/>
        <v>SI</v>
      </c>
      <c r="S552" s="376" t="str">
        <f t="shared" si="36"/>
        <v>Sin Riesgo</v>
      </c>
    </row>
    <row r="553" spans="1:19" ht="32.1" customHeight="1" x14ac:dyDescent="0.2">
      <c r="A553" s="385" t="s">
        <v>220</v>
      </c>
      <c r="B553" s="379" t="s">
        <v>4262</v>
      </c>
      <c r="C553" s="472" t="s">
        <v>4263</v>
      </c>
      <c r="D553" s="485"/>
      <c r="E553" s="46"/>
      <c r="F553" s="46"/>
      <c r="G553" s="46"/>
      <c r="H553" s="46"/>
      <c r="I553" s="46">
        <v>0</v>
      </c>
      <c r="J553" s="46"/>
      <c r="K553" s="46"/>
      <c r="L553" s="46"/>
      <c r="M553" s="46"/>
      <c r="N553" s="46">
        <v>0</v>
      </c>
      <c r="O553" s="46"/>
      <c r="P553" s="46"/>
      <c r="Q553" s="374">
        <f t="shared" si="35"/>
        <v>0</v>
      </c>
      <c r="R553" s="395" t="str">
        <f t="shared" si="31"/>
        <v>SI</v>
      </c>
      <c r="S553" s="376" t="str">
        <f t="shared" si="36"/>
        <v>Sin Riesgo</v>
      </c>
    </row>
    <row r="554" spans="1:19" ht="32.1" customHeight="1" x14ac:dyDescent="0.2">
      <c r="A554" s="385" t="s">
        <v>220</v>
      </c>
      <c r="B554" s="379" t="s">
        <v>4266</v>
      </c>
      <c r="C554" s="472" t="s">
        <v>4267</v>
      </c>
      <c r="D554" s="485"/>
      <c r="E554" s="46"/>
      <c r="F554" s="46"/>
      <c r="G554" s="46"/>
      <c r="H554" s="46"/>
      <c r="I554" s="46"/>
      <c r="J554" s="46"/>
      <c r="K554" s="46"/>
      <c r="L554" s="46"/>
      <c r="M554" s="46"/>
      <c r="N554" s="46"/>
      <c r="O554" s="46"/>
      <c r="P554" s="46"/>
      <c r="Q554" s="374" t="e">
        <f>AVERAGE(E554:P554)</f>
        <v>#DIV/0!</v>
      </c>
      <c r="R554" s="395" t="e">
        <f>IF(Q554&lt;5,"SI","NO")</f>
        <v>#DIV/0!</v>
      </c>
      <c r="S554" s="376" t="e">
        <f>IF(Q554&lt;5,"Sin Riesgo",IF(Q554 &lt;=14,"Bajo",IF(Q554&lt;=35,"Medio",IF(Q554&lt;=80,"Alto","Inviable Sanitariamente"))))</f>
        <v>#DIV/0!</v>
      </c>
    </row>
    <row r="555" spans="1:19" ht="32.1" customHeight="1" x14ac:dyDescent="0.2">
      <c r="A555" s="385" t="s">
        <v>220</v>
      </c>
      <c r="B555" s="379" t="s">
        <v>0</v>
      </c>
      <c r="C555" s="472" t="s">
        <v>1425</v>
      </c>
      <c r="D555" s="485">
        <v>32</v>
      </c>
      <c r="E555" s="46">
        <v>0</v>
      </c>
      <c r="F555" s="46"/>
      <c r="G555" s="46">
        <v>0</v>
      </c>
      <c r="H555" s="46"/>
      <c r="I555" s="46"/>
      <c r="J555" s="46"/>
      <c r="K555" s="46">
        <v>0</v>
      </c>
      <c r="L555" s="46"/>
      <c r="M555" s="46">
        <v>0</v>
      </c>
      <c r="N555" s="46"/>
      <c r="O555" s="46"/>
      <c r="P555" s="46"/>
      <c r="Q555" s="374">
        <f t="shared" si="35"/>
        <v>0</v>
      </c>
      <c r="R555" s="395" t="str">
        <f t="shared" si="31"/>
        <v>SI</v>
      </c>
      <c r="S555" s="376" t="str">
        <f t="shared" si="36"/>
        <v>Sin Riesgo</v>
      </c>
    </row>
    <row r="556" spans="1:19" ht="32.1" customHeight="1" x14ac:dyDescent="0.2">
      <c r="A556" s="385" t="s">
        <v>221</v>
      </c>
      <c r="B556" s="406" t="s">
        <v>1443</v>
      </c>
      <c r="C556" s="477" t="s">
        <v>1444</v>
      </c>
      <c r="D556" s="488">
        <v>801</v>
      </c>
      <c r="E556" s="46"/>
      <c r="F556" s="46"/>
      <c r="G556" s="46"/>
      <c r="H556" s="46"/>
      <c r="I556" s="46"/>
      <c r="J556" s="46"/>
      <c r="K556" s="46"/>
      <c r="L556" s="46"/>
      <c r="M556" s="46">
        <v>0</v>
      </c>
      <c r="N556" s="46">
        <v>0</v>
      </c>
      <c r="O556" s="46">
        <v>0</v>
      </c>
      <c r="P556" s="46">
        <v>0</v>
      </c>
      <c r="Q556" s="374">
        <f t="shared" si="35"/>
        <v>0</v>
      </c>
      <c r="R556" s="375" t="str">
        <f t="shared" si="31"/>
        <v>SI</v>
      </c>
      <c r="S556" s="376" t="str">
        <f t="shared" si="36"/>
        <v>Sin Riesgo</v>
      </c>
    </row>
    <row r="557" spans="1:19" ht="32.1" customHeight="1" x14ac:dyDescent="0.2">
      <c r="A557" s="385" t="s">
        <v>221</v>
      </c>
      <c r="B557" s="406" t="s">
        <v>1195</v>
      </c>
      <c r="C557" s="477" t="s">
        <v>1445</v>
      </c>
      <c r="D557" s="488">
        <v>506</v>
      </c>
      <c r="E557" s="46"/>
      <c r="F557" s="46">
        <v>54.54</v>
      </c>
      <c r="G557" s="46"/>
      <c r="H557" s="46"/>
      <c r="I557" s="46"/>
      <c r="J557" s="46"/>
      <c r="K557" s="46"/>
      <c r="L557" s="46"/>
      <c r="M557" s="46"/>
      <c r="N557" s="46">
        <v>28.61</v>
      </c>
      <c r="O557" s="46">
        <v>24</v>
      </c>
      <c r="P557" s="46"/>
      <c r="Q557" s="374">
        <f t="shared" si="35"/>
        <v>35.716666666666669</v>
      </c>
      <c r="R557" s="381" t="str">
        <f t="shared" si="31"/>
        <v>NO</v>
      </c>
      <c r="S557" s="376" t="str">
        <f t="shared" si="36"/>
        <v>Alto</v>
      </c>
    </row>
    <row r="558" spans="1:19" ht="32.1" customHeight="1" x14ac:dyDescent="0.2">
      <c r="A558" s="385" t="s">
        <v>221</v>
      </c>
      <c r="B558" s="406" t="s">
        <v>1446</v>
      </c>
      <c r="C558" s="477" t="s">
        <v>1447</v>
      </c>
      <c r="D558" s="488">
        <v>150</v>
      </c>
      <c r="E558" s="46"/>
      <c r="F558" s="46"/>
      <c r="G558" s="46"/>
      <c r="H558" s="46"/>
      <c r="I558" s="46"/>
      <c r="J558" s="46"/>
      <c r="K558" s="46"/>
      <c r="L558" s="46"/>
      <c r="M558" s="46"/>
      <c r="N558" s="46">
        <v>97.35</v>
      </c>
      <c r="O558" s="46"/>
      <c r="P558" s="46"/>
      <c r="Q558" s="374">
        <f t="shared" si="35"/>
        <v>97.35</v>
      </c>
      <c r="R558" s="381" t="str">
        <f t="shared" si="31"/>
        <v>NO</v>
      </c>
      <c r="S558" s="376" t="str">
        <f t="shared" si="36"/>
        <v>Inviable Sanitariamente</v>
      </c>
    </row>
    <row r="559" spans="1:19" ht="32.1" customHeight="1" x14ac:dyDescent="0.2">
      <c r="A559" s="385" t="s">
        <v>221</v>
      </c>
      <c r="B559" s="406" t="s">
        <v>1448</v>
      </c>
      <c r="C559" s="477" t="s">
        <v>1449</v>
      </c>
      <c r="D559" s="488">
        <v>110</v>
      </c>
      <c r="E559" s="46"/>
      <c r="F559" s="46"/>
      <c r="G559" s="46">
        <v>53</v>
      </c>
      <c r="H559" s="46"/>
      <c r="I559" s="46"/>
      <c r="J559" s="46">
        <v>53</v>
      </c>
      <c r="K559" s="46"/>
      <c r="L559" s="46"/>
      <c r="M559" s="46"/>
      <c r="N559" s="46"/>
      <c r="O559" s="46"/>
      <c r="P559" s="46"/>
      <c r="Q559" s="374">
        <f t="shared" si="35"/>
        <v>53</v>
      </c>
      <c r="R559" s="381" t="str">
        <f t="shared" si="31"/>
        <v>NO</v>
      </c>
      <c r="S559" s="376" t="str">
        <f t="shared" si="36"/>
        <v>Alto</v>
      </c>
    </row>
    <row r="560" spans="1:19" ht="32.1" customHeight="1" x14ac:dyDescent="0.2">
      <c r="A560" s="385" t="s">
        <v>221</v>
      </c>
      <c r="B560" s="406" t="s">
        <v>1237</v>
      </c>
      <c r="C560" s="477" t="s">
        <v>1450</v>
      </c>
      <c r="D560" s="488">
        <v>105</v>
      </c>
      <c r="E560" s="46"/>
      <c r="F560" s="46"/>
      <c r="G560" s="46">
        <v>53</v>
      </c>
      <c r="H560" s="46"/>
      <c r="I560" s="46"/>
      <c r="J560" s="46">
        <v>53</v>
      </c>
      <c r="K560" s="46"/>
      <c r="L560" s="46"/>
      <c r="M560" s="46"/>
      <c r="N560" s="46"/>
      <c r="O560" s="46"/>
      <c r="P560" s="46">
        <v>97.4</v>
      </c>
      <c r="Q560" s="374">
        <f t="shared" si="35"/>
        <v>67.8</v>
      </c>
      <c r="R560" s="381" t="str">
        <f t="shared" si="31"/>
        <v>NO</v>
      </c>
      <c r="S560" s="376" t="str">
        <f t="shared" si="36"/>
        <v>Alto</v>
      </c>
    </row>
    <row r="561" spans="1:19" ht="32.1" customHeight="1" x14ac:dyDescent="0.2">
      <c r="A561" s="385" t="s">
        <v>221</v>
      </c>
      <c r="B561" s="406" t="s">
        <v>1451</v>
      </c>
      <c r="C561" s="477" t="s">
        <v>1452</v>
      </c>
      <c r="D561" s="488">
        <v>280</v>
      </c>
      <c r="E561" s="46"/>
      <c r="F561" s="46">
        <v>93.5</v>
      </c>
      <c r="G561" s="46"/>
      <c r="H561" s="46">
        <v>93.5</v>
      </c>
      <c r="I561" s="46"/>
      <c r="J561" s="46"/>
      <c r="K561" s="46"/>
      <c r="L561" s="46"/>
      <c r="M561" s="46"/>
      <c r="N561" s="46"/>
      <c r="O561" s="46"/>
      <c r="P561" s="46"/>
      <c r="Q561" s="374">
        <f t="shared" si="35"/>
        <v>93.5</v>
      </c>
      <c r="R561" s="381" t="str">
        <f t="shared" si="31"/>
        <v>NO</v>
      </c>
      <c r="S561" s="376" t="str">
        <f t="shared" si="36"/>
        <v>Inviable Sanitariamente</v>
      </c>
    </row>
    <row r="562" spans="1:19" ht="32.1" customHeight="1" x14ac:dyDescent="0.2">
      <c r="A562" s="385" t="s">
        <v>221</v>
      </c>
      <c r="B562" s="406" t="s">
        <v>843</v>
      </c>
      <c r="C562" s="477" t="s">
        <v>1453</v>
      </c>
      <c r="D562" s="488">
        <v>92</v>
      </c>
      <c r="E562" s="46"/>
      <c r="F562" s="46"/>
      <c r="G562" s="46"/>
      <c r="H562" s="46"/>
      <c r="I562" s="46"/>
      <c r="J562" s="46"/>
      <c r="K562" s="46"/>
      <c r="L562" s="46">
        <v>88</v>
      </c>
      <c r="M562" s="46"/>
      <c r="N562" s="46"/>
      <c r="O562" s="46">
        <v>97.6</v>
      </c>
      <c r="P562" s="46"/>
      <c r="Q562" s="374">
        <f t="shared" si="35"/>
        <v>92.8</v>
      </c>
      <c r="R562" s="381" t="str">
        <f t="shared" si="31"/>
        <v>NO</v>
      </c>
      <c r="S562" s="376" t="str">
        <f t="shared" si="36"/>
        <v>Inviable Sanitariamente</v>
      </c>
    </row>
    <row r="563" spans="1:19" ht="32.1" customHeight="1" x14ac:dyDescent="0.2">
      <c r="A563" s="385" t="s">
        <v>221</v>
      </c>
      <c r="B563" s="406" t="s">
        <v>1441</v>
      </c>
      <c r="C563" s="477" t="s">
        <v>1454</v>
      </c>
      <c r="D563" s="488">
        <v>56</v>
      </c>
      <c r="E563" s="46"/>
      <c r="F563" s="46"/>
      <c r="G563" s="46">
        <v>53</v>
      </c>
      <c r="H563" s="46"/>
      <c r="I563" s="46"/>
      <c r="J563" s="46">
        <v>53</v>
      </c>
      <c r="K563" s="46"/>
      <c r="L563" s="46"/>
      <c r="M563" s="46"/>
      <c r="N563" s="46"/>
      <c r="O563" s="46"/>
      <c r="P563" s="46"/>
      <c r="Q563" s="374">
        <f t="shared" si="35"/>
        <v>53</v>
      </c>
      <c r="R563" s="381" t="str">
        <f t="shared" si="31"/>
        <v>NO</v>
      </c>
      <c r="S563" s="376" t="str">
        <f t="shared" si="36"/>
        <v>Alto</v>
      </c>
    </row>
    <row r="564" spans="1:19" ht="32.1" customHeight="1" x14ac:dyDescent="0.2">
      <c r="A564" s="385" t="s">
        <v>221</v>
      </c>
      <c r="B564" s="406" t="s">
        <v>1455</v>
      </c>
      <c r="C564" s="477" t="s">
        <v>1456</v>
      </c>
      <c r="D564" s="488">
        <v>20</v>
      </c>
      <c r="E564" s="46"/>
      <c r="F564" s="46"/>
      <c r="G564" s="46"/>
      <c r="H564" s="46"/>
      <c r="I564" s="46"/>
      <c r="J564" s="46"/>
      <c r="K564" s="46"/>
      <c r="L564" s="46"/>
      <c r="M564" s="46"/>
      <c r="N564" s="46"/>
      <c r="O564" s="46">
        <v>97.35</v>
      </c>
      <c r="P564" s="46"/>
      <c r="Q564" s="374">
        <f t="shared" si="35"/>
        <v>97.35</v>
      </c>
      <c r="R564" s="381" t="str">
        <f t="shared" si="31"/>
        <v>NO</v>
      </c>
      <c r="S564" s="376" t="str">
        <f t="shared" si="36"/>
        <v>Inviable Sanitariamente</v>
      </c>
    </row>
    <row r="565" spans="1:19" ht="32.1" customHeight="1" x14ac:dyDescent="0.2">
      <c r="A565" s="385" t="s">
        <v>221</v>
      </c>
      <c r="B565" s="406" t="s">
        <v>1457</v>
      </c>
      <c r="C565" s="477" t="s">
        <v>1458</v>
      </c>
      <c r="D565" s="488">
        <v>40</v>
      </c>
      <c r="E565" s="46"/>
      <c r="F565" s="46"/>
      <c r="G565" s="46">
        <v>26.5</v>
      </c>
      <c r="H565" s="46"/>
      <c r="I565" s="46"/>
      <c r="J565" s="46"/>
      <c r="K565" s="46"/>
      <c r="L565" s="46"/>
      <c r="M565" s="46"/>
      <c r="N565" s="46">
        <v>97</v>
      </c>
      <c r="O565" s="46"/>
      <c r="P565" s="46"/>
      <c r="Q565" s="374">
        <f t="shared" si="35"/>
        <v>61.75</v>
      </c>
      <c r="R565" s="381" t="str">
        <f t="shared" ref="R565:R572" si="37">IF(Q565&lt;5,"SI","NO")</f>
        <v>NO</v>
      </c>
      <c r="S565" s="376" t="str">
        <f t="shared" si="36"/>
        <v>Alto</v>
      </c>
    </row>
    <row r="566" spans="1:19" ht="32.1" customHeight="1" x14ac:dyDescent="0.2">
      <c r="A566" s="385" t="s">
        <v>221</v>
      </c>
      <c r="B566" s="406" t="s">
        <v>1459</v>
      </c>
      <c r="C566" s="477" t="s">
        <v>1460</v>
      </c>
      <c r="D566" s="488">
        <v>56</v>
      </c>
      <c r="E566" s="46"/>
      <c r="F566" s="46"/>
      <c r="G566" s="46"/>
      <c r="H566" s="46"/>
      <c r="I566" s="46"/>
      <c r="J566" s="46"/>
      <c r="K566" s="46"/>
      <c r="L566" s="46"/>
      <c r="M566" s="46"/>
      <c r="N566" s="46">
        <v>97.35</v>
      </c>
      <c r="O566" s="46"/>
      <c r="P566" s="46"/>
      <c r="Q566" s="374">
        <f t="shared" si="35"/>
        <v>97.35</v>
      </c>
      <c r="R566" s="381" t="str">
        <f t="shared" si="37"/>
        <v>NO</v>
      </c>
      <c r="S566" s="376" t="str">
        <f t="shared" si="36"/>
        <v>Inviable Sanitariamente</v>
      </c>
    </row>
    <row r="567" spans="1:19" ht="32.1" customHeight="1" x14ac:dyDescent="0.2">
      <c r="A567" s="385" t="s">
        <v>221</v>
      </c>
      <c r="B567" s="406" t="s">
        <v>1461</v>
      </c>
      <c r="C567" s="477" t="s">
        <v>1462</v>
      </c>
      <c r="D567" s="488">
        <v>300</v>
      </c>
      <c r="E567" s="46"/>
      <c r="F567" s="46">
        <v>97.3</v>
      </c>
      <c r="G567" s="46"/>
      <c r="H567" s="46"/>
      <c r="I567" s="46"/>
      <c r="J567" s="46"/>
      <c r="K567" s="46"/>
      <c r="L567" s="46"/>
      <c r="M567" s="46"/>
      <c r="N567" s="46"/>
      <c r="O567" s="46"/>
      <c r="P567" s="46"/>
      <c r="Q567" s="374">
        <f t="shared" si="35"/>
        <v>97.3</v>
      </c>
      <c r="R567" s="381" t="str">
        <f t="shared" si="37"/>
        <v>NO</v>
      </c>
      <c r="S567" s="376" t="str">
        <f t="shared" si="36"/>
        <v>Inviable Sanitariamente</v>
      </c>
    </row>
    <row r="568" spans="1:19" ht="32.1" customHeight="1" x14ac:dyDescent="0.2">
      <c r="A568" s="385" t="s">
        <v>221</v>
      </c>
      <c r="B568" s="406" t="s">
        <v>9</v>
      </c>
      <c r="C568" s="477" t="s">
        <v>1463</v>
      </c>
      <c r="D568" s="488">
        <v>85</v>
      </c>
      <c r="E568" s="46"/>
      <c r="F568" s="46"/>
      <c r="G568" s="46"/>
      <c r="H568" s="46"/>
      <c r="I568" s="46"/>
      <c r="J568" s="46"/>
      <c r="K568" s="46"/>
      <c r="L568" s="46"/>
      <c r="M568" s="46">
        <v>97.35</v>
      </c>
      <c r="N568" s="46"/>
      <c r="O568" s="46"/>
      <c r="P568" s="46"/>
      <c r="Q568" s="374">
        <f t="shared" si="35"/>
        <v>97.35</v>
      </c>
      <c r="R568" s="381" t="str">
        <f t="shared" si="37"/>
        <v>NO</v>
      </c>
      <c r="S568" s="376" t="str">
        <f t="shared" si="36"/>
        <v>Inviable Sanitariamente</v>
      </c>
    </row>
    <row r="569" spans="1:19" ht="32.1" customHeight="1" x14ac:dyDescent="0.2">
      <c r="A569" s="385" t="s">
        <v>221</v>
      </c>
      <c r="B569" s="406" t="s">
        <v>1464</v>
      </c>
      <c r="C569" s="477" t="s">
        <v>1465</v>
      </c>
      <c r="D569" s="488">
        <v>128</v>
      </c>
      <c r="E569" s="46"/>
      <c r="F569" s="46">
        <v>93.5</v>
      </c>
      <c r="G569" s="46"/>
      <c r="H569" s="46">
        <v>93.5</v>
      </c>
      <c r="I569" s="46"/>
      <c r="J569" s="46"/>
      <c r="K569" s="46"/>
      <c r="L569" s="46"/>
      <c r="M569" s="46"/>
      <c r="N569" s="46"/>
      <c r="O569" s="46"/>
      <c r="P569" s="46"/>
      <c r="Q569" s="374">
        <f t="shared" si="35"/>
        <v>93.5</v>
      </c>
      <c r="R569" s="381" t="str">
        <f t="shared" si="37"/>
        <v>NO</v>
      </c>
      <c r="S569" s="376" t="str">
        <f t="shared" si="36"/>
        <v>Inviable Sanitariamente</v>
      </c>
    </row>
    <row r="570" spans="1:19" ht="32.1" customHeight="1" x14ac:dyDescent="0.2">
      <c r="A570" s="385" t="s">
        <v>221</v>
      </c>
      <c r="B570" s="406" t="s">
        <v>1466</v>
      </c>
      <c r="C570" s="477" t="s">
        <v>1467</v>
      </c>
      <c r="D570" s="488"/>
      <c r="E570" s="46"/>
      <c r="F570" s="46"/>
      <c r="G570" s="46"/>
      <c r="H570" s="46"/>
      <c r="I570" s="46"/>
      <c r="J570" s="46"/>
      <c r="K570" s="46"/>
      <c r="L570" s="46"/>
      <c r="M570" s="46"/>
      <c r="N570" s="46"/>
      <c r="O570" s="46"/>
      <c r="P570" s="46"/>
      <c r="Q570" s="374" t="e">
        <f t="shared" si="35"/>
        <v>#DIV/0!</v>
      </c>
      <c r="R570" s="375" t="e">
        <f t="shared" si="37"/>
        <v>#DIV/0!</v>
      </c>
      <c r="S570" s="376" t="e">
        <f t="shared" si="36"/>
        <v>#DIV/0!</v>
      </c>
    </row>
    <row r="571" spans="1:19" ht="32.1" customHeight="1" x14ac:dyDescent="0.2">
      <c r="A571" s="385" t="s">
        <v>221</v>
      </c>
      <c r="B571" s="406" t="s">
        <v>1038</v>
      </c>
      <c r="C571" s="477" t="s">
        <v>1468</v>
      </c>
      <c r="D571" s="488"/>
      <c r="E571" s="46"/>
      <c r="F571" s="46"/>
      <c r="G571" s="46"/>
      <c r="H571" s="46"/>
      <c r="I571" s="46"/>
      <c r="J571" s="46"/>
      <c r="K571" s="46"/>
      <c r="L571" s="46"/>
      <c r="M571" s="46"/>
      <c r="N571" s="46"/>
      <c r="O571" s="46"/>
      <c r="P571" s="46">
        <v>97.4</v>
      </c>
      <c r="Q571" s="374">
        <f t="shared" si="35"/>
        <v>97.4</v>
      </c>
      <c r="R571" s="381" t="str">
        <f t="shared" si="37"/>
        <v>NO</v>
      </c>
      <c r="S571" s="376" t="str">
        <f t="shared" si="36"/>
        <v>Inviable Sanitariamente</v>
      </c>
    </row>
    <row r="572" spans="1:19" s="153" customFormat="1" ht="32.1" customHeight="1" x14ac:dyDescent="0.2">
      <c r="A572" s="385" t="s">
        <v>221</v>
      </c>
      <c r="B572" s="406" t="s">
        <v>1469</v>
      </c>
      <c r="C572" s="477" t="s">
        <v>1470</v>
      </c>
      <c r="D572" s="489">
        <v>180</v>
      </c>
      <c r="E572" s="46"/>
      <c r="F572" s="46"/>
      <c r="G572" s="46">
        <v>53</v>
      </c>
      <c r="H572" s="46"/>
      <c r="I572" s="46"/>
      <c r="J572" s="46">
        <v>53</v>
      </c>
      <c r="K572" s="46"/>
      <c r="L572" s="46"/>
      <c r="M572" s="46"/>
      <c r="N572" s="46"/>
      <c r="O572" s="46"/>
      <c r="P572" s="46">
        <v>53</v>
      </c>
      <c r="Q572" s="374">
        <f t="shared" si="35"/>
        <v>53</v>
      </c>
      <c r="R572" s="381" t="str">
        <f t="shared" si="37"/>
        <v>NO</v>
      </c>
      <c r="S572" s="376" t="str">
        <f t="shared" si="36"/>
        <v>Alto</v>
      </c>
    </row>
    <row r="573" spans="1:19" ht="32.1" customHeight="1" x14ac:dyDescent="0.2">
      <c r="A573" s="150"/>
      <c r="B573" s="114"/>
      <c r="C573" s="151"/>
      <c r="D573" s="150"/>
      <c r="E573" s="114"/>
      <c r="F573" s="114"/>
      <c r="G573" s="114"/>
      <c r="H573" s="114"/>
      <c r="I573" s="114"/>
      <c r="J573" s="114"/>
      <c r="K573" s="114"/>
      <c r="L573" s="114"/>
      <c r="M573" s="114"/>
      <c r="N573" s="114"/>
      <c r="O573" s="114"/>
      <c r="P573" s="114"/>
      <c r="Q573" s="133"/>
      <c r="R573" s="134"/>
      <c r="S573" s="135"/>
    </row>
    <row r="574" spans="1:19" ht="36.75" customHeight="1" x14ac:dyDescent="0.2">
      <c r="A574" s="272" t="s">
        <v>4123</v>
      </c>
      <c r="B574" s="272" t="s">
        <v>4184</v>
      </c>
      <c r="C574" s="324" t="s">
        <v>4582</v>
      </c>
      <c r="D574" s="325"/>
      <c r="E574" s="325"/>
      <c r="F574" s="325"/>
      <c r="G574" s="325"/>
      <c r="H574" s="325"/>
      <c r="I574" s="325"/>
      <c r="J574" s="325"/>
      <c r="K574" s="325"/>
      <c r="L574" s="325"/>
      <c r="M574" s="325"/>
      <c r="N574" s="325"/>
      <c r="O574" s="325"/>
      <c r="P574" s="325"/>
      <c r="Q574" s="325"/>
      <c r="R574" s="325"/>
      <c r="S574" s="325"/>
    </row>
    <row r="575" spans="1:19" ht="36.75" customHeight="1" x14ac:dyDescent="0.2">
      <c r="A575" s="276" t="s">
        <v>4071</v>
      </c>
      <c r="B575" s="278">
        <f>COUNTIF(E12:P572,"&lt;=5")</f>
        <v>854</v>
      </c>
      <c r="C575" s="324"/>
      <c r="D575" s="325"/>
      <c r="E575" s="325"/>
      <c r="F575" s="325"/>
      <c r="G575" s="325"/>
      <c r="H575" s="325"/>
      <c r="I575" s="325"/>
      <c r="J575" s="325"/>
      <c r="K575" s="325"/>
      <c r="L575" s="325"/>
      <c r="M575" s="325"/>
      <c r="N575" s="325"/>
      <c r="O575" s="325"/>
      <c r="P575" s="325"/>
      <c r="Q575" s="325"/>
      <c r="R575" s="325"/>
      <c r="S575" s="325"/>
    </row>
    <row r="576" spans="1:19" ht="36.75" customHeight="1" x14ac:dyDescent="0.2">
      <c r="A576" s="263" t="s">
        <v>4072</v>
      </c>
      <c r="B576" s="275">
        <f>COUNTIFS(E12:P572,"&gt;5",E12:P572,"&lt;=14")</f>
        <v>35</v>
      </c>
      <c r="C576" s="116" t="s">
        <v>4581</v>
      </c>
      <c r="D576" s="150"/>
      <c r="E576" s="114"/>
      <c r="F576" s="114"/>
      <c r="G576" s="114"/>
      <c r="H576" s="114"/>
      <c r="I576" s="114"/>
      <c r="J576" s="114"/>
      <c r="K576" s="114"/>
      <c r="L576" s="114"/>
      <c r="M576" s="114"/>
      <c r="N576" s="114"/>
      <c r="O576" s="114"/>
      <c r="P576" s="114"/>
      <c r="Q576" s="133"/>
      <c r="R576" s="134"/>
      <c r="S576" s="135"/>
    </row>
    <row r="577" spans="1:19" ht="36.75" customHeight="1" x14ac:dyDescent="0.2">
      <c r="A577" s="264" t="s">
        <v>4073</v>
      </c>
      <c r="B577" s="270">
        <f>COUNTIFS(E12:P572,"&gt;14",E12:P572,"&lt;=35")</f>
        <v>116</v>
      </c>
      <c r="C577" s="114" t="s">
        <v>4583</v>
      </c>
      <c r="D577" s="150"/>
      <c r="E577" s="114"/>
      <c r="F577" s="114"/>
      <c r="G577" s="114"/>
      <c r="H577" s="114"/>
      <c r="I577" s="114"/>
      <c r="J577" s="114"/>
      <c r="K577" s="114"/>
      <c r="L577" s="114"/>
      <c r="M577" s="114"/>
      <c r="N577" s="114"/>
      <c r="O577" s="114"/>
      <c r="P577" s="114"/>
      <c r="Q577" s="133"/>
      <c r="R577" s="134"/>
      <c r="S577" s="135"/>
    </row>
    <row r="578" spans="1:19" ht="36.75" customHeight="1" x14ac:dyDescent="0.2">
      <c r="A578" s="265" t="s">
        <v>4074</v>
      </c>
      <c r="B578" s="270">
        <f>COUNTIFS(E12:P572,"&gt;35",E12:P572,"&lt;=80")</f>
        <v>110</v>
      </c>
      <c r="C578" s="151"/>
      <c r="D578" s="150"/>
      <c r="E578" s="114"/>
      <c r="F578" s="114"/>
      <c r="G578" s="114"/>
      <c r="H578" s="114"/>
      <c r="I578" s="114"/>
      <c r="J578" s="114"/>
      <c r="K578" s="114"/>
      <c r="L578" s="114"/>
      <c r="M578" s="114"/>
      <c r="N578" s="114"/>
      <c r="O578" s="114"/>
      <c r="P578" s="114"/>
      <c r="Q578" s="133"/>
      <c r="R578" s="134"/>
      <c r="S578" s="135"/>
    </row>
    <row r="579" spans="1:19" ht="36.75" customHeight="1" x14ac:dyDescent="0.2">
      <c r="A579" s="266" t="s">
        <v>4075</v>
      </c>
      <c r="B579" s="270">
        <f>COUNTIFS(E12:P572,"&gt;80",E12:P572,"&lt;=100")</f>
        <v>235</v>
      </c>
      <c r="C579" s="151"/>
      <c r="D579" s="150"/>
      <c r="E579" s="114"/>
      <c r="F579" s="114"/>
      <c r="G579" s="114"/>
      <c r="H579" s="114"/>
      <c r="I579" s="114"/>
      <c r="J579" s="114"/>
      <c r="K579" s="114"/>
      <c r="L579" s="114"/>
      <c r="M579" s="114"/>
      <c r="N579" s="114"/>
      <c r="O579" s="114"/>
      <c r="P579" s="114"/>
      <c r="Q579" s="133"/>
      <c r="R579" s="134"/>
      <c r="S579" s="135"/>
    </row>
    <row r="580" spans="1:19" ht="36.75" customHeight="1" x14ac:dyDescent="0.2">
      <c r="A580" s="285" t="s">
        <v>4076</v>
      </c>
      <c r="B580" s="286">
        <f>COUNT(E12:P572)</f>
        <v>1350</v>
      </c>
      <c r="C580" s="151"/>
      <c r="D580" s="150"/>
      <c r="E580" s="114"/>
      <c r="F580" s="114"/>
      <c r="G580" s="114"/>
      <c r="H580" s="114"/>
      <c r="I580" s="114"/>
      <c r="J580" s="114"/>
      <c r="K580" s="114"/>
      <c r="L580" s="114"/>
      <c r="M580" s="114"/>
      <c r="N580" s="114"/>
      <c r="O580" s="114"/>
      <c r="P580" s="114"/>
      <c r="Q580" s="133"/>
      <c r="R580" s="134"/>
      <c r="S580" s="135"/>
    </row>
    <row r="581" spans="1:19" ht="36.75" customHeight="1" x14ac:dyDescent="0.2">
      <c r="A581" s="269" t="s">
        <v>4078</v>
      </c>
      <c r="B581" s="271">
        <f>B580-B575</f>
        <v>496</v>
      </c>
      <c r="C581" s="151"/>
      <c r="D581" s="150"/>
      <c r="E581" s="114"/>
      <c r="F581" s="114"/>
      <c r="G581" s="114"/>
      <c r="H581" s="114"/>
      <c r="I581" s="114"/>
      <c r="J581" s="114"/>
      <c r="K581" s="114"/>
      <c r="L581" s="114"/>
      <c r="M581" s="114"/>
      <c r="N581" s="114"/>
      <c r="O581" s="114"/>
      <c r="P581" s="114"/>
      <c r="Q581" s="133"/>
      <c r="R581" s="134"/>
      <c r="S581" s="135"/>
    </row>
    <row r="582" spans="1:19" ht="32.1" customHeight="1" x14ac:dyDescent="0.2">
      <c r="A582" s="150"/>
      <c r="B582" s="114"/>
      <c r="C582" s="151"/>
      <c r="D582" s="150"/>
      <c r="E582" s="114"/>
      <c r="F582" s="114"/>
      <c r="G582" s="114"/>
      <c r="H582" s="114"/>
      <c r="I582" s="114"/>
      <c r="J582" s="114"/>
      <c r="K582" s="114"/>
      <c r="L582" s="114"/>
      <c r="M582" s="114"/>
      <c r="N582" s="114"/>
      <c r="O582" s="114"/>
      <c r="P582" s="114"/>
      <c r="Q582" s="133"/>
      <c r="R582" s="134"/>
      <c r="S582" s="135"/>
    </row>
    <row r="583" spans="1:19" ht="32.1" customHeight="1" x14ac:dyDescent="0.2">
      <c r="A583" s="150"/>
      <c r="B583" s="114"/>
      <c r="C583" s="151"/>
      <c r="D583" s="150"/>
      <c r="E583" s="114"/>
      <c r="F583" s="114"/>
      <c r="G583" s="114"/>
      <c r="H583" s="114"/>
      <c r="I583" s="114"/>
      <c r="J583" s="114"/>
      <c r="K583" s="114"/>
      <c r="L583" s="114"/>
      <c r="M583" s="114"/>
      <c r="N583" s="114"/>
      <c r="O583" s="114"/>
      <c r="P583" s="114"/>
      <c r="Q583" s="133"/>
      <c r="R583" s="134"/>
      <c r="S583" s="135"/>
    </row>
    <row r="584" spans="1:19" ht="32.1" customHeight="1" x14ac:dyDescent="0.2">
      <c r="A584" s="150"/>
      <c r="B584" s="114"/>
      <c r="C584" s="151"/>
      <c r="D584" s="150"/>
      <c r="E584" s="114"/>
      <c r="F584" s="114"/>
      <c r="G584" s="114"/>
      <c r="H584" s="114"/>
      <c r="I584" s="114"/>
      <c r="J584" s="114"/>
      <c r="K584" s="114"/>
      <c r="L584" s="114"/>
      <c r="M584" s="114"/>
      <c r="N584" s="114"/>
      <c r="O584" s="114"/>
      <c r="P584" s="114"/>
      <c r="Q584" s="133"/>
      <c r="R584" s="134"/>
      <c r="S584" s="135"/>
    </row>
    <row r="585" spans="1:19" ht="32.1" customHeight="1" x14ac:dyDescent="0.2">
      <c r="A585" s="150"/>
      <c r="B585" s="114"/>
      <c r="C585" s="151"/>
      <c r="D585" s="150"/>
      <c r="E585" s="114"/>
      <c r="F585" s="114"/>
      <c r="G585" s="114"/>
      <c r="H585" s="114"/>
      <c r="I585" s="114"/>
      <c r="J585" s="114"/>
      <c r="K585" s="114"/>
      <c r="L585" s="114"/>
      <c r="M585" s="114"/>
      <c r="N585" s="114"/>
      <c r="O585" s="114"/>
      <c r="P585" s="114"/>
      <c r="Q585" s="133"/>
      <c r="R585" s="134"/>
      <c r="S585" s="135"/>
    </row>
    <row r="586" spans="1:19" ht="32.1" customHeight="1" x14ac:dyDescent="0.2">
      <c r="A586" s="150"/>
      <c r="B586" s="114"/>
      <c r="C586" s="151"/>
      <c r="D586" s="150"/>
      <c r="E586" s="114"/>
      <c r="F586" s="114"/>
      <c r="G586" s="114"/>
      <c r="H586" s="114"/>
      <c r="I586" s="114"/>
      <c r="J586" s="114"/>
      <c r="K586" s="114"/>
      <c r="L586" s="114"/>
      <c r="M586" s="114"/>
      <c r="N586" s="114"/>
      <c r="O586" s="114"/>
      <c r="P586" s="114"/>
      <c r="Q586" s="133"/>
      <c r="R586" s="134"/>
      <c r="S586" s="135"/>
    </row>
    <row r="587" spans="1:19" ht="32.1" customHeight="1" x14ac:dyDescent="0.2">
      <c r="A587" s="150"/>
      <c r="B587" s="114"/>
      <c r="C587" s="151"/>
      <c r="D587" s="150"/>
      <c r="E587" s="114"/>
      <c r="F587" s="114"/>
      <c r="G587" s="114"/>
      <c r="H587" s="114"/>
      <c r="I587" s="114"/>
      <c r="J587" s="114"/>
      <c r="K587" s="114"/>
      <c r="L587" s="114"/>
      <c r="M587" s="114"/>
      <c r="N587" s="114"/>
      <c r="O587" s="114"/>
      <c r="P587" s="114"/>
      <c r="Q587" s="133"/>
      <c r="R587" s="134"/>
      <c r="S587" s="135"/>
    </row>
    <row r="588" spans="1:19" ht="32.1" customHeight="1" x14ac:dyDescent="0.2">
      <c r="A588" s="150"/>
      <c r="B588" s="114"/>
      <c r="C588" s="151"/>
      <c r="D588" s="150"/>
      <c r="E588" s="114"/>
      <c r="F588" s="114"/>
      <c r="G588" s="114"/>
      <c r="H588" s="114"/>
      <c r="I588" s="114"/>
      <c r="J588" s="114"/>
      <c r="K588" s="114"/>
      <c r="L588" s="114"/>
      <c r="M588" s="114"/>
      <c r="N588" s="114"/>
      <c r="O588" s="114"/>
      <c r="P588" s="114"/>
      <c r="Q588" s="133"/>
      <c r="R588" s="134"/>
      <c r="S588" s="135"/>
    </row>
    <row r="589" spans="1:19" ht="32.1" customHeight="1" x14ac:dyDescent="0.2">
      <c r="A589" s="150"/>
      <c r="B589" s="114"/>
      <c r="C589" s="151"/>
      <c r="D589" s="150"/>
      <c r="E589" s="114"/>
      <c r="F589" s="114"/>
      <c r="G589" s="114"/>
      <c r="H589" s="114"/>
      <c r="I589" s="114"/>
      <c r="J589" s="114"/>
      <c r="K589" s="114"/>
      <c r="L589" s="114"/>
      <c r="M589" s="114"/>
      <c r="N589" s="114"/>
      <c r="O589" s="114"/>
      <c r="P589" s="114"/>
      <c r="Q589" s="133"/>
      <c r="R589" s="134"/>
      <c r="S589" s="135"/>
    </row>
    <row r="590" spans="1:19" ht="32.1" customHeight="1" x14ac:dyDescent="0.2">
      <c r="A590" s="150"/>
      <c r="B590" s="114"/>
      <c r="C590" s="151"/>
      <c r="D590" s="150"/>
      <c r="E590" s="114"/>
      <c r="F590" s="114"/>
      <c r="G590" s="114"/>
      <c r="H590" s="114"/>
      <c r="I590" s="114"/>
      <c r="J590" s="114"/>
      <c r="K590" s="114"/>
      <c r="L590" s="114"/>
      <c r="M590" s="114"/>
      <c r="N590" s="114"/>
      <c r="O590" s="114"/>
      <c r="P590" s="114"/>
      <c r="Q590" s="133"/>
      <c r="R590" s="134"/>
      <c r="S590" s="135"/>
    </row>
    <row r="591" spans="1:19" ht="32.1" customHeight="1" x14ac:dyDescent="0.2">
      <c r="A591" s="150"/>
      <c r="B591" s="114"/>
      <c r="C591" s="151"/>
      <c r="D591" s="150"/>
      <c r="E591" s="114"/>
      <c r="F591" s="114"/>
      <c r="G591" s="114"/>
      <c r="H591" s="114"/>
      <c r="I591" s="114"/>
      <c r="J591" s="114"/>
      <c r="K591" s="114"/>
      <c r="L591" s="114"/>
      <c r="M591" s="114"/>
      <c r="N591" s="114"/>
      <c r="O591" s="114"/>
      <c r="P591" s="114"/>
      <c r="Q591" s="133"/>
      <c r="R591" s="134"/>
      <c r="S591" s="135"/>
    </row>
    <row r="592" spans="1:19" ht="32.1" customHeight="1" x14ac:dyDescent="0.2">
      <c r="A592" s="150"/>
      <c r="B592" s="114"/>
      <c r="C592" s="151"/>
      <c r="D592" s="150"/>
      <c r="E592" s="114"/>
      <c r="F592" s="114"/>
      <c r="G592" s="114"/>
      <c r="H592" s="114"/>
      <c r="I592" s="114"/>
      <c r="J592" s="114"/>
      <c r="K592" s="114"/>
      <c r="L592" s="114"/>
      <c r="M592" s="114"/>
      <c r="N592" s="114"/>
      <c r="O592" s="114"/>
      <c r="P592" s="114"/>
      <c r="Q592" s="133"/>
      <c r="R592" s="134"/>
      <c r="S592" s="135"/>
    </row>
    <row r="593" spans="1:19" ht="32.1" customHeight="1" x14ac:dyDescent="0.2">
      <c r="A593" s="150"/>
      <c r="B593" s="114"/>
      <c r="C593" s="151"/>
      <c r="D593" s="150"/>
      <c r="E593" s="114"/>
      <c r="F593" s="114"/>
      <c r="G593" s="114"/>
      <c r="H593" s="114"/>
      <c r="I593" s="114"/>
      <c r="J593" s="114"/>
      <c r="K593" s="114"/>
      <c r="L593" s="114"/>
      <c r="M593" s="114"/>
      <c r="N593" s="114"/>
      <c r="O593" s="114"/>
      <c r="P593" s="114"/>
      <c r="Q593" s="133"/>
      <c r="R593" s="134"/>
      <c r="S593" s="135"/>
    </row>
    <row r="594" spans="1:19" ht="32.1" customHeight="1" x14ac:dyDescent="0.2">
      <c r="A594" s="150"/>
      <c r="B594" s="114"/>
      <c r="C594" s="151"/>
      <c r="D594" s="150"/>
      <c r="E594" s="114"/>
      <c r="F594" s="114"/>
      <c r="G594" s="114"/>
      <c r="H594" s="114"/>
      <c r="I594" s="114"/>
      <c r="J594" s="114"/>
      <c r="K594" s="114"/>
      <c r="L594" s="114"/>
      <c r="M594" s="114"/>
      <c r="N594" s="114"/>
      <c r="O594" s="114"/>
      <c r="P594" s="114"/>
      <c r="Q594" s="133"/>
      <c r="R594" s="134"/>
      <c r="S594" s="135"/>
    </row>
    <row r="595" spans="1:19" ht="32.1" customHeight="1" x14ac:dyDescent="0.2">
      <c r="A595" s="150"/>
      <c r="B595" s="114"/>
      <c r="C595" s="151"/>
      <c r="D595" s="150"/>
      <c r="E595" s="114"/>
      <c r="F595" s="114"/>
      <c r="G595" s="114"/>
      <c r="H595" s="114"/>
      <c r="I595" s="114"/>
      <c r="J595" s="114"/>
      <c r="K595" s="114"/>
      <c r="L595" s="114"/>
      <c r="M595" s="114"/>
      <c r="N595" s="114"/>
      <c r="O595" s="114"/>
      <c r="P595" s="114"/>
      <c r="Q595" s="133"/>
      <c r="R595" s="134"/>
      <c r="S595" s="135"/>
    </row>
    <row r="596" spans="1:19" ht="32.1" customHeight="1" x14ac:dyDescent="0.2">
      <c r="A596" s="150"/>
      <c r="B596" s="114"/>
      <c r="C596" s="151"/>
      <c r="D596" s="150"/>
      <c r="E596" s="114"/>
      <c r="F596" s="114"/>
      <c r="G596" s="114"/>
      <c r="H596" s="114"/>
      <c r="I596" s="114"/>
      <c r="J596" s="114"/>
      <c r="K596" s="114"/>
      <c r="L596" s="114"/>
      <c r="M596" s="114"/>
      <c r="N596" s="114"/>
      <c r="O596" s="114"/>
      <c r="P596" s="114"/>
      <c r="Q596" s="133"/>
      <c r="R596" s="134"/>
      <c r="S596" s="135"/>
    </row>
    <row r="597" spans="1:19" ht="32.1" customHeight="1" x14ac:dyDescent="0.2">
      <c r="A597" s="150"/>
      <c r="B597" s="114"/>
      <c r="C597" s="151"/>
      <c r="D597" s="150"/>
      <c r="E597" s="114"/>
      <c r="F597" s="114"/>
      <c r="G597" s="114"/>
      <c r="H597" s="114"/>
      <c r="I597" s="114"/>
      <c r="J597" s="114"/>
      <c r="K597" s="114"/>
      <c r="L597" s="114"/>
      <c r="M597" s="114"/>
      <c r="N597" s="114"/>
      <c r="O597" s="114"/>
      <c r="P597" s="114"/>
      <c r="Q597" s="133"/>
      <c r="R597" s="134"/>
      <c r="S597" s="135"/>
    </row>
    <row r="598" spans="1:19" ht="32.1" customHeight="1" x14ac:dyDescent="0.2">
      <c r="A598" s="108"/>
      <c r="B598" s="151"/>
      <c r="C598" s="151"/>
      <c r="D598" s="152"/>
      <c r="E598" s="114"/>
      <c r="F598" s="114"/>
      <c r="G598" s="114"/>
      <c r="H598" s="114"/>
      <c r="I598" s="114"/>
      <c r="J598" s="114"/>
      <c r="K598" s="114"/>
      <c r="L598" s="114"/>
      <c r="M598" s="114"/>
      <c r="N598" s="114"/>
      <c r="O598" s="114"/>
      <c r="P598" s="114"/>
      <c r="Q598" s="133"/>
      <c r="R598" s="134"/>
      <c r="S598" s="135"/>
    </row>
    <row r="599" spans="1:19" ht="32.1" customHeight="1" x14ac:dyDescent="0.2">
      <c r="A599" s="108"/>
      <c r="B599" s="151"/>
      <c r="C599" s="151"/>
      <c r="D599" s="152"/>
      <c r="E599" s="114"/>
      <c r="F599" s="114"/>
      <c r="G599" s="114"/>
      <c r="H599" s="114"/>
      <c r="I599" s="114"/>
      <c r="J599" s="114"/>
      <c r="K599" s="114"/>
      <c r="L599" s="114"/>
      <c r="M599" s="114"/>
      <c r="N599" s="114"/>
      <c r="O599" s="114"/>
      <c r="P599" s="114"/>
      <c r="Q599" s="114"/>
      <c r="R599" s="114"/>
      <c r="S599" s="114"/>
    </row>
    <row r="600" spans="1:19" ht="32.1" customHeight="1" x14ac:dyDescent="0.2">
      <c r="A600" s="108"/>
      <c r="B600" s="151"/>
      <c r="C600" s="151"/>
      <c r="D600" s="152"/>
      <c r="E600" s="114"/>
      <c r="F600" s="114"/>
      <c r="G600" s="114"/>
      <c r="H600" s="114"/>
      <c r="I600" s="114"/>
      <c r="J600" s="114"/>
      <c r="K600" s="114"/>
      <c r="L600" s="114"/>
      <c r="M600" s="114"/>
      <c r="N600" s="114"/>
      <c r="O600" s="114"/>
      <c r="P600" s="114"/>
      <c r="Q600" s="114"/>
      <c r="R600" s="114"/>
      <c r="S600" s="114"/>
    </row>
    <row r="601" spans="1:19" ht="32.1" customHeight="1" x14ac:dyDescent="0.2">
      <c r="A601" s="108"/>
      <c r="B601" s="151"/>
      <c r="C601" s="151"/>
      <c r="D601" s="152"/>
      <c r="E601" s="114"/>
      <c r="F601" s="114"/>
      <c r="G601" s="114"/>
      <c r="H601" s="114"/>
      <c r="I601" s="114"/>
      <c r="J601" s="114"/>
      <c r="K601" s="114"/>
      <c r="L601" s="114"/>
      <c r="M601" s="114"/>
      <c r="N601" s="114"/>
      <c r="O601" s="114"/>
      <c r="P601" s="114"/>
      <c r="Q601" s="114"/>
      <c r="R601" s="114"/>
      <c r="S601" s="114"/>
    </row>
    <row r="602" spans="1:19" ht="32.1" customHeight="1" x14ac:dyDescent="0.2">
      <c r="A602" s="108"/>
      <c r="B602" s="151"/>
      <c r="C602" s="151"/>
      <c r="D602" s="152"/>
      <c r="E602" s="114"/>
      <c r="F602" s="114"/>
      <c r="G602" s="114"/>
      <c r="H602" s="114"/>
      <c r="I602" s="114"/>
      <c r="J602" s="114"/>
      <c r="K602" s="114"/>
      <c r="L602" s="114"/>
      <c r="M602" s="114"/>
      <c r="N602" s="114"/>
      <c r="O602" s="114"/>
      <c r="P602" s="114"/>
      <c r="Q602" s="114"/>
      <c r="R602" s="114"/>
      <c r="S602" s="114"/>
    </row>
    <row r="603" spans="1:19" ht="32.1" customHeight="1" x14ac:dyDescent="0.2"/>
    <row r="604" spans="1:19" ht="32.1" customHeight="1" x14ac:dyDescent="0.2"/>
    <row r="605" spans="1:19" ht="32.1" customHeight="1" x14ac:dyDescent="0.2"/>
    <row r="606" spans="1:19" ht="14.25" x14ac:dyDescent="0.2"/>
    <row r="607" spans="1:19" ht="14.25" x14ac:dyDescent="0.2"/>
    <row r="608" spans="1:19"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sheetData>
  <autoFilter ref="A11:W572">
    <sortState ref="A13:W552">
      <sortCondition ref="A11:A574"/>
    </sortState>
  </autoFilter>
  <customSheetViews>
    <customSheetView guid="{45C8AF51-29EC-46A5-AB7F-1F0634E55D82}" scale="60" hiddenRows="1" hiddenColumns="1">
      <pane xSplit="2.484076433121019" ySplit="11" topLeftCell="D14" activePane="bottomRight" state="frozenSplit"/>
      <selection pane="bottomRight" activeCell="S14" sqref="S14"/>
      <pageMargins left="0.28999999999999998" right="0.2" top="0.6692913385826772" bottom="0.9055118110236221" header="0.43" footer="0.59055118110236227"/>
      <printOptions horizontalCentered="1"/>
      <pageSetup paperSize="14" scale="75" orientation="landscape" r:id="rId1"/>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customSheetView>
    <customSheetView guid="{FCC3B493-4306-43B2-9C73-76324485DD47}" scale="60" hiddenRows="1" hiddenColumns="1">
      <pane xSplit="3" ySplit="11" topLeftCell="D407" activePane="bottomRight" state="frozenSplit"/>
      <selection pane="bottomRight" activeCell="I421" sqref="I421"/>
      <pageMargins left="0.28999999999999998" right="0.2" top="0.6692913385826772" bottom="0.9055118110236221" header="0.43" footer="0.59055118110236227"/>
      <printOptions horizontalCentered="1"/>
      <pageSetup paperSize="14" scale="75" orientation="landscape" r:id="rId2"/>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customSheetView>
    <customSheetView guid="{AEDE1BDB-8710-4CDA-8488-31F49D423ACE}" scale="60" hiddenRows="1">
      <pane xSplit="3" ySplit="11" topLeftCell="D537" activePane="bottomRight" state="frozenSplit"/>
      <selection pane="bottomRight" activeCell="D553" sqref="D553"/>
      <pageMargins left="0.28999999999999998" right="0.2" top="0.6692913385826772" bottom="0.9055118110236221" header="0.43" footer="0.59055118110236227"/>
      <printOptions horizontalCentered="1"/>
      <pageSetup paperSize="14" scale="75" orientation="landscape" r:id="rId3"/>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customSheetView>
    <customSheetView guid="{75DD7674-E7DE-4BB1-A36D-76AA33452CB3}" scale="60" showAutoFilter="1" hiddenRows="1" hiddenColumns="1">
      <pane xSplit="3" ySplit="11" topLeftCell="D13" activePane="bottomRight" state="frozenSplit"/>
      <selection pane="bottomRight" activeCell="I3" sqref="I3"/>
      <pageMargins left="0.28999999999999998" right="0.2" top="0.6692913385826772" bottom="0.9055118110236221" header="0.43" footer="0.59055118110236227"/>
      <printOptions horizontalCentered="1"/>
      <pageSetup paperSize="14" scale="75" orientation="landscape" r:id="rId4"/>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autoFilter ref="A11:W548">
        <sortState ref="A13:W548">
          <sortCondition ref="A11:A570"/>
        </sortState>
      </autoFilter>
    </customSheetView>
  </customSheetViews>
  <mergeCells count="21">
    <mergeCell ref="H5:J6"/>
    <mergeCell ref="K5:M6"/>
    <mergeCell ref="N5:P6"/>
    <mergeCell ref="Q5:R6"/>
    <mergeCell ref="S5:S6"/>
    <mergeCell ref="B1:D1"/>
    <mergeCell ref="B2:D2"/>
    <mergeCell ref="B3:D3"/>
    <mergeCell ref="B5:D5"/>
    <mergeCell ref="E5:G6"/>
    <mergeCell ref="Q10:Q11"/>
    <mergeCell ref="D10:D11"/>
    <mergeCell ref="C574:S575"/>
    <mergeCell ref="S10:S11"/>
    <mergeCell ref="E10:P10"/>
    <mergeCell ref="R10:R11"/>
    <mergeCell ref="A8:B8"/>
    <mergeCell ref="A10:A11"/>
    <mergeCell ref="B10:B11"/>
    <mergeCell ref="C10:C11"/>
    <mergeCell ref="A7:B7"/>
  </mergeCells>
  <conditionalFormatting sqref="R132:R143 R203:R231 R351:R425 R149:R201 R234:R275 R277:R348">
    <cfRule type="cellIs" dxfId="2953" priority="5392" stopIfTrue="1" operator="equal">
      <formula>"NO"</formula>
    </cfRule>
  </conditionalFormatting>
  <conditionalFormatting sqref="S132:S143 S149:S201 S555:S572 S351:S443 S446:S454 S456:S506 S203:S348 S508:S551">
    <cfRule type="cellIs" dxfId="2952" priority="5393" stopIfTrue="1" operator="equal">
      <formula>"INVIABLE SANITARIAMENTE"</formula>
    </cfRule>
  </conditionalFormatting>
  <conditionalFormatting sqref="E162:P162 E197:P201 E208:P212 E280:P284 E287:P288 E289:H289 J289:P289 E219:P232 E115:K115 P113:P115 N113:N115 E113:H114 J113:K114 E116:P133">
    <cfRule type="containsBlanks" dxfId="2951" priority="5385" stopIfTrue="1">
      <formula>LEN(TRIM(E113))=0</formula>
    </cfRule>
    <cfRule type="cellIs" dxfId="2950" priority="5386" stopIfTrue="1" operator="between">
      <formula>79.1</formula>
      <formula>100</formula>
    </cfRule>
    <cfRule type="cellIs" dxfId="2949" priority="5387" stopIfTrue="1" operator="between">
      <formula>34.1</formula>
      <formula>79</formula>
    </cfRule>
    <cfRule type="cellIs" dxfId="2948" priority="5388" stopIfTrue="1" operator="between">
      <formula>13.1</formula>
      <formula>34</formula>
    </cfRule>
    <cfRule type="cellIs" dxfId="2947" priority="5389" stopIfTrue="1" operator="between">
      <formula>5.1</formula>
      <formula>13</formula>
    </cfRule>
    <cfRule type="cellIs" dxfId="2946" priority="5390" stopIfTrue="1" operator="between">
      <formula>0</formula>
      <formula>5</formula>
    </cfRule>
    <cfRule type="containsBlanks" dxfId="2945" priority="5391" stopIfTrue="1">
      <formula>LEN(TRIM(E113))=0</formula>
    </cfRule>
  </conditionalFormatting>
  <conditionalFormatting sqref="E241:P241 E250:P251 E255:P255 F269:P269 E273:P274 E306:P309 E303:P303 E72:P76 E271:Q271 E277:Q277 E234:Q237 E341:P348 Q13:Q67 E434:P436 Q149:Q201 E555:Q572 Q71:Q106 Q108 Q110:Q143 E437:Q443 E446:Q454 E456:Q506 Q203:Q348 E351:Q425 E508:Q551">
    <cfRule type="containsBlanks" dxfId="2944" priority="5378" stopIfTrue="1">
      <formula>LEN(TRIM(E13))=0</formula>
    </cfRule>
    <cfRule type="cellIs" dxfId="2943" priority="5379" stopIfTrue="1" operator="between">
      <formula>80.1</formula>
      <formula>100</formula>
    </cfRule>
    <cfRule type="cellIs" dxfId="2942" priority="5380" stopIfTrue="1" operator="between">
      <formula>35.1</formula>
      <formula>80</formula>
    </cfRule>
    <cfRule type="cellIs" dxfId="2941" priority="5381" stopIfTrue="1" operator="between">
      <formula>14.1</formula>
      <formula>35</formula>
    </cfRule>
    <cfRule type="cellIs" dxfId="2940" priority="5382" stopIfTrue="1" operator="between">
      <formula>5.1</formula>
      <formula>14</formula>
    </cfRule>
    <cfRule type="cellIs" dxfId="2939" priority="5383" stopIfTrue="1" operator="between">
      <formula>0</formula>
      <formula>5</formula>
    </cfRule>
    <cfRule type="containsBlanks" dxfId="2938" priority="5384" stopIfTrue="1">
      <formula>LEN(TRIM(E13))=0</formula>
    </cfRule>
  </conditionalFormatting>
  <conditionalFormatting sqref="S132:S143 S149:S201 S555:S572 S351:S443 S446:S454 S456:S506 S203:S348 S508:S551">
    <cfRule type="containsText" dxfId="2937" priority="5373" stopIfTrue="1" operator="containsText" text="INVIABLE SANITARIAMENTE">
      <formula>NOT(ISERROR(SEARCH("INVIABLE SANITARIAMENTE",S132)))</formula>
    </cfRule>
    <cfRule type="containsText" dxfId="2936" priority="5374" stopIfTrue="1" operator="containsText" text="ALTO">
      <formula>NOT(ISERROR(SEARCH("ALTO",S132)))</formula>
    </cfRule>
    <cfRule type="containsText" dxfId="2935" priority="5375" stopIfTrue="1" operator="containsText" text="MEDIO">
      <formula>NOT(ISERROR(SEARCH("MEDIO",S132)))</formula>
    </cfRule>
    <cfRule type="containsText" dxfId="2934" priority="5376" stopIfTrue="1" operator="containsText" text="BAJO">
      <formula>NOT(ISERROR(SEARCH("BAJO",S132)))</formula>
    </cfRule>
    <cfRule type="containsText" dxfId="2933" priority="5377" stopIfTrue="1" operator="containsText" text="SIN RIESGO">
      <formula>NOT(ISERROR(SEARCH("SIN RIESGO",S132)))</formula>
    </cfRule>
  </conditionalFormatting>
  <conditionalFormatting sqref="S132:S143 S149:S201 S555:S572 S351:S443 S446:S454 S456:S506 S203:S348 S508:S551">
    <cfRule type="containsText" dxfId="2932" priority="5372" stopIfTrue="1" operator="containsText" text="SIN RIESGO">
      <formula>NOT(ISERROR(SEARCH("SIN RIESGO",S132)))</formula>
    </cfRule>
  </conditionalFormatting>
  <conditionalFormatting sqref="E134:P134 E135:J138">
    <cfRule type="containsBlanks" dxfId="2931" priority="5351" stopIfTrue="1">
      <formula>LEN(TRIM(E134))=0</formula>
    </cfRule>
    <cfRule type="cellIs" dxfId="2930" priority="5352" stopIfTrue="1" operator="between">
      <formula>79.1</formula>
      <formula>100</formula>
    </cfRule>
    <cfRule type="cellIs" dxfId="2929" priority="5353" stopIfTrue="1" operator="between">
      <formula>34.1</formula>
      <formula>79</formula>
    </cfRule>
    <cfRule type="cellIs" dxfId="2928" priority="5354" stopIfTrue="1" operator="between">
      <formula>13.1</formula>
      <formula>34</formula>
    </cfRule>
    <cfRule type="cellIs" dxfId="2927" priority="5355" stopIfTrue="1" operator="between">
      <formula>5.1</formula>
      <formula>13</formula>
    </cfRule>
    <cfRule type="cellIs" dxfId="2926" priority="5356" stopIfTrue="1" operator="between">
      <formula>0</formula>
      <formula>5</formula>
    </cfRule>
    <cfRule type="containsBlanks" dxfId="2925" priority="5357" stopIfTrue="1">
      <formula>LEN(TRIM(E134))=0</formula>
    </cfRule>
  </conditionalFormatting>
  <conditionalFormatting sqref="E330:P332">
    <cfRule type="containsBlanks" dxfId="2924" priority="5330" stopIfTrue="1">
      <formula>LEN(TRIM(E330))=0</formula>
    </cfRule>
    <cfRule type="cellIs" dxfId="2923" priority="5331" stopIfTrue="1" operator="between">
      <formula>79.1</formula>
      <formula>100</formula>
    </cfRule>
    <cfRule type="cellIs" dxfId="2922" priority="5332" stopIfTrue="1" operator="between">
      <formula>34.1</formula>
      <formula>79</formula>
    </cfRule>
    <cfRule type="cellIs" dxfId="2921" priority="5333" stopIfTrue="1" operator="between">
      <formula>13.1</formula>
      <formula>34</formula>
    </cfRule>
    <cfRule type="cellIs" dxfId="2920" priority="5334" stopIfTrue="1" operator="between">
      <formula>5.1</formula>
      <formula>13</formula>
    </cfRule>
    <cfRule type="cellIs" dxfId="2919" priority="5335" stopIfTrue="1" operator="between">
      <formula>0</formula>
      <formula>5</formula>
    </cfRule>
    <cfRule type="containsBlanks" dxfId="2918" priority="5336" stopIfTrue="1">
      <formula>LEN(TRIM(E330))=0</formula>
    </cfRule>
  </conditionalFormatting>
  <conditionalFormatting sqref="E372:P372 M382:P382 K380:P380 J379:P379 J381:P381 K378:P378 E386:P386 N383:P383 O377:P377 L373:P376 O387:P387">
    <cfRule type="containsBlanks" dxfId="2917" priority="5323" stopIfTrue="1">
      <formula>LEN(TRIM(E372))=0</formula>
    </cfRule>
    <cfRule type="cellIs" dxfId="2916" priority="5324" stopIfTrue="1" operator="between">
      <formula>79.1</formula>
      <formula>100</formula>
    </cfRule>
    <cfRule type="cellIs" dxfId="2915" priority="5325" stopIfTrue="1" operator="between">
      <formula>34.1</formula>
      <formula>79</formula>
    </cfRule>
    <cfRule type="cellIs" dxfId="2914" priority="5326" stopIfTrue="1" operator="between">
      <formula>13.1</formula>
      <formula>34</formula>
    </cfRule>
    <cfRule type="cellIs" dxfId="2913" priority="5327" stopIfTrue="1" operator="between">
      <formula>5.1</formula>
      <formula>13</formula>
    </cfRule>
    <cfRule type="cellIs" dxfId="2912" priority="5328" stopIfTrue="1" operator="between">
      <formula>0</formula>
      <formula>5</formula>
    </cfRule>
    <cfRule type="containsBlanks" dxfId="2911" priority="5329" stopIfTrue="1">
      <formula>LEN(TRIM(E372))=0</formula>
    </cfRule>
  </conditionalFormatting>
  <conditionalFormatting sqref="E394:J395">
    <cfRule type="containsBlanks" dxfId="2910" priority="5316" stopIfTrue="1">
      <formula>LEN(TRIM(E394))=0</formula>
    </cfRule>
    <cfRule type="cellIs" dxfId="2909" priority="5317" stopIfTrue="1" operator="between">
      <formula>79.1</formula>
      <formula>100</formula>
    </cfRule>
    <cfRule type="cellIs" dxfId="2908" priority="5318" stopIfTrue="1" operator="between">
      <formula>34.1</formula>
      <formula>79</formula>
    </cfRule>
    <cfRule type="cellIs" dxfId="2907" priority="5319" stopIfTrue="1" operator="between">
      <formula>13.1</formula>
      <formula>34</formula>
    </cfRule>
    <cfRule type="cellIs" dxfId="2906" priority="5320" stopIfTrue="1" operator="between">
      <formula>5.1</formula>
      <formula>13</formula>
    </cfRule>
    <cfRule type="cellIs" dxfId="2905" priority="5321" stopIfTrue="1" operator="between">
      <formula>0</formula>
      <formula>5</formula>
    </cfRule>
    <cfRule type="containsBlanks" dxfId="2904" priority="5322" stopIfTrue="1">
      <formula>LEN(TRIM(E394))=0</formula>
    </cfRule>
  </conditionalFormatting>
  <conditionalFormatting sqref="E425:P425 P422 E423:G424 O423:P424">
    <cfRule type="containsBlanks" dxfId="2903" priority="5309" stopIfTrue="1">
      <formula>LEN(TRIM(E422))=0</formula>
    </cfRule>
    <cfRule type="cellIs" dxfId="2902" priority="5310" stopIfTrue="1" operator="between">
      <formula>79.1</formula>
      <formula>100</formula>
    </cfRule>
    <cfRule type="cellIs" dxfId="2901" priority="5311" stopIfTrue="1" operator="between">
      <formula>34.1</formula>
      <formula>79</formula>
    </cfRule>
    <cfRule type="cellIs" dxfId="2900" priority="5312" stopIfTrue="1" operator="between">
      <formula>13.1</formula>
      <formula>34</formula>
    </cfRule>
    <cfRule type="cellIs" dxfId="2899" priority="5313" stopIfTrue="1" operator="between">
      <formula>5.1</formula>
      <formula>13</formula>
    </cfRule>
    <cfRule type="cellIs" dxfId="2898" priority="5314" stopIfTrue="1" operator="between">
      <formula>0</formula>
      <formula>5</formula>
    </cfRule>
    <cfRule type="containsBlanks" dxfId="2897" priority="5315" stopIfTrue="1">
      <formula>LEN(TRIM(E422))=0</formula>
    </cfRule>
  </conditionalFormatting>
  <conditionalFormatting sqref="R140">
    <cfRule type="cellIs" dxfId="2896" priority="5140" stopIfTrue="1" operator="equal">
      <formula>"NO"</formula>
    </cfRule>
  </conditionalFormatting>
  <conditionalFormatting sqref="R135">
    <cfRule type="cellIs" dxfId="2895" priority="5125" stopIfTrue="1" operator="equal">
      <formula>"NO"</formula>
    </cfRule>
  </conditionalFormatting>
  <conditionalFormatting sqref="F135:P135">
    <cfRule type="containsBlanks" dxfId="2894" priority="5118" stopIfTrue="1">
      <formula>LEN(TRIM(F135))=0</formula>
    </cfRule>
    <cfRule type="cellIs" dxfId="2893" priority="5119" stopIfTrue="1" operator="between">
      <formula>80.1</formula>
      <formula>100</formula>
    </cfRule>
    <cfRule type="cellIs" dxfId="2892" priority="5120" stopIfTrue="1" operator="between">
      <formula>35.1</formula>
      <formula>80</formula>
    </cfRule>
    <cfRule type="cellIs" dxfId="2891" priority="5121" stopIfTrue="1" operator="between">
      <formula>14.1</formula>
      <formula>35</formula>
    </cfRule>
    <cfRule type="cellIs" dxfId="2890" priority="5122" stopIfTrue="1" operator="between">
      <formula>5.1</formula>
      <formula>14</formula>
    </cfRule>
    <cfRule type="cellIs" dxfId="2889" priority="5123" stopIfTrue="1" operator="between">
      <formula>0</formula>
      <formula>5</formula>
    </cfRule>
    <cfRule type="containsBlanks" dxfId="2888" priority="5124" stopIfTrue="1">
      <formula>LEN(TRIM(F135))=0</formula>
    </cfRule>
  </conditionalFormatting>
  <conditionalFormatting sqref="E135">
    <cfRule type="containsBlanks" dxfId="2887" priority="5111" stopIfTrue="1">
      <formula>LEN(TRIM(E135))=0</formula>
    </cfRule>
    <cfRule type="cellIs" dxfId="2886" priority="5112" stopIfTrue="1" operator="between">
      <formula>80.1</formula>
      <formula>100</formula>
    </cfRule>
    <cfRule type="cellIs" dxfId="2885" priority="5113" stopIfTrue="1" operator="between">
      <formula>35.1</formula>
      <formula>80</formula>
    </cfRule>
    <cfRule type="cellIs" dxfId="2884" priority="5114" stopIfTrue="1" operator="between">
      <formula>14.1</formula>
      <formula>35</formula>
    </cfRule>
    <cfRule type="cellIs" dxfId="2883" priority="5115" stopIfTrue="1" operator="between">
      <formula>5.1</formula>
      <formula>14</formula>
    </cfRule>
    <cfRule type="cellIs" dxfId="2882" priority="5116" stopIfTrue="1" operator="between">
      <formula>0</formula>
      <formula>5</formula>
    </cfRule>
    <cfRule type="containsBlanks" dxfId="2881" priority="5117" stopIfTrue="1">
      <formula>LEN(TRIM(E135))=0</formula>
    </cfRule>
  </conditionalFormatting>
  <conditionalFormatting sqref="R136">
    <cfRule type="cellIs" dxfId="2880" priority="5110" stopIfTrue="1" operator="equal">
      <formula>"NO"</formula>
    </cfRule>
  </conditionalFormatting>
  <conditionalFormatting sqref="F136:P136">
    <cfRule type="containsBlanks" dxfId="2879" priority="5103" stopIfTrue="1">
      <formula>LEN(TRIM(F136))=0</formula>
    </cfRule>
    <cfRule type="cellIs" dxfId="2878" priority="5104" stopIfTrue="1" operator="between">
      <formula>80.1</formula>
      <formula>100</formula>
    </cfRule>
    <cfRule type="cellIs" dxfId="2877" priority="5105" stopIfTrue="1" operator="between">
      <formula>35.1</formula>
      <formula>80</formula>
    </cfRule>
    <cfRule type="cellIs" dxfId="2876" priority="5106" stopIfTrue="1" operator="between">
      <formula>14.1</formula>
      <formula>35</formula>
    </cfRule>
    <cfRule type="cellIs" dxfId="2875" priority="5107" stopIfTrue="1" operator="between">
      <formula>5.1</formula>
      <formula>14</formula>
    </cfRule>
    <cfRule type="cellIs" dxfId="2874" priority="5108" stopIfTrue="1" operator="between">
      <formula>0</formula>
      <formula>5</formula>
    </cfRule>
    <cfRule type="containsBlanks" dxfId="2873" priority="5109" stopIfTrue="1">
      <formula>LEN(TRIM(F136))=0</formula>
    </cfRule>
  </conditionalFormatting>
  <conditionalFormatting sqref="E136">
    <cfRule type="containsBlanks" dxfId="2872" priority="5096" stopIfTrue="1">
      <formula>LEN(TRIM(E136))=0</formula>
    </cfRule>
    <cfRule type="cellIs" dxfId="2871" priority="5097" stopIfTrue="1" operator="between">
      <formula>80.1</formula>
      <formula>100</formula>
    </cfRule>
    <cfRule type="cellIs" dxfId="2870" priority="5098" stopIfTrue="1" operator="between">
      <formula>35.1</formula>
      <formula>80</formula>
    </cfRule>
    <cfRule type="cellIs" dxfId="2869" priority="5099" stopIfTrue="1" operator="between">
      <formula>14.1</formula>
      <formula>35</formula>
    </cfRule>
    <cfRule type="cellIs" dxfId="2868" priority="5100" stopIfTrue="1" operator="between">
      <formula>5.1</formula>
      <formula>14</formula>
    </cfRule>
    <cfRule type="cellIs" dxfId="2867" priority="5101" stopIfTrue="1" operator="between">
      <formula>0</formula>
      <formula>5</formula>
    </cfRule>
    <cfRule type="containsBlanks" dxfId="2866" priority="5102" stopIfTrue="1">
      <formula>LEN(TRIM(E136))=0</formula>
    </cfRule>
  </conditionalFormatting>
  <conditionalFormatting sqref="R137">
    <cfRule type="cellIs" dxfId="2865" priority="5095" stopIfTrue="1" operator="equal">
      <formula>"NO"</formula>
    </cfRule>
  </conditionalFormatting>
  <conditionalFormatting sqref="F137:P137">
    <cfRule type="containsBlanks" dxfId="2864" priority="5088" stopIfTrue="1">
      <formula>LEN(TRIM(F137))=0</formula>
    </cfRule>
    <cfRule type="cellIs" dxfId="2863" priority="5089" stopIfTrue="1" operator="between">
      <formula>80.1</formula>
      <formula>100</formula>
    </cfRule>
    <cfRule type="cellIs" dxfId="2862" priority="5090" stopIfTrue="1" operator="between">
      <formula>35.1</formula>
      <formula>80</formula>
    </cfRule>
    <cfRule type="cellIs" dxfId="2861" priority="5091" stopIfTrue="1" operator="between">
      <formula>14.1</formula>
      <formula>35</formula>
    </cfRule>
    <cfRule type="cellIs" dxfId="2860" priority="5092" stopIfTrue="1" operator="between">
      <formula>5.1</formula>
      <formula>14</formula>
    </cfRule>
    <cfRule type="cellIs" dxfId="2859" priority="5093" stopIfTrue="1" operator="between">
      <formula>0</formula>
      <formula>5</formula>
    </cfRule>
    <cfRule type="containsBlanks" dxfId="2858" priority="5094" stopIfTrue="1">
      <formula>LEN(TRIM(F137))=0</formula>
    </cfRule>
  </conditionalFormatting>
  <conditionalFormatting sqref="E137">
    <cfRule type="containsBlanks" dxfId="2857" priority="5081" stopIfTrue="1">
      <formula>LEN(TRIM(E137))=0</formula>
    </cfRule>
    <cfRule type="cellIs" dxfId="2856" priority="5082" stopIfTrue="1" operator="between">
      <formula>80.1</formula>
      <formula>100</formula>
    </cfRule>
    <cfRule type="cellIs" dxfId="2855" priority="5083" stopIfTrue="1" operator="between">
      <formula>35.1</formula>
      <formula>80</formula>
    </cfRule>
    <cfRule type="cellIs" dxfId="2854" priority="5084" stopIfTrue="1" operator="between">
      <formula>14.1</formula>
      <formula>35</formula>
    </cfRule>
    <cfRule type="cellIs" dxfId="2853" priority="5085" stopIfTrue="1" operator="between">
      <formula>5.1</formula>
      <formula>14</formula>
    </cfRule>
    <cfRule type="cellIs" dxfId="2852" priority="5086" stopIfTrue="1" operator="between">
      <formula>0</formula>
      <formula>5</formula>
    </cfRule>
    <cfRule type="containsBlanks" dxfId="2851" priority="5087" stopIfTrue="1">
      <formula>LEN(TRIM(E137))=0</formula>
    </cfRule>
  </conditionalFormatting>
  <conditionalFormatting sqref="R138">
    <cfRule type="cellIs" dxfId="2850" priority="5080" stopIfTrue="1" operator="equal">
      <formula>"NO"</formula>
    </cfRule>
  </conditionalFormatting>
  <conditionalFormatting sqref="F138:P138">
    <cfRule type="containsBlanks" dxfId="2849" priority="5073" stopIfTrue="1">
      <formula>LEN(TRIM(F138))=0</formula>
    </cfRule>
    <cfRule type="cellIs" dxfId="2848" priority="5074" stopIfTrue="1" operator="between">
      <formula>80.1</formula>
      <formula>100</formula>
    </cfRule>
    <cfRule type="cellIs" dxfId="2847" priority="5075" stopIfTrue="1" operator="between">
      <formula>35.1</formula>
      <formula>80</formula>
    </cfRule>
    <cfRule type="cellIs" dxfId="2846" priority="5076" stopIfTrue="1" operator="between">
      <formula>14.1</formula>
      <formula>35</formula>
    </cfRule>
    <cfRule type="cellIs" dxfId="2845" priority="5077" stopIfTrue="1" operator="between">
      <formula>5.1</formula>
      <formula>14</formula>
    </cfRule>
    <cfRule type="cellIs" dxfId="2844" priority="5078" stopIfTrue="1" operator="between">
      <formula>0</formula>
      <formula>5</formula>
    </cfRule>
    <cfRule type="containsBlanks" dxfId="2843" priority="5079" stopIfTrue="1">
      <formula>LEN(TRIM(F138))=0</formula>
    </cfRule>
  </conditionalFormatting>
  <conditionalFormatting sqref="E138">
    <cfRule type="containsBlanks" dxfId="2842" priority="5066" stopIfTrue="1">
      <formula>LEN(TRIM(E138))=0</formula>
    </cfRule>
    <cfRule type="cellIs" dxfId="2841" priority="5067" stopIfTrue="1" operator="between">
      <formula>80.1</formula>
      <formula>100</formula>
    </cfRule>
    <cfRule type="cellIs" dxfId="2840" priority="5068" stopIfTrue="1" operator="between">
      <formula>35.1</formula>
      <formula>80</formula>
    </cfRule>
    <cfRule type="cellIs" dxfId="2839" priority="5069" stopIfTrue="1" operator="between">
      <formula>14.1</formula>
      <formula>35</formula>
    </cfRule>
    <cfRule type="cellIs" dxfId="2838" priority="5070" stopIfTrue="1" operator="between">
      <formula>5.1</formula>
      <formula>14</formula>
    </cfRule>
    <cfRule type="cellIs" dxfId="2837" priority="5071" stopIfTrue="1" operator="between">
      <formula>0</formula>
      <formula>5</formula>
    </cfRule>
    <cfRule type="containsBlanks" dxfId="2836" priority="5072" stopIfTrue="1">
      <formula>LEN(TRIM(E138))=0</formula>
    </cfRule>
  </conditionalFormatting>
  <conditionalFormatting sqref="R139">
    <cfRule type="cellIs" dxfId="2835" priority="5065" stopIfTrue="1" operator="equal">
      <formula>"NO"</formula>
    </cfRule>
  </conditionalFormatting>
  <conditionalFormatting sqref="E372:J372 J379 J381 E386:J386">
    <cfRule type="containsBlanks" dxfId="2834" priority="4993" stopIfTrue="1">
      <formula>LEN(TRIM(E372))=0</formula>
    </cfRule>
    <cfRule type="cellIs" dxfId="2833" priority="4994" stopIfTrue="1" operator="between">
      <formula>80.1</formula>
      <formula>100</formula>
    </cfRule>
    <cfRule type="cellIs" dxfId="2832" priority="4995" stopIfTrue="1" operator="between">
      <formula>35.1</formula>
      <formula>80</formula>
    </cfRule>
    <cfRule type="cellIs" dxfId="2831" priority="4996" stopIfTrue="1" operator="between">
      <formula>14.1</formula>
      <formula>35</formula>
    </cfRule>
    <cfRule type="cellIs" dxfId="2830" priority="4997" stopIfTrue="1" operator="between">
      <formula>5.1</formula>
      <formula>14</formula>
    </cfRule>
    <cfRule type="cellIs" dxfId="2829" priority="4998" stopIfTrue="1" operator="between">
      <formula>0</formula>
      <formula>5</formula>
    </cfRule>
    <cfRule type="containsBlanks" dxfId="2828" priority="4999" stopIfTrue="1">
      <formula>LEN(TRIM(E372))=0</formula>
    </cfRule>
  </conditionalFormatting>
  <conditionalFormatting sqref="E233:P233">
    <cfRule type="containsBlanks" dxfId="2827" priority="4832" stopIfTrue="1">
      <formula>LEN(TRIM(E233))=0</formula>
    </cfRule>
    <cfRule type="cellIs" dxfId="2826" priority="4833" stopIfTrue="1" operator="between">
      <formula>79.1</formula>
      <formula>100</formula>
    </cfRule>
    <cfRule type="cellIs" dxfId="2825" priority="4834" stopIfTrue="1" operator="between">
      <formula>34.1</formula>
      <formula>79</formula>
    </cfRule>
    <cfRule type="cellIs" dxfId="2824" priority="4835" stopIfTrue="1" operator="between">
      <formula>13.1</formula>
      <formula>34</formula>
    </cfRule>
    <cfRule type="cellIs" dxfId="2823" priority="4836" stopIfTrue="1" operator="between">
      <formula>5.1</formula>
      <formula>13</formula>
    </cfRule>
    <cfRule type="cellIs" dxfId="2822" priority="4837" stopIfTrue="1" operator="between">
      <formula>0</formula>
      <formula>5</formula>
    </cfRule>
    <cfRule type="containsBlanks" dxfId="2821" priority="4838" stopIfTrue="1">
      <formula>LEN(TRIM(E233))=0</formula>
    </cfRule>
  </conditionalFormatting>
  <conditionalFormatting sqref="E233:G233">
    <cfRule type="containsBlanks" dxfId="2820" priority="4825" stopIfTrue="1">
      <formula>LEN(TRIM(E233))=0</formula>
    </cfRule>
    <cfRule type="cellIs" dxfId="2819" priority="4826" stopIfTrue="1" operator="between">
      <formula>79.1</formula>
      <formula>100</formula>
    </cfRule>
    <cfRule type="cellIs" dxfId="2818" priority="4827" stopIfTrue="1" operator="between">
      <formula>34.1</formula>
      <formula>79</formula>
    </cfRule>
    <cfRule type="cellIs" dxfId="2817" priority="4828" stopIfTrue="1" operator="between">
      <formula>13.1</formula>
      <formula>34</formula>
    </cfRule>
    <cfRule type="cellIs" dxfId="2816" priority="4829" stopIfTrue="1" operator="between">
      <formula>5.1</formula>
      <formula>13</formula>
    </cfRule>
    <cfRule type="cellIs" dxfId="2815" priority="4830" stopIfTrue="1" operator="between">
      <formula>0</formula>
      <formula>5</formula>
    </cfRule>
    <cfRule type="containsBlanks" dxfId="2814" priority="4831" stopIfTrue="1">
      <formula>LEN(TRIM(E233))=0</formula>
    </cfRule>
  </conditionalFormatting>
  <conditionalFormatting sqref="E187:P187 E205:P205">
    <cfRule type="containsBlanks" dxfId="2813" priority="4839" stopIfTrue="1">
      <formula>LEN(TRIM(E187))=0</formula>
    </cfRule>
    <cfRule type="cellIs" dxfId="2812" priority="4840" stopIfTrue="1" operator="between">
      <formula>79.1</formula>
      <formula>100</formula>
    </cfRule>
    <cfRule type="cellIs" dxfId="2811" priority="4841" stopIfTrue="1" operator="between">
      <formula>34.1</formula>
      <formula>79</formula>
    </cfRule>
    <cfRule type="cellIs" dxfId="2810" priority="4842" stopIfTrue="1" operator="between">
      <formula>13.1</formula>
      <formula>34</formula>
    </cfRule>
    <cfRule type="cellIs" dxfId="2809" priority="4843" stopIfTrue="1" operator="between">
      <formula>5.1</formula>
      <formula>13</formula>
    </cfRule>
    <cfRule type="cellIs" dxfId="2808" priority="4844" stopIfTrue="1" operator="between">
      <formula>0</formula>
      <formula>5</formula>
    </cfRule>
    <cfRule type="containsBlanks" dxfId="2807" priority="4845" stopIfTrue="1">
      <formula>LEN(TRIM(E187))=0</formula>
    </cfRule>
  </conditionalFormatting>
  <conditionalFormatting sqref="E294 E290:P291 G294:P294 E285:P286 E295:P296 E293:P293 E292">
    <cfRule type="containsBlanks" dxfId="2806" priority="4804" stopIfTrue="1">
      <formula>LEN(TRIM(E285))=0</formula>
    </cfRule>
    <cfRule type="cellIs" dxfId="2805" priority="4805" stopIfTrue="1" operator="between">
      <formula>79.1</formula>
      <formula>100</formula>
    </cfRule>
    <cfRule type="cellIs" dxfId="2804" priority="4806" stopIfTrue="1" operator="between">
      <formula>34.1</formula>
      <formula>79</formula>
    </cfRule>
    <cfRule type="cellIs" dxfId="2803" priority="4807" stopIfTrue="1" operator="between">
      <formula>13.1</formula>
      <formula>34</formula>
    </cfRule>
    <cfRule type="cellIs" dxfId="2802" priority="4808" stopIfTrue="1" operator="between">
      <formula>5.1</formula>
      <formula>13</formula>
    </cfRule>
    <cfRule type="cellIs" dxfId="2801" priority="4809" stopIfTrue="1" operator="between">
      <formula>0</formula>
      <formula>5</formula>
    </cfRule>
    <cfRule type="containsBlanks" dxfId="2800" priority="4810" stopIfTrue="1">
      <formula>LEN(TRIM(E285))=0</formula>
    </cfRule>
  </conditionalFormatting>
  <conditionalFormatting sqref="K394:P395">
    <cfRule type="containsBlanks" dxfId="2799" priority="4727" stopIfTrue="1">
      <formula>LEN(TRIM(K394))=0</formula>
    </cfRule>
    <cfRule type="cellIs" dxfId="2798" priority="4728" stopIfTrue="1" operator="between">
      <formula>79.1</formula>
      <formula>100</formula>
    </cfRule>
    <cfRule type="cellIs" dxfId="2797" priority="4729" stopIfTrue="1" operator="between">
      <formula>34.1</formula>
      <formula>79</formula>
    </cfRule>
    <cfRule type="cellIs" dxfId="2796" priority="4730" stopIfTrue="1" operator="between">
      <formula>13.1</formula>
      <formula>34</formula>
    </cfRule>
    <cfRule type="cellIs" dxfId="2795" priority="4731" stopIfTrue="1" operator="between">
      <formula>5.1</formula>
      <formula>13</formula>
    </cfRule>
    <cfRule type="cellIs" dxfId="2794" priority="4732" stopIfTrue="1" operator="between">
      <formula>0</formula>
      <formula>5</formula>
    </cfRule>
    <cfRule type="containsBlanks" dxfId="2793" priority="4733" stopIfTrue="1">
      <formula>LEN(TRIM(K394))=0</formula>
    </cfRule>
  </conditionalFormatting>
  <conditionalFormatting sqref="Q205 Q241 Q250:Q251 Q255 Q269 Q273:Q274 Q292:Q296 Q306:Q309 Q314:Q332 Q303 Q394:Q395 Q386:Q387">
    <cfRule type="containsBlanks" dxfId="2792" priority="4712" stopIfTrue="1">
      <formula>LEN(TRIM(Q205))=0</formula>
    </cfRule>
    <cfRule type="cellIs" dxfId="2791" priority="4713" stopIfTrue="1" operator="between">
      <formula>80.1</formula>
      <formula>100</formula>
    </cfRule>
    <cfRule type="cellIs" dxfId="2790" priority="4714" stopIfTrue="1" operator="between">
      <formula>35.1</formula>
      <formula>80</formula>
    </cfRule>
    <cfRule type="cellIs" dxfId="2789" priority="4715" stopIfTrue="1" operator="between">
      <formula>14.1</formula>
      <formula>35</formula>
    </cfRule>
    <cfRule type="cellIs" dxfId="2788" priority="4716" stopIfTrue="1" operator="between">
      <formula>5.1</formula>
      <formula>14</formula>
    </cfRule>
    <cfRule type="cellIs" dxfId="2787" priority="4717" stopIfTrue="1" operator="between">
      <formula>0</formula>
      <formula>5</formula>
    </cfRule>
    <cfRule type="containsBlanks" dxfId="2786" priority="4718" stopIfTrue="1">
      <formula>LEN(TRIM(Q205))=0</formula>
    </cfRule>
  </conditionalFormatting>
  <conditionalFormatting sqref="Q205 Q241 Q250:Q251 Q255 Q269 Q273:Q274 Q292:Q296 Q306:Q309 Q314:Q332 Q303 Q394:Q395 Q386:Q387">
    <cfRule type="containsBlanks" dxfId="2785" priority="4705" stopIfTrue="1">
      <formula>LEN(TRIM(Q205))=0</formula>
    </cfRule>
    <cfRule type="cellIs" dxfId="2784" priority="4706" stopIfTrue="1" operator="between">
      <formula>80.1</formula>
      <formula>100</formula>
    </cfRule>
    <cfRule type="cellIs" dxfId="2783" priority="4707" stopIfTrue="1" operator="between">
      <formula>35.1</formula>
      <formula>80</formula>
    </cfRule>
    <cfRule type="cellIs" dxfId="2782" priority="4708" stopIfTrue="1" operator="between">
      <formula>14.1</formula>
      <formula>35</formula>
    </cfRule>
    <cfRule type="cellIs" dxfId="2781" priority="4709" stopIfTrue="1" operator="between">
      <formula>5.1</formula>
      <formula>14</formula>
    </cfRule>
    <cfRule type="cellIs" dxfId="2780" priority="4710" stopIfTrue="1" operator="between">
      <formula>0</formula>
      <formula>5</formula>
    </cfRule>
    <cfRule type="containsBlanks" dxfId="2779" priority="4711" stopIfTrue="1">
      <formula>LEN(TRIM(Q205))=0</formula>
    </cfRule>
  </conditionalFormatting>
  <conditionalFormatting sqref="Q187">
    <cfRule type="containsBlanks" dxfId="2778" priority="4698" stopIfTrue="1">
      <formula>LEN(TRIM(Q187))=0</formula>
    </cfRule>
    <cfRule type="cellIs" dxfId="2777" priority="4699" stopIfTrue="1" operator="between">
      <formula>80.1</formula>
      <formula>100</formula>
    </cfRule>
    <cfRule type="cellIs" dxfId="2776" priority="4700" stopIfTrue="1" operator="between">
      <formula>35.1</formula>
      <formula>80</formula>
    </cfRule>
    <cfRule type="cellIs" dxfId="2775" priority="4701" stopIfTrue="1" operator="between">
      <formula>14.1</formula>
      <formula>35</formula>
    </cfRule>
    <cfRule type="cellIs" dxfId="2774" priority="4702" stopIfTrue="1" operator="between">
      <formula>5.1</formula>
      <formula>14</formula>
    </cfRule>
    <cfRule type="cellIs" dxfId="2773" priority="4703" stopIfTrue="1" operator="between">
      <formula>0</formula>
      <formula>5</formula>
    </cfRule>
    <cfRule type="containsBlanks" dxfId="2772" priority="4704" stopIfTrue="1">
      <formula>LEN(TRIM(Q187))=0</formula>
    </cfRule>
  </conditionalFormatting>
  <conditionalFormatting sqref="Q187">
    <cfRule type="containsBlanks" dxfId="2771" priority="4691" stopIfTrue="1">
      <formula>LEN(TRIM(Q187))=0</formula>
    </cfRule>
    <cfRule type="cellIs" dxfId="2770" priority="4692" stopIfTrue="1" operator="between">
      <formula>80.1</formula>
      <formula>100</formula>
    </cfRule>
    <cfRule type="cellIs" dxfId="2769" priority="4693" stopIfTrue="1" operator="between">
      <formula>35.1</formula>
      <formula>80</formula>
    </cfRule>
    <cfRule type="cellIs" dxfId="2768" priority="4694" stopIfTrue="1" operator="between">
      <formula>14.1</formula>
      <formula>35</formula>
    </cfRule>
    <cfRule type="cellIs" dxfId="2767" priority="4695" stopIfTrue="1" operator="between">
      <formula>5.1</formula>
      <formula>14</formula>
    </cfRule>
    <cfRule type="cellIs" dxfId="2766" priority="4696" stopIfTrue="1" operator="between">
      <formula>0</formula>
      <formula>5</formula>
    </cfRule>
    <cfRule type="containsBlanks" dxfId="2765" priority="4697" stopIfTrue="1">
      <formula>LEN(TRIM(Q187))=0</formula>
    </cfRule>
  </conditionalFormatting>
  <conditionalFormatting sqref="E77:E81 G77:P81">
    <cfRule type="containsBlanks" dxfId="2764" priority="4466" stopIfTrue="1">
      <formula>LEN(TRIM(E77))=0</formula>
    </cfRule>
    <cfRule type="cellIs" dxfId="2763" priority="4467" stopIfTrue="1" operator="between">
      <formula>80.1</formula>
      <formula>100</formula>
    </cfRule>
    <cfRule type="cellIs" dxfId="2762" priority="4468" stopIfTrue="1" operator="between">
      <formula>35.1</formula>
      <formula>80</formula>
    </cfRule>
    <cfRule type="cellIs" dxfId="2761" priority="4469" stopIfTrue="1" operator="between">
      <formula>14.1</formula>
      <formula>35</formula>
    </cfRule>
    <cfRule type="cellIs" dxfId="2760" priority="4470" stopIfTrue="1" operator="between">
      <formula>5.1</formula>
      <formula>14</formula>
    </cfRule>
    <cfRule type="cellIs" dxfId="2759" priority="4471" stopIfTrue="1" operator="between">
      <formula>0</formula>
      <formula>5</formula>
    </cfRule>
    <cfRule type="containsBlanks" dxfId="2758" priority="4472" stopIfTrue="1">
      <formula>LEN(TRIM(E77))=0</formula>
    </cfRule>
  </conditionalFormatting>
  <conditionalFormatting sqref="F77:F81">
    <cfRule type="containsBlanks" dxfId="2757" priority="4459" stopIfTrue="1">
      <formula>LEN(TRIM(F77))=0</formula>
    </cfRule>
    <cfRule type="cellIs" dxfId="2756" priority="4460" stopIfTrue="1" operator="between">
      <formula>79.1</formula>
      <formula>100</formula>
    </cfRule>
    <cfRule type="cellIs" dxfId="2755" priority="4461" stopIfTrue="1" operator="between">
      <formula>34.1</formula>
      <formula>79</formula>
    </cfRule>
    <cfRule type="cellIs" dxfId="2754" priority="4462" stopIfTrue="1" operator="between">
      <formula>13.1</formula>
      <formula>34</formula>
    </cfRule>
    <cfRule type="cellIs" dxfId="2753" priority="4463" stopIfTrue="1" operator="between">
      <formula>5.1</formula>
      <formula>13</formula>
    </cfRule>
    <cfRule type="cellIs" dxfId="2752" priority="4464" stopIfTrue="1" operator="between">
      <formula>0</formula>
      <formula>5</formula>
    </cfRule>
    <cfRule type="containsBlanks" dxfId="2751" priority="4465" stopIfTrue="1">
      <formula>LEN(TRIM(F77))=0</formula>
    </cfRule>
  </conditionalFormatting>
  <conditionalFormatting sqref="E82:E88 G82:P88">
    <cfRule type="containsBlanks" dxfId="2750" priority="4452" stopIfTrue="1">
      <formula>LEN(TRIM(E82))=0</formula>
    </cfRule>
    <cfRule type="cellIs" dxfId="2749" priority="4453" stopIfTrue="1" operator="between">
      <formula>80.1</formula>
      <formula>100</formula>
    </cfRule>
    <cfRule type="cellIs" dxfId="2748" priority="4454" stopIfTrue="1" operator="between">
      <formula>35.1</formula>
      <formula>80</formula>
    </cfRule>
    <cfRule type="cellIs" dxfId="2747" priority="4455" stopIfTrue="1" operator="between">
      <formula>14.1</formula>
      <formula>35</formula>
    </cfRule>
    <cfRule type="cellIs" dxfId="2746" priority="4456" stopIfTrue="1" operator="between">
      <formula>5.1</formula>
      <formula>14</formula>
    </cfRule>
    <cfRule type="cellIs" dxfId="2745" priority="4457" stopIfTrue="1" operator="between">
      <formula>0</formula>
      <formula>5</formula>
    </cfRule>
    <cfRule type="containsBlanks" dxfId="2744" priority="4458" stopIfTrue="1">
      <formula>LEN(TRIM(E82))=0</formula>
    </cfRule>
  </conditionalFormatting>
  <conditionalFormatting sqref="F82:F88">
    <cfRule type="containsBlanks" dxfId="2743" priority="4445" stopIfTrue="1">
      <formula>LEN(TRIM(F82))=0</formula>
    </cfRule>
    <cfRule type="cellIs" dxfId="2742" priority="4446" stopIfTrue="1" operator="between">
      <formula>79.1</formula>
      <formula>100</formula>
    </cfRule>
    <cfRule type="cellIs" dxfId="2741" priority="4447" stopIfTrue="1" operator="between">
      <formula>34.1</formula>
      <formula>79</formula>
    </cfRule>
    <cfRule type="cellIs" dxfId="2740" priority="4448" stopIfTrue="1" operator="between">
      <formula>13.1</formula>
      <formula>34</formula>
    </cfRule>
    <cfRule type="cellIs" dxfId="2739" priority="4449" stopIfTrue="1" operator="between">
      <formula>5.1</formula>
      <formula>13</formula>
    </cfRule>
    <cfRule type="cellIs" dxfId="2738" priority="4450" stopIfTrue="1" operator="between">
      <formula>0</formula>
      <formula>5</formula>
    </cfRule>
    <cfRule type="containsBlanks" dxfId="2737" priority="4451" stopIfTrue="1">
      <formula>LEN(TRIM(F82))=0</formula>
    </cfRule>
  </conditionalFormatting>
  <conditionalFormatting sqref="E89:E95 G89:P91 G92:G95 I92:I95 H92:H96 K92:K95 J92:J96 M92:M95 L92:L96 P92:P95 N92:O96">
    <cfRule type="containsBlanks" dxfId="2736" priority="4438" stopIfTrue="1">
      <formula>LEN(TRIM(E89))=0</formula>
    </cfRule>
    <cfRule type="cellIs" dxfId="2735" priority="4439" stopIfTrue="1" operator="between">
      <formula>80.1</formula>
      <formula>100</formula>
    </cfRule>
    <cfRule type="cellIs" dxfId="2734" priority="4440" stopIfTrue="1" operator="between">
      <formula>35.1</formula>
      <formula>80</formula>
    </cfRule>
    <cfRule type="cellIs" dxfId="2733" priority="4441" stopIfTrue="1" operator="between">
      <formula>14.1</formula>
      <formula>35</formula>
    </cfRule>
    <cfRule type="cellIs" dxfId="2732" priority="4442" stopIfTrue="1" operator="between">
      <formula>5.1</formula>
      <formula>14</formula>
    </cfRule>
    <cfRule type="cellIs" dxfId="2731" priority="4443" stopIfTrue="1" operator="between">
      <formula>0</formula>
      <formula>5</formula>
    </cfRule>
    <cfRule type="containsBlanks" dxfId="2730" priority="4444" stopIfTrue="1">
      <formula>LEN(TRIM(E89))=0</formula>
    </cfRule>
  </conditionalFormatting>
  <conditionalFormatting sqref="F89:F96">
    <cfRule type="containsBlanks" dxfId="2729" priority="4431" stopIfTrue="1">
      <formula>LEN(TRIM(F89))=0</formula>
    </cfRule>
    <cfRule type="cellIs" dxfId="2728" priority="4432" stopIfTrue="1" operator="between">
      <formula>79.1</formula>
      <formula>100</formula>
    </cfRule>
    <cfRule type="cellIs" dxfId="2727" priority="4433" stopIfTrue="1" operator="between">
      <formula>34.1</formula>
      <formula>79</formula>
    </cfRule>
    <cfRule type="cellIs" dxfId="2726" priority="4434" stopIfTrue="1" operator="between">
      <formula>13.1</formula>
      <formula>34</formula>
    </cfRule>
    <cfRule type="cellIs" dxfId="2725" priority="4435" stopIfTrue="1" operator="between">
      <formula>5.1</formula>
      <formula>13</formula>
    </cfRule>
    <cfRule type="cellIs" dxfId="2724" priority="4436" stopIfTrue="1" operator="between">
      <formula>0</formula>
      <formula>5</formula>
    </cfRule>
    <cfRule type="containsBlanks" dxfId="2723" priority="4437" stopIfTrue="1">
      <formula>LEN(TRIM(F89))=0</formula>
    </cfRule>
  </conditionalFormatting>
  <conditionalFormatting sqref="E96:E102 G96 I96 K96 M96 P96 G97:P102 H103:H106 J103:J106 L103:L106 N103:O106 J108 L108 N108:O108 N110:O111 L110:L111 J110:J111 O112:O115">
    <cfRule type="containsBlanks" dxfId="2722" priority="4417" stopIfTrue="1">
      <formula>LEN(TRIM(E96))=0</formula>
    </cfRule>
    <cfRule type="cellIs" dxfId="2721" priority="4418" stopIfTrue="1" operator="between">
      <formula>80.1</formula>
      <formula>100</formula>
    </cfRule>
    <cfRule type="cellIs" dxfId="2720" priority="4419" stopIfTrue="1" operator="between">
      <formula>35.1</formula>
      <formula>80</formula>
    </cfRule>
    <cfRule type="cellIs" dxfId="2719" priority="4420" stopIfTrue="1" operator="between">
      <formula>14.1</formula>
      <formula>35</formula>
    </cfRule>
    <cfRule type="cellIs" dxfId="2718" priority="4421" stopIfTrue="1" operator="between">
      <formula>5.1</formula>
      <formula>14</formula>
    </cfRule>
    <cfRule type="cellIs" dxfId="2717" priority="4422" stopIfTrue="1" operator="between">
      <formula>0</formula>
      <formula>5</formula>
    </cfRule>
    <cfRule type="containsBlanks" dxfId="2716" priority="4423" stopIfTrue="1">
      <formula>LEN(TRIM(E96))=0</formula>
    </cfRule>
  </conditionalFormatting>
  <conditionalFormatting sqref="F97:F102">
    <cfRule type="containsBlanks" dxfId="2715" priority="4410" stopIfTrue="1">
      <formula>LEN(TRIM(F97))=0</formula>
    </cfRule>
    <cfRule type="cellIs" dxfId="2714" priority="4411" stopIfTrue="1" operator="between">
      <formula>79.1</formula>
      <formula>100</formula>
    </cfRule>
    <cfRule type="cellIs" dxfId="2713" priority="4412" stopIfTrue="1" operator="between">
      <formula>34.1</formula>
      <formula>79</formula>
    </cfRule>
    <cfRule type="cellIs" dxfId="2712" priority="4413" stopIfTrue="1" operator="between">
      <formula>13.1</formula>
      <formula>34</formula>
    </cfRule>
    <cfRule type="cellIs" dxfId="2711" priority="4414" stopIfTrue="1" operator="between">
      <formula>5.1</formula>
      <formula>13</formula>
    </cfRule>
    <cfRule type="cellIs" dxfId="2710" priority="4415" stopIfTrue="1" operator="between">
      <formula>0</formula>
      <formula>5</formula>
    </cfRule>
    <cfRule type="containsBlanks" dxfId="2709" priority="4416" stopIfTrue="1">
      <formula>LEN(TRIM(F97))=0</formula>
    </cfRule>
  </conditionalFormatting>
  <conditionalFormatting sqref="E103:E106 G112:N112 G103:G106 I103:I106 K103:K106 M103:M106 P103:P106 E108 G108:I108 K108 M108 P108 M110:M111 K110:K111 G110:I111 E110:E112 P110:P112 L113:M115 I113:I114">
    <cfRule type="containsBlanks" dxfId="2708" priority="4403" stopIfTrue="1">
      <formula>LEN(TRIM(E103))=0</formula>
    </cfRule>
    <cfRule type="cellIs" dxfId="2707" priority="4404" stopIfTrue="1" operator="between">
      <formula>80.1</formula>
      <formula>100</formula>
    </cfRule>
    <cfRule type="cellIs" dxfId="2706" priority="4405" stopIfTrue="1" operator="between">
      <formula>35.1</formula>
      <formula>80</formula>
    </cfRule>
    <cfRule type="cellIs" dxfId="2705" priority="4406" stopIfTrue="1" operator="between">
      <formula>14.1</formula>
      <formula>35</formula>
    </cfRule>
    <cfRule type="cellIs" dxfId="2704" priority="4407" stopIfTrue="1" operator="between">
      <formula>5.1</formula>
      <formula>14</formula>
    </cfRule>
    <cfRule type="cellIs" dxfId="2703" priority="4408" stopIfTrue="1" operator="between">
      <formula>0</formula>
      <formula>5</formula>
    </cfRule>
    <cfRule type="containsBlanks" dxfId="2702" priority="4409" stopIfTrue="1">
      <formula>LEN(TRIM(E103))=0</formula>
    </cfRule>
  </conditionalFormatting>
  <conditionalFormatting sqref="F103:F106 F108 F110:F112">
    <cfRule type="containsBlanks" dxfId="2701" priority="4396" stopIfTrue="1">
      <formula>LEN(TRIM(F103))=0</formula>
    </cfRule>
    <cfRule type="cellIs" dxfId="2700" priority="4397" stopIfTrue="1" operator="between">
      <formula>79.1</formula>
      <formula>100</formula>
    </cfRule>
    <cfRule type="cellIs" dxfId="2699" priority="4398" stopIfTrue="1" operator="between">
      <formula>34.1</formula>
      <formula>79</formula>
    </cfRule>
    <cfRule type="cellIs" dxfId="2698" priority="4399" stopIfTrue="1" operator="between">
      <formula>13.1</formula>
      <formula>34</formula>
    </cfRule>
    <cfRule type="cellIs" dxfId="2697" priority="4400" stopIfTrue="1" operator="between">
      <formula>5.1</formula>
      <formula>13</formula>
    </cfRule>
    <cfRule type="cellIs" dxfId="2696" priority="4401" stopIfTrue="1" operator="between">
      <formula>0</formula>
      <formula>5</formula>
    </cfRule>
    <cfRule type="containsBlanks" dxfId="2695" priority="4402" stopIfTrue="1">
      <formula>LEN(TRIM(F103))=0</formula>
    </cfRule>
  </conditionalFormatting>
  <conditionalFormatting sqref="E139:Q139">
    <cfRule type="containsBlanks" dxfId="2694" priority="4389" stopIfTrue="1">
      <formula>LEN(TRIM(E139))=0</formula>
    </cfRule>
    <cfRule type="cellIs" dxfId="2693" priority="4390" stopIfTrue="1" operator="between">
      <formula>79.1</formula>
      <formula>100</formula>
    </cfRule>
    <cfRule type="cellIs" dxfId="2692" priority="4391" stopIfTrue="1" operator="between">
      <formula>34.1</formula>
      <formula>79</formula>
    </cfRule>
    <cfRule type="cellIs" dxfId="2691" priority="4392" stopIfTrue="1" operator="between">
      <formula>13.1</formula>
      <formula>34</formula>
    </cfRule>
    <cfRule type="cellIs" dxfId="2690" priority="4393" stopIfTrue="1" operator="between">
      <formula>5.1</formula>
      <formula>13</formula>
    </cfRule>
    <cfRule type="cellIs" dxfId="2689" priority="4394" stopIfTrue="1" operator="between">
      <formula>0</formula>
      <formula>5</formula>
    </cfRule>
    <cfRule type="containsBlanks" dxfId="2688" priority="4395" stopIfTrue="1">
      <formula>LEN(TRIM(E139))=0</formula>
    </cfRule>
  </conditionalFormatting>
  <conditionalFormatting sqref="E140:Q140">
    <cfRule type="containsBlanks" dxfId="2687" priority="4382" stopIfTrue="1">
      <formula>LEN(TRIM(E140))=0</formula>
    </cfRule>
    <cfRule type="cellIs" dxfId="2686" priority="4383" stopIfTrue="1" operator="between">
      <formula>79.1</formula>
      <formula>100</formula>
    </cfRule>
    <cfRule type="cellIs" dxfId="2685" priority="4384" stopIfTrue="1" operator="between">
      <formula>34.1</formula>
      <formula>79</formula>
    </cfRule>
    <cfRule type="cellIs" dxfId="2684" priority="4385" stopIfTrue="1" operator="between">
      <formula>13.1</formula>
      <formula>34</formula>
    </cfRule>
    <cfRule type="cellIs" dxfId="2683" priority="4386" stopIfTrue="1" operator="between">
      <formula>5.1</formula>
      <formula>13</formula>
    </cfRule>
    <cfRule type="cellIs" dxfId="2682" priority="4387" stopIfTrue="1" operator="between">
      <formula>0</formula>
      <formula>5</formula>
    </cfRule>
    <cfRule type="containsBlanks" dxfId="2681" priority="4388" stopIfTrue="1">
      <formula>LEN(TRIM(E140))=0</formula>
    </cfRule>
  </conditionalFormatting>
  <conditionalFormatting sqref="E141:Q141">
    <cfRule type="containsBlanks" dxfId="2680" priority="4375" stopIfTrue="1">
      <formula>LEN(TRIM(E141))=0</formula>
    </cfRule>
    <cfRule type="cellIs" dxfId="2679" priority="4376" stopIfTrue="1" operator="between">
      <formula>79.1</formula>
      <formula>100</formula>
    </cfRule>
    <cfRule type="cellIs" dxfId="2678" priority="4377" stopIfTrue="1" operator="between">
      <formula>34.1</formula>
      <formula>79</formula>
    </cfRule>
    <cfRule type="cellIs" dxfId="2677" priority="4378" stopIfTrue="1" operator="between">
      <formula>13.1</formula>
      <formula>34</formula>
    </cfRule>
    <cfRule type="cellIs" dxfId="2676" priority="4379" stopIfTrue="1" operator="between">
      <formula>5.1</formula>
      <formula>13</formula>
    </cfRule>
    <cfRule type="cellIs" dxfId="2675" priority="4380" stopIfTrue="1" operator="between">
      <formula>0</formula>
      <formula>5</formula>
    </cfRule>
    <cfRule type="containsBlanks" dxfId="2674" priority="4381" stopIfTrue="1">
      <formula>LEN(TRIM(E141))=0</formula>
    </cfRule>
  </conditionalFormatting>
  <conditionalFormatting sqref="E142:Q142">
    <cfRule type="containsBlanks" dxfId="2673" priority="4368" stopIfTrue="1">
      <formula>LEN(TRIM(E142))=0</formula>
    </cfRule>
    <cfRule type="cellIs" dxfId="2672" priority="4369" stopIfTrue="1" operator="between">
      <formula>79.1</formula>
      <formula>100</formula>
    </cfRule>
    <cfRule type="cellIs" dxfId="2671" priority="4370" stopIfTrue="1" operator="between">
      <formula>34.1</formula>
      <formula>79</formula>
    </cfRule>
    <cfRule type="cellIs" dxfId="2670" priority="4371" stopIfTrue="1" operator="between">
      <formula>13.1</formula>
      <formula>34</formula>
    </cfRule>
    <cfRule type="cellIs" dxfId="2669" priority="4372" stopIfTrue="1" operator="between">
      <formula>5.1</formula>
      <formula>13</formula>
    </cfRule>
    <cfRule type="cellIs" dxfId="2668" priority="4373" stopIfTrue="1" operator="between">
      <formula>0</formula>
      <formula>5</formula>
    </cfRule>
    <cfRule type="containsBlanks" dxfId="2667" priority="4374" stopIfTrue="1">
      <formula>LEN(TRIM(E142))=0</formula>
    </cfRule>
  </conditionalFormatting>
  <conditionalFormatting sqref="E143:Q143">
    <cfRule type="containsBlanks" dxfId="2666" priority="4361" stopIfTrue="1">
      <formula>LEN(TRIM(E143))=0</formula>
    </cfRule>
    <cfRule type="cellIs" dxfId="2665" priority="4362" stopIfTrue="1" operator="between">
      <formula>79.1</formula>
      <formula>100</formula>
    </cfRule>
    <cfRule type="cellIs" dxfId="2664" priority="4363" stopIfTrue="1" operator="between">
      <formula>34.1</formula>
      <formula>79</formula>
    </cfRule>
    <cfRule type="cellIs" dxfId="2663" priority="4364" stopIfTrue="1" operator="between">
      <formula>13.1</formula>
      <formula>34</formula>
    </cfRule>
    <cfRule type="cellIs" dxfId="2662" priority="4365" stopIfTrue="1" operator="between">
      <formula>5.1</formula>
      <formula>13</formula>
    </cfRule>
    <cfRule type="cellIs" dxfId="2661" priority="4366" stopIfTrue="1" operator="between">
      <formula>0</formula>
      <formula>5</formula>
    </cfRule>
    <cfRule type="containsBlanks" dxfId="2660" priority="4367" stopIfTrue="1">
      <formula>LEN(TRIM(E143))=0</formula>
    </cfRule>
  </conditionalFormatting>
  <conditionalFormatting sqref="E149:Q149">
    <cfRule type="containsBlanks" dxfId="2659" priority="4354" stopIfTrue="1">
      <formula>LEN(TRIM(E149))=0</formula>
    </cfRule>
    <cfRule type="cellIs" dxfId="2658" priority="4355" stopIfTrue="1" operator="between">
      <formula>79.1</formula>
      <formula>100</formula>
    </cfRule>
    <cfRule type="cellIs" dxfId="2657" priority="4356" stopIfTrue="1" operator="between">
      <formula>34.1</formula>
      <formula>79</formula>
    </cfRule>
    <cfRule type="cellIs" dxfId="2656" priority="4357" stopIfTrue="1" operator="between">
      <formula>13.1</formula>
      <formula>34</formula>
    </cfRule>
    <cfRule type="cellIs" dxfId="2655" priority="4358" stopIfTrue="1" operator="between">
      <formula>5.1</formula>
      <formula>13</formula>
    </cfRule>
    <cfRule type="cellIs" dxfId="2654" priority="4359" stopIfTrue="1" operator="between">
      <formula>0</formula>
      <formula>5</formula>
    </cfRule>
    <cfRule type="containsBlanks" dxfId="2653" priority="4360" stopIfTrue="1">
      <formula>LEN(TRIM(E149))=0</formula>
    </cfRule>
  </conditionalFormatting>
  <conditionalFormatting sqref="E150:Q153">
    <cfRule type="containsBlanks" dxfId="2652" priority="4347" stopIfTrue="1">
      <formula>LEN(TRIM(E150))=0</formula>
    </cfRule>
    <cfRule type="cellIs" dxfId="2651" priority="4348" stopIfTrue="1" operator="between">
      <formula>79.1</formula>
      <formula>100</formula>
    </cfRule>
    <cfRule type="cellIs" dxfId="2650" priority="4349" stopIfTrue="1" operator="between">
      <formula>34.1</formula>
      <formula>79</formula>
    </cfRule>
    <cfRule type="cellIs" dxfId="2649" priority="4350" stopIfTrue="1" operator="between">
      <formula>13.1</formula>
      <formula>34</formula>
    </cfRule>
    <cfRule type="cellIs" dxfId="2648" priority="4351" stopIfTrue="1" operator="between">
      <formula>5.1</formula>
      <formula>13</formula>
    </cfRule>
    <cfRule type="cellIs" dxfId="2647" priority="4352" stopIfTrue="1" operator="between">
      <formula>0</formula>
      <formula>5</formula>
    </cfRule>
    <cfRule type="containsBlanks" dxfId="2646" priority="4353" stopIfTrue="1">
      <formula>LEN(TRIM(E150))=0</formula>
    </cfRule>
  </conditionalFormatting>
  <conditionalFormatting sqref="E154:Q160">
    <cfRule type="containsBlanks" dxfId="2645" priority="4340" stopIfTrue="1">
      <formula>LEN(TRIM(E154))=0</formula>
    </cfRule>
    <cfRule type="cellIs" dxfId="2644" priority="4341" stopIfTrue="1" operator="between">
      <formula>79.1</formula>
      <formula>100</formula>
    </cfRule>
    <cfRule type="cellIs" dxfId="2643" priority="4342" stopIfTrue="1" operator="between">
      <formula>34.1</formula>
      <formula>79</formula>
    </cfRule>
    <cfRule type="cellIs" dxfId="2642" priority="4343" stopIfTrue="1" operator="between">
      <formula>13.1</formula>
      <formula>34</formula>
    </cfRule>
    <cfRule type="cellIs" dxfId="2641" priority="4344" stopIfTrue="1" operator="between">
      <formula>5.1</formula>
      <formula>13</formula>
    </cfRule>
    <cfRule type="cellIs" dxfId="2640" priority="4345" stopIfTrue="1" operator="between">
      <formula>0</formula>
      <formula>5</formula>
    </cfRule>
    <cfRule type="containsBlanks" dxfId="2639" priority="4346" stopIfTrue="1">
      <formula>LEN(TRIM(E154))=0</formula>
    </cfRule>
  </conditionalFormatting>
  <conditionalFormatting sqref="E161:Q161">
    <cfRule type="containsBlanks" dxfId="2638" priority="4333" stopIfTrue="1">
      <formula>LEN(TRIM(E161))=0</formula>
    </cfRule>
    <cfRule type="cellIs" dxfId="2637" priority="4334" stopIfTrue="1" operator="between">
      <formula>79.1</formula>
      <formula>100</formula>
    </cfRule>
    <cfRule type="cellIs" dxfId="2636" priority="4335" stopIfTrue="1" operator="between">
      <formula>34.1</formula>
      <formula>79</formula>
    </cfRule>
    <cfRule type="cellIs" dxfId="2635" priority="4336" stopIfTrue="1" operator="between">
      <formula>13.1</formula>
      <formula>34</formula>
    </cfRule>
    <cfRule type="cellIs" dxfId="2634" priority="4337" stopIfTrue="1" operator="between">
      <formula>5.1</formula>
      <formula>13</formula>
    </cfRule>
    <cfRule type="cellIs" dxfId="2633" priority="4338" stopIfTrue="1" operator="between">
      <formula>0</formula>
      <formula>5</formula>
    </cfRule>
    <cfRule type="containsBlanks" dxfId="2632" priority="4339" stopIfTrue="1">
      <formula>LEN(TRIM(E161))=0</formula>
    </cfRule>
  </conditionalFormatting>
  <conditionalFormatting sqref="E163:Q163">
    <cfRule type="containsBlanks" dxfId="2631" priority="4326" stopIfTrue="1">
      <formula>LEN(TRIM(E163))=0</formula>
    </cfRule>
    <cfRule type="cellIs" dxfId="2630" priority="4327" stopIfTrue="1" operator="between">
      <formula>80.1</formula>
      <formula>100</formula>
    </cfRule>
    <cfRule type="cellIs" dxfId="2629" priority="4328" stopIfTrue="1" operator="between">
      <formula>35.1</formula>
      <formula>80</formula>
    </cfRule>
    <cfRule type="cellIs" dxfId="2628" priority="4329" stopIfTrue="1" operator="between">
      <formula>14.1</formula>
      <formula>35</formula>
    </cfRule>
    <cfRule type="cellIs" dxfId="2627" priority="4330" stopIfTrue="1" operator="between">
      <formula>5.1</formula>
      <formula>14</formula>
    </cfRule>
    <cfRule type="cellIs" dxfId="2626" priority="4331" stopIfTrue="1" operator="between">
      <formula>0</formula>
      <formula>5</formula>
    </cfRule>
    <cfRule type="containsBlanks" dxfId="2625" priority="4332" stopIfTrue="1">
      <formula>LEN(TRIM(E163))=0</formula>
    </cfRule>
  </conditionalFormatting>
  <conditionalFormatting sqref="E164:Q171">
    <cfRule type="containsBlanks" dxfId="2624" priority="4319" stopIfTrue="1">
      <formula>LEN(TRIM(E164))=0</formula>
    </cfRule>
    <cfRule type="cellIs" dxfId="2623" priority="4320" stopIfTrue="1" operator="between">
      <formula>80.1</formula>
      <formula>100</formula>
    </cfRule>
    <cfRule type="cellIs" dxfId="2622" priority="4321" stopIfTrue="1" operator="between">
      <formula>35.1</formula>
      <formula>80</formula>
    </cfRule>
    <cfRule type="cellIs" dxfId="2621" priority="4322" stopIfTrue="1" operator="between">
      <formula>14.1</formula>
      <formula>35</formula>
    </cfRule>
    <cfRule type="cellIs" dxfId="2620" priority="4323" stopIfTrue="1" operator="between">
      <formula>5.1</formula>
      <formula>14</formula>
    </cfRule>
    <cfRule type="cellIs" dxfId="2619" priority="4324" stopIfTrue="1" operator="between">
      <formula>0</formula>
      <formula>5</formula>
    </cfRule>
    <cfRule type="containsBlanks" dxfId="2618" priority="4325" stopIfTrue="1">
      <formula>LEN(TRIM(E164))=0</formula>
    </cfRule>
  </conditionalFormatting>
  <conditionalFormatting sqref="E172:Q175">
    <cfRule type="containsBlanks" dxfId="2617" priority="4298" stopIfTrue="1">
      <formula>LEN(TRIM(E172))=0</formula>
    </cfRule>
    <cfRule type="cellIs" dxfId="2616" priority="4299" stopIfTrue="1" operator="between">
      <formula>80.1</formula>
      <formula>100</formula>
    </cfRule>
    <cfRule type="cellIs" dxfId="2615" priority="4300" stopIfTrue="1" operator="between">
      <formula>35.1</formula>
      <formula>80</formula>
    </cfRule>
    <cfRule type="cellIs" dxfId="2614" priority="4301" stopIfTrue="1" operator="between">
      <formula>14.1</formula>
      <formula>35</formula>
    </cfRule>
    <cfRule type="cellIs" dxfId="2613" priority="4302" stopIfTrue="1" operator="between">
      <formula>5.1</formula>
      <formula>14</formula>
    </cfRule>
    <cfRule type="cellIs" dxfId="2612" priority="4303" stopIfTrue="1" operator="between">
      <formula>0</formula>
      <formula>5</formula>
    </cfRule>
    <cfRule type="containsBlanks" dxfId="2611" priority="4304" stopIfTrue="1">
      <formula>LEN(TRIM(E172))=0</formula>
    </cfRule>
  </conditionalFormatting>
  <conditionalFormatting sqref="E176:Q176">
    <cfRule type="containsBlanks" dxfId="2610" priority="4291" stopIfTrue="1">
      <formula>LEN(TRIM(E176))=0</formula>
    </cfRule>
    <cfRule type="cellIs" dxfId="2609" priority="4292" stopIfTrue="1" operator="between">
      <formula>80.1</formula>
      <formula>100</formula>
    </cfRule>
    <cfRule type="cellIs" dxfId="2608" priority="4293" stopIfTrue="1" operator="between">
      <formula>35.1</formula>
      <formula>80</formula>
    </cfRule>
    <cfRule type="cellIs" dxfId="2607" priority="4294" stopIfTrue="1" operator="between">
      <formula>14.1</formula>
      <formula>35</formula>
    </cfRule>
    <cfRule type="cellIs" dxfId="2606" priority="4295" stopIfTrue="1" operator="between">
      <formula>5.1</formula>
      <formula>14</formula>
    </cfRule>
    <cfRule type="cellIs" dxfId="2605" priority="4296" stopIfTrue="1" operator="between">
      <formula>0</formula>
      <formula>5</formula>
    </cfRule>
    <cfRule type="containsBlanks" dxfId="2604" priority="4297" stopIfTrue="1">
      <formula>LEN(TRIM(E176))=0</formula>
    </cfRule>
  </conditionalFormatting>
  <conditionalFormatting sqref="E177:Q179 E181:Q181">
    <cfRule type="containsBlanks" dxfId="2603" priority="4284" stopIfTrue="1">
      <formula>LEN(TRIM(E177))=0</formula>
    </cfRule>
    <cfRule type="cellIs" dxfId="2602" priority="4285" stopIfTrue="1" operator="between">
      <formula>80.1</formula>
      <formula>100</formula>
    </cfRule>
    <cfRule type="cellIs" dxfId="2601" priority="4286" stopIfTrue="1" operator="between">
      <formula>35.1</formula>
      <formula>80</formula>
    </cfRule>
    <cfRule type="cellIs" dxfId="2600" priority="4287" stopIfTrue="1" operator="between">
      <formula>14.1</formula>
      <formula>35</formula>
    </cfRule>
    <cfRule type="cellIs" dxfId="2599" priority="4288" stopIfTrue="1" operator="between">
      <formula>5.1</formula>
      <formula>14</formula>
    </cfRule>
    <cfRule type="cellIs" dxfId="2598" priority="4289" stopIfTrue="1" operator="between">
      <formula>0</formula>
      <formula>5</formula>
    </cfRule>
    <cfRule type="containsBlanks" dxfId="2597" priority="4290" stopIfTrue="1">
      <formula>LEN(TRIM(E177))=0</formula>
    </cfRule>
  </conditionalFormatting>
  <conditionalFormatting sqref="E180:Q180">
    <cfRule type="containsBlanks" dxfId="2596" priority="4277" stopIfTrue="1">
      <formula>LEN(TRIM(E180))=0</formula>
    </cfRule>
    <cfRule type="cellIs" dxfId="2595" priority="4278" stopIfTrue="1" operator="between">
      <formula>80.1</formula>
      <formula>100</formula>
    </cfRule>
    <cfRule type="cellIs" dxfId="2594" priority="4279" stopIfTrue="1" operator="between">
      <formula>35.1</formula>
      <formula>80</formula>
    </cfRule>
    <cfRule type="cellIs" dxfId="2593" priority="4280" stopIfTrue="1" operator="between">
      <formula>14.1</formula>
      <formula>35</formula>
    </cfRule>
    <cfRule type="cellIs" dxfId="2592" priority="4281" stopIfTrue="1" operator="between">
      <formula>5.1</formula>
      <formula>14</formula>
    </cfRule>
    <cfRule type="cellIs" dxfId="2591" priority="4282" stopIfTrue="1" operator="between">
      <formula>0</formula>
      <formula>5</formula>
    </cfRule>
    <cfRule type="containsBlanks" dxfId="2590" priority="4283" stopIfTrue="1">
      <formula>LEN(TRIM(E180))=0</formula>
    </cfRule>
  </conditionalFormatting>
  <conditionalFormatting sqref="E182:Q182">
    <cfRule type="containsBlanks" dxfId="2589" priority="4270" stopIfTrue="1">
      <formula>LEN(TRIM(E182))=0</formula>
    </cfRule>
    <cfRule type="cellIs" dxfId="2588" priority="4271" stopIfTrue="1" operator="between">
      <formula>80.1</formula>
      <formula>100</formula>
    </cfRule>
    <cfRule type="cellIs" dxfId="2587" priority="4272" stopIfTrue="1" operator="between">
      <formula>35.1</formula>
      <formula>80</formula>
    </cfRule>
    <cfRule type="cellIs" dxfId="2586" priority="4273" stopIfTrue="1" operator="between">
      <formula>14.1</formula>
      <formula>35</formula>
    </cfRule>
    <cfRule type="cellIs" dxfId="2585" priority="4274" stopIfTrue="1" operator="between">
      <formula>5.1</formula>
      <formula>14</formula>
    </cfRule>
    <cfRule type="cellIs" dxfId="2584" priority="4275" stopIfTrue="1" operator="between">
      <formula>0</formula>
      <formula>5</formula>
    </cfRule>
    <cfRule type="containsBlanks" dxfId="2583" priority="4276" stopIfTrue="1">
      <formula>LEN(TRIM(E182))=0</formula>
    </cfRule>
  </conditionalFormatting>
  <conditionalFormatting sqref="E183:Q184">
    <cfRule type="containsBlanks" dxfId="2582" priority="4263" stopIfTrue="1">
      <formula>LEN(TRIM(E183))=0</formula>
    </cfRule>
    <cfRule type="cellIs" dxfId="2581" priority="4264" stopIfTrue="1" operator="between">
      <formula>80.1</formula>
      <formula>100</formula>
    </cfRule>
    <cfRule type="cellIs" dxfId="2580" priority="4265" stopIfTrue="1" operator="between">
      <formula>35.1</formula>
      <formula>80</formula>
    </cfRule>
    <cfRule type="cellIs" dxfId="2579" priority="4266" stopIfTrue="1" operator="between">
      <formula>14.1</formula>
      <formula>35</formula>
    </cfRule>
    <cfRule type="cellIs" dxfId="2578" priority="4267" stopIfTrue="1" operator="between">
      <formula>5.1</formula>
      <formula>14</formula>
    </cfRule>
    <cfRule type="cellIs" dxfId="2577" priority="4268" stopIfTrue="1" operator="between">
      <formula>0</formula>
      <formula>5</formula>
    </cfRule>
    <cfRule type="containsBlanks" dxfId="2576" priority="4269" stopIfTrue="1">
      <formula>LEN(TRIM(E183))=0</formula>
    </cfRule>
  </conditionalFormatting>
  <conditionalFormatting sqref="E185:Q185">
    <cfRule type="containsBlanks" dxfId="2575" priority="4227" stopIfTrue="1">
      <formula>LEN(TRIM(E185))=0</formula>
    </cfRule>
    <cfRule type="cellIs" dxfId="2574" priority="4228" stopIfTrue="1" operator="between">
      <formula>80.1</formula>
      <formula>100</formula>
    </cfRule>
    <cfRule type="cellIs" dxfId="2573" priority="4229" stopIfTrue="1" operator="between">
      <formula>35.1</formula>
      <formula>80</formula>
    </cfRule>
    <cfRule type="cellIs" dxfId="2572" priority="4230" stopIfTrue="1" operator="between">
      <formula>14.1</formula>
      <formula>35</formula>
    </cfRule>
    <cfRule type="cellIs" dxfId="2571" priority="4231" stopIfTrue="1" operator="between">
      <formula>5.1</formula>
      <formula>14</formula>
    </cfRule>
    <cfRule type="cellIs" dxfId="2570" priority="4232" stopIfTrue="1" operator="between">
      <formula>0</formula>
      <formula>5</formula>
    </cfRule>
    <cfRule type="containsBlanks" dxfId="2569" priority="4233" stopIfTrue="1">
      <formula>LEN(TRIM(E185))=0</formula>
    </cfRule>
  </conditionalFormatting>
  <conditionalFormatting sqref="E186:Q186">
    <cfRule type="containsBlanks" dxfId="2568" priority="4220" stopIfTrue="1">
      <formula>LEN(TRIM(E186))=0</formula>
    </cfRule>
    <cfRule type="cellIs" dxfId="2567" priority="4221" stopIfTrue="1" operator="between">
      <formula>80.1</formula>
      <formula>100</formula>
    </cfRule>
    <cfRule type="cellIs" dxfId="2566" priority="4222" stopIfTrue="1" operator="between">
      <formula>35.1</formula>
      <formula>80</formula>
    </cfRule>
    <cfRule type="cellIs" dxfId="2565" priority="4223" stopIfTrue="1" operator="between">
      <formula>14.1</formula>
      <formula>35</formula>
    </cfRule>
    <cfRule type="cellIs" dxfId="2564" priority="4224" stopIfTrue="1" operator="between">
      <formula>5.1</formula>
      <formula>14</formula>
    </cfRule>
    <cfRule type="cellIs" dxfId="2563" priority="4225" stopIfTrue="1" operator="between">
      <formula>0</formula>
      <formula>5</formula>
    </cfRule>
    <cfRule type="containsBlanks" dxfId="2562" priority="4226" stopIfTrue="1">
      <formula>LEN(TRIM(E186))=0</formula>
    </cfRule>
  </conditionalFormatting>
  <conditionalFormatting sqref="E188:Q188">
    <cfRule type="containsBlanks" dxfId="2561" priority="4213" stopIfTrue="1">
      <formula>LEN(TRIM(E188))=0</formula>
    </cfRule>
    <cfRule type="cellIs" dxfId="2560" priority="4214" stopIfTrue="1" operator="between">
      <formula>80.1</formula>
      <formula>100</formula>
    </cfRule>
    <cfRule type="cellIs" dxfId="2559" priority="4215" stopIfTrue="1" operator="between">
      <formula>35.1</formula>
      <formula>80</formula>
    </cfRule>
    <cfRule type="cellIs" dxfId="2558" priority="4216" stopIfTrue="1" operator="between">
      <formula>14.1</formula>
      <formula>35</formula>
    </cfRule>
    <cfRule type="cellIs" dxfId="2557" priority="4217" stopIfTrue="1" operator="between">
      <formula>5.1</formula>
      <formula>14</formula>
    </cfRule>
    <cfRule type="cellIs" dxfId="2556" priority="4218" stopIfTrue="1" operator="between">
      <formula>0</formula>
      <formula>5</formula>
    </cfRule>
    <cfRule type="containsBlanks" dxfId="2555" priority="4219" stopIfTrue="1">
      <formula>LEN(TRIM(E188))=0</formula>
    </cfRule>
  </conditionalFormatting>
  <conditionalFormatting sqref="E189:Q189">
    <cfRule type="containsBlanks" dxfId="2554" priority="4206" stopIfTrue="1">
      <formula>LEN(TRIM(E189))=0</formula>
    </cfRule>
    <cfRule type="cellIs" dxfId="2553" priority="4207" stopIfTrue="1" operator="between">
      <formula>80.1</formula>
      <formula>100</formula>
    </cfRule>
    <cfRule type="cellIs" dxfId="2552" priority="4208" stopIfTrue="1" operator="between">
      <formula>35.1</formula>
      <formula>80</formula>
    </cfRule>
    <cfRule type="cellIs" dxfId="2551" priority="4209" stopIfTrue="1" operator="between">
      <formula>14.1</formula>
      <formula>35</formula>
    </cfRule>
    <cfRule type="cellIs" dxfId="2550" priority="4210" stopIfTrue="1" operator="between">
      <formula>5.1</formula>
      <formula>14</formula>
    </cfRule>
    <cfRule type="cellIs" dxfId="2549" priority="4211" stopIfTrue="1" operator="between">
      <formula>0</formula>
      <formula>5</formula>
    </cfRule>
    <cfRule type="containsBlanks" dxfId="2548" priority="4212" stopIfTrue="1">
      <formula>LEN(TRIM(E189))=0</formula>
    </cfRule>
  </conditionalFormatting>
  <conditionalFormatting sqref="E190:Q190">
    <cfRule type="containsBlanks" dxfId="2547" priority="4199" stopIfTrue="1">
      <formula>LEN(TRIM(E190))=0</formula>
    </cfRule>
    <cfRule type="cellIs" dxfId="2546" priority="4200" stopIfTrue="1" operator="between">
      <formula>80.1</formula>
      <formula>100</formula>
    </cfRule>
    <cfRule type="cellIs" dxfId="2545" priority="4201" stopIfTrue="1" operator="between">
      <formula>35.1</formula>
      <formula>80</formula>
    </cfRule>
    <cfRule type="cellIs" dxfId="2544" priority="4202" stopIfTrue="1" operator="between">
      <formula>14.1</formula>
      <formula>35</formula>
    </cfRule>
    <cfRule type="cellIs" dxfId="2543" priority="4203" stopIfTrue="1" operator="between">
      <formula>5.1</formula>
      <formula>14</formula>
    </cfRule>
    <cfRule type="cellIs" dxfId="2542" priority="4204" stopIfTrue="1" operator="between">
      <formula>0</formula>
      <formula>5</formula>
    </cfRule>
    <cfRule type="containsBlanks" dxfId="2541" priority="4205" stopIfTrue="1">
      <formula>LEN(TRIM(E190))=0</formula>
    </cfRule>
  </conditionalFormatting>
  <conditionalFormatting sqref="E191:Q194">
    <cfRule type="containsBlanks" dxfId="2540" priority="4192" stopIfTrue="1">
      <formula>LEN(TRIM(E191))=0</formula>
    </cfRule>
    <cfRule type="cellIs" dxfId="2539" priority="4193" stopIfTrue="1" operator="between">
      <formula>80.1</formula>
      <formula>100</formula>
    </cfRule>
    <cfRule type="cellIs" dxfId="2538" priority="4194" stopIfTrue="1" operator="between">
      <formula>35.1</formula>
      <formula>80</formula>
    </cfRule>
    <cfRule type="cellIs" dxfId="2537" priority="4195" stopIfTrue="1" operator="between">
      <formula>14.1</formula>
      <formula>35</formula>
    </cfRule>
    <cfRule type="cellIs" dxfId="2536" priority="4196" stopIfTrue="1" operator="between">
      <formula>5.1</formula>
      <formula>14</formula>
    </cfRule>
    <cfRule type="cellIs" dxfId="2535" priority="4197" stopIfTrue="1" operator="between">
      <formula>0</formula>
      <formula>5</formula>
    </cfRule>
    <cfRule type="containsBlanks" dxfId="2534" priority="4198" stopIfTrue="1">
      <formula>LEN(TRIM(E191))=0</formula>
    </cfRule>
  </conditionalFormatting>
  <conditionalFormatting sqref="E195:Q196">
    <cfRule type="containsBlanks" dxfId="2533" priority="4185" stopIfTrue="1">
      <formula>LEN(TRIM(E195))=0</formula>
    </cfRule>
    <cfRule type="cellIs" dxfId="2532" priority="4186" stopIfTrue="1" operator="between">
      <formula>80.1</formula>
      <formula>100</formula>
    </cfRule>
    <cfRule type="cellIs" dxfId="2531" priority="4187" stopIfTrue="1" operator="between">
      <formula>35.1</formula>
      <formula>80</formula>
    </cfRule>
    <cfRule type="cellIs" dxfId="2530" priority="4188" stopIfTrue="1" operator="between">
      <formula>14.1</formula>
      <formula>35</formula>
    </cfRule>
    <cfRule type="cellIs" dxfId="2529" priority="4189" stopIfTrue="1" operator="between">
      <formula>5.1</formula>
      <formula>14</formula>
    </cfRule>
    <cfRule type="cellIs" dxfId="2528" priority="4190" stopIfTrue="1" operator="between">
      <formula>0</formula>
      <formula>5</formula>
    </cfRule>
    <cfRule type="containsBlanks" dxfId="2527" priority="4191" stopIfTrue="1">
      <formula>LEN(TRIM(E195))=0</formula>
    </cfRule>
  </conditionalFormatting>
  <conditionalFormatting sqref="E203:Q203">
    <cfRule type="containsBlanks" dxfId="2526" priority="4178" stopIfTrue="1">
      <formula>LEN(TRIM(E203))=0</formula>
    </cfRule>
    <cfRule type="cellIs" dxfId="2525" priority="4179" stopIfTrue="1" operator="between">
      <formula>80.1</formula>
      <formula>100</formula>
    </cfRule>
    <cfRule type="cellIs" dxfId="2524" priority="4180" stopIfTrue="1" operator="between">
      <formula>35.1</formula>
      <formula>80</formula>
    </cfRule>
    <cfRule type="cellIs" dxfId="2523" priority="4181" stopIfTrue="1" operator="between">
      <formula>14.1</formula>
      <formula>35</formula>
    </cfRule>
    <cfRule type="cellIs" dxfId="2522" priority="4182" stopIfTrue="1" operator="between">
      <formula>5.1</formula>
      <formula>14</formula>
    </cfRule>
    <cfRule type="cellIs" dxfId="2521" priority="4183" stopIfTrue="1" operator="between">
      <formula>0</formula>
      <formula>5</formula>
    </cfRule>
    <cfRule type="containsBlanks" dxfId="2520" priority="4184" stopIfTrue="1">
      <formula>LEN(TRIM(E203))=0</formula>
    </cfRule>
  </conditionalFormatting>
  <conditionalFormatting sqref="E206:Q207">
    <cfRule type="containsBlanks" dxfId="2519" priority="4171" stopIfTrue="1">
      <formula>LEN(TRIM(E206))=0</formula>
    </cfRule>
    <cfRule type="cellIs" dxfId="2518" priority="4172" stopIfTrue="1" operator="between">
      <formula>80.1</formula>
      <formula>100</formula>
    </cfRule>
    <cfRule type="cellIs" dxfId="2517" priority="4173" stopIfTrue="1" operator="between">
      <formula>35.1</formula>
      <formula>80</formula>
    </cfRule>
    <cfRule type="cellIs" dxfId="2516" priority="4174" stopIfTrue="1" operator="between">
      <formula>14.1</formula>
      <formula>35</formula>
    </cfRule>
    <cfRule type="cellIs" dxfId="2515" priority="4175" stopIfTrue="1" operator="between">
      <formula>5.1</formula>
      <formula>14</formula>
    </cfRule>
    <cfRule type="cellIs" dxfId="2514" priority="4176" stopIfTrue="1" operator="between">
      <formula>0</formula>
      <formula>5</formula>
    </cfRule>
    <cfRule type="containsBlanks" dxfId="2513" priority="4177" stopIfTrue="1">
      <formula>LEN(TRIM(E206))=0</formula>
    </cfRule>
  </conditionalFormatting>
  <conditionalFormatting sqref="E204:Q204">
    <cfRule type="containsBlanks" dxfId="2512" priority="4164" stopIfTrue="1">
      <formula>LEN(TRIM(E204))=0</formula>
    </cfRule>
    <cfRule type="cellIs" dxfId="2511" priority="4165" stopIfTrue="1" operator="between">
      <formula>80.1</formula>
      <formula>100</formula>
    </cfRule>
    <cfRule type="cellIs" dxfId="2510" priority="4166" stopIfTrue="1" operator="between">
      <formula>35.1</formula>
      <formula>80</formula>
    </cfRule>
    <cfRule type="cellIs" dxfId="2509" priority="4167" stopIfTrue="1" operator="between">
      <formula>14.1</formula>
      <formula>35</formula>
    </cfRule>
    <cfRule type="cellIs" dxfId="2508" priority="4168" stopIfTrue="1" operator="between">
      <formula>5.1</formula>
      <formula>14</formula>
    </cfRule>
    <cfRule type="cellIs" dxfId="2507" priority="4169" stopIfTrue="1" operator="between">
      <formula>0</formula>
      <formula>5</formula>
    </cfRule>
    <cfRule type="containsBlanks" dxfId="2506" priority="4170" stopIfTrue="1">
      <formula>LEN(TRIM(E204))=0</formula>
    </cfRule>
  </conditionalFormatting>
  <conditionalFormatting sqref="E213:Q218">
    <cfRule type="containsBlanks" dxfId="2505" priority="4157" stopIfTrue="1">
      <formula>LEN(TRIM(E213))=0</formula>
    </cfRule>
    <cfRule type="cellIs" dxfId="2504" priority="4158" stopIfTrue="1" operator="between">
      <formula>80.1</formula>
      <formula>100</formula>
    </cfRule>
    <cfRule type="cellIs" dxfId="2503" priority="4159" stopIfTrue="1" operator="between">
      <formula>35.1</formula>
      <formula>80</formula>
    </cfRule>
    <cfRule type="cellIs" dxfId="2502" priority="4160" stopIfTrue="1" operator="between">
      <formula>14.1</formula>
      <formula>35</formula>
    </cfRule>
    <cfRule type="cellIs" dxfId="2501" priority="4161" stopIfTrue="1" operator="between">
      <formula>5.1</formula>
      <formula>14</formula>
    </cfRule>
    <cfRule type="cellIs" dxfId="2500" priority="4162" stopIfTrue="1" operator="between">
      <formula>0</formula>
      <formula>5</formula>
    </cfRule>
    <cfRule type="containsBlanks" dxfId="2499" priority="4163" stopIfTrue="1">
      <formula>LEN(TRIM(E213))=0</formula>
    </cfRule>
  </conditionalFormatting>
  <conditionalFormatting sqref="E239:Q239">
    <cfRule type="containsBlanks" dxfId="2498" priority="4143" stopIfTrue="1">
      <formula>LEN(TRIM(E239))=0</formula>
    </cfRule>
    <cfRule type="cellIs" dxfId="2497" priority="4144" stopIfTrue="1" operator="between">
      <formula>79.1</formula>
      <formula>100</formula>
    </cfRule>
    <cfRule type="cellIs" dxfId="2496" priority="4145" stopIfTrue="1" operator="between">
      <formula>34.1</formula>
      <formula>79</formula>
    </cfRule>
    <cfRule type="cellIs" dxfId="2495" priority="4146" stopIfTrue="1" operator="between">
      <formula>13.1</formula>
      <formula>34</formula>
    </cfRule>
    <cfRule type="cellIs" dxfId="2494" priority="4147" stopIfTrue="1" operator="between">
      <formula>5.1</formula>
      <formula>13</formula>
    </cfRule>
    <cfRule type="cellIs" dxfId="2493" priority="4148" stopIfTrue="1" operator="between">
      <formula>0</formula>
      <formula>5</formula>
    </cfRule>
    <cfRule type="containsBlanks" dxfId="2492" priority="4149" stopIfTrue="1">
      <formula>LEN(TRIM(E239))=0</formula>
    </cfRule>
  </conditionalFormatting>
  <conditionalFormatting sqref="E249:Q249">
    <cfRule type="containsBlanks" dxfId="2491" priority="4122" stopIfTrue="1">
      <formula>LEN(TRIM(E249))=0</formula>
    </cfRule>
    <cfRule type="cellIs" dxfId="2490" priority="4123" stopIfTrue="1" operator="between">
      <formula>79.1</formula>
      <formula>100</formula>
    </cfRule>
    <cfRule type="cellIs" dxfId="2489" priority="4124" stopIfTrue="1" operator="between">
      <formula>34.1</formula>
      <formula>79</formula>
    </cfRule>
    <cfRule type="cellIs" dxfId="2488" priority="4125" stopIfTrue="1" operator="between">
      <formula>13.1</formula>
      <formula>34</formula>
    </cfRule>
    <cfRule type="cellIs" dxfId="2487" priority="4126" stopIfTrue="1" operator="between">
      <formula>5.1</formula>
      <formula>13</formula>
    </cfRule>
    <cfRule type="cellIs" dxfId="2486" priority="4127" stopIfTrue="1" operator="between">
      <formula>0</formula>
      <formula>5</formula>
    </cfRule>
    <cfRule type="containsBlanks" dxfId="2485" priority="4128" stopIfTrue="1">
      <formula>LEN(TRIM(E249))=0</formula>
    </cfRule>
  </conditionalFormatting>
  <conditionalFormatting sqref="E243:Q244">
    <cfRule type="containsBlanks" dxfId="2484" priority="4129" stopIfTrue="1">
      <formula>LEN(TRIM(E243))=0</formula>
    </cfRule>
    <cfRule type="cellIs" dxfId="2483" priority="4130" stopIfTrue="1" operator="between">
      <formula>79.1</formula>
      <formula>100</formula>
    </cfRule>
    <cfRule type="cellIs" dxfId="2482" priority="4131" stopIfTrue="1" operator="between">
      <formula>34.1</formula>
      <formula>79</formula>
    </cfRule>
    <cfRule type="cellIs" dxfId="2481" priority="4132" stopIfTrue="1" operator="between">
      <formula>13.1</formula>
      <formula>34</formula>
    </cfRule>
    <cfRule type="cellIs" dxfId="2480" priority="4133" stopIfTrue="1" operator="between">
      <formula>5.1</formula>
      <formula>13</formula>
    </cfRule>
    <cfRule type="cellIs" dxfId="2479" priority="4134" stopIfTrue="1" operator="between">
      <formula>0</formula>
      <formula>5</formula>
    </cfRule>
    <cfRule type="containsBlanks" dxfId="2478" priority="4135" stopIfTrue="1">
      <formula>LEN(TRIM(E243))=0</formula>
    </cfRule>
  </conditionalFormatting>
  <conditionalFormatting sqref="E275:Q275">
    <cfRule type="containsBlanks" dxfId="2477" priority="4115" stopIfTrue="1">
      <formula>LEN(TRIM(E275))=0</formula>
    </cfRule>
    <cfRule type="cellIs" dxfId="2476" priority="4116" stopIfTrue="1" operator="between">
      <formula>79.1</formula>
      <formula>100</formula>
    </cfRule>
    <cfRule type="cellIs" dxfId="2475" priority="4117" stopIfTrue="1" operator="between">
      <formula>34.1</formula>
      <formula>79</formula>
    </cfRule>
    <cfRule type="cellIs" dxfId="2474" priority="4118" stopIfTrue="1" operator="between">
      <formula>13.1</formula>
      <formula>34</formula>
    </cfRule>
    <cfRule type="cellIs" dxfId="2473" priority="4119" stopIfTrue="1" operator="between">
      <formula>5.1</formula>
      <formula>13</formula>
    </cfRule>
    <cfRule type="cellIs" dxfId="2472" priority="4120" stopIfTrue="1" operator="between">
      <formula>0</formula>
      <formula>5</formula>
    </cfRule>
    <cfRule type="containsBlanks" dxfId="2471" priority="4121" stopIfTrue="1">
      <formula>LEN(TRIM(E275))=0</formula>
    </cfRule>
  </conditionalFormatting>
  <conditionalFormatting sqref="E253:Q253">
    <cfRule type="containsBlanks" dxfId="2470" priority="4108" stopIfTrue="1">
      <formula>LEN(TRIM(E253))=0</formula>
    </cfRule>
    <cfRule type="cellIs" dxfId="2469" priority="4109" stopIfTrue="1" operator="between">
      <formula>79.1</formula>
      <formula>100</formula>
    </cfRule>
    <cfRule type="cellIs" dxfId="2468" priority="4110" stopIfTrue="1" operator="between">
      <formula>34.1</formula>
      <formula>79</formula>
    </cfRule>
    <cfRule type="cellIs" dxfId="2467" priority="4111" stopIfTrue="1" operator="between">
      <formula>13.1</formula>
      <formula>34</formula>
    </cfRule>
    <cfRule type="cellIs" dxfId="2466" priority="4112" stopIfTrue="1" operator="between">
      <formula>5.1</formula>
      <formula>13</formula>
    </cfRule>
    <cfRule type="cellIs" dxfId="2465" priority="4113" stopIfTrue="1" operator="between">
      <formula>0</formula>
      <formula>5</formula>
    </cfRule>
    <cfRule type="containsBlanks" dxfId="2464" priority="4114" stopIfTrue="1">
      <formula>LEN(TRIM(E253))=0</formula>
    </cfRule>
  </conditionalFormatting>
  <conditionalFormatting sqref="E264:Q265">
    <cfRule type="containsBlanks" dxfId="2463" priority="4101" stopIfTrue="1">
      <formula>LEN(TRIM(E264))=0</formula>
    </cfRule>
    <cfRule type="cellIs" dxfId="2462" priority="4102" stopIfTrue="1" operator="between">
      <formula>79.1</formula>
      <formula>100</formula>
    </cfRule>
    <cfRule type="cellIs" dxfId="2461" priority="4103" stopIfTrue="1" operator="between">
      <formula>34.1</formula>
      <formula>79</formula>
    </cfRule>
    <cfRule type="cellIs" dxfId="2460" priority="4104" stopIfTrue="1" operator="between">
      <formula>13.1</formula>
      <formula>34</formula>
    </cfRule>
    <cfRule type="cellIs" dxfId="2459" priority="4105" stopIfTrue="1" operator="between">
      <formula>5.1</formula>
      <formula>13</formula>
    </cfRule>
    <cfRule type="cellIs" dxfId="2458" priority="4106" stopIfTrue="1" operator="between">
      <formula>0</formula>
      <formula>5</formula>
    </cfRule>
    <cfRule type="containsBlanks" dxfId="2457" priority="4107" stopIfTrue="1">
      <formula>LEN(TRIM(E264))=0</formula>
    </cfRule>
  </conditionalFormatting>
  <conditionalFormatting sqref="E246:Q246">
    <cfRule type="containsBlanks" dxfId="2456" priority="4094" stopIfTrue="1">
      <formula>LEN(TRIM(E246))=0</formula>
    </cfRule>
    <cfRule type="cellIs" dxfId="2455" priority="4095" stopIfTrue="1" operator="between">
      <formula>79.1</formula>
      <formula>100</formula>
    </cfRule>
    <cfRule type="cellIs" dxfId="2454" priority="4096" stopIfTrue="1" operator="between">
      <formula>34.1</formula>
      <formula>79</formula>
    </cfRule>
    <cfRule type="cellIs" dxfId="2453" priority="4097" stopIfTrue="1" operator="between">
      <formula>13.1</formula>
      <formula>34</formula>
    </cfRule>
    <cfRule type="cellIs" dxfId="2452" priority="4098" stopIfTrue="1" operator="between">
      <formula>5.1</formula>
      <formula>13</formula>
    </cfRule>
    <cfRule type="cellIs" dxfId="2451" priority="4099" stopIfTrue="1" operator="between">
      <formula>0</formula>
      <formula>5</formula>
    </cfRule>
    <cfRule type="containsBlanks" dxfId="2450" priority="4100" stopIfTrue="1">
      <formula>LEN(TRIM(E246))=0</formula>
    </cfRule>
  </conditionalFormatting>
  <conditionalFormatting sqref="E247:Q247">
    <cfRule type="containsBlanks" dxfId="2449" priority="4087" stopIfTrue="1">
      <formula>LEN(TRIM(E247))=0</formula>
    </cfRule>
    <cfRule type="cellIs" dxfId="2448" priority="4088" stopIfTrue="1" operator="between">
      <formula>79.1</formula>
      <formula>100</formula>
    </cfRule>
    <cfRule type="cellIs" dxfId="2447" priority="4089" stopIfTrue="1" operator="between">
      <formula>34.1</formula>
      <formula>79</formula>
    </cfRule>
    <cfRule type="cellIs" dxfId="2446" priority="4090" stopIfTrue="1" operator="between">
      <formula>13.1</formula>
      <formula>34</formula>
    </cfRule>
    <cfRule type="cellIs" dxfId="2445" priority="4091" stopIfTrue="1" operator="between">
      <formula>5.1</formula>
      <formula>13</formula>
    </cfRule>
    <cfRule type="cellIs" dxfId="2444" priority="4092" stopIfTrue="1" operator="between">
      <formula>0</formula>
      <formula>5</formula>
    </cfRule>
    <cfRule type="containsBlanks" dxfId="2443" priority="4093" stopIfTrue="1">
      <formula>LEN(TRIM(E247))=0</formula>
    </cfRule>
  </conditionalFormatting>
  <conditionalFormatting sqref="E248:Q248">
    <cfRule type="containsBlanks" dxfId="2442" priority="4080" stopIfTrue="1">
      <formula>LEN(TRIM(E248))=0</formula>
    </cfRule>
    <cfRule type="cellIs" dxfId="2441" priority="4081" stopIfTrue="1" operator="between">
      <formula>79.1</formula>
      <formula>100</formula>
    </cfRule>
    <cfRule type="cellIs" dxfId="2440" priority="4082" stopIfTrue="1" operator="between">
      <formula>34.1</formula>
      <formula>79</formula>
    </cfRule>
    <cfRule type="cellIs" dxfId="2439" priority="4083" stopIfTrue="1" operator="between">
      <formula>13.1</formula>
      <formula>34</formula>
    </cfRule>
    <cfRule type="cellIs" dxfId="2438" priority="4084" stopIfTrue="1" operator="between">
      <formula>5.1</formula>
      <formula>13</formula>
    </cfRule>
    <cfRule type="cellIs" dxfId="2437" priority="4085" stopIfTrue="1" operator="between">
      <formula>0</formula>
      <formula>5</formula>
    </cfRule>
    <cfRule type="containsBlanks" dxfId="2436" priority="4086" stopIfTrue="1">
      <formula>LEN(TRIM(E248))=0</formula>
    </cfRule>
  </conditionalFormatting>
  <conditionalFormatting sqref="E240:Q240">
    <cfRule type="containsBlanks" dxfId="2435" priority="4073" stopIfTrue="1">
      <formula>LEN(TRIM(E240))=0</formula>
    </cfRule>
    <cfRule type="cellIs" dxfId="2434" priority="4074" stopIfTrue="1" operator="between">
      <formula>79.1</formula>
      <formula>100</formula>
    </cfRule>
    <cfRule type="cellIs" dxfId="2433" priority="4075" stopIfTrue="1" operator="between">
      <formula>34.1</formula>
      <formula>79</formula>
    </cfRule>
    <cfRule type="cellIs" dxfId="2432" priority="4076" stopIfTrue="1" operator="between">
      <formula>13.1</formula>
      <formula>34</formula>
    </cfRule>
    <cfRule type="cellIs" dxfId="2431" priority="4077" stopIfTrue="1" operator="between">
      <formula>5.1</formula>
      <formula>13</formula>
    </cfRule>
    <cfRule type="cellIs" dxfId="2430" priority="4078" stopIfTrue="1" operator="between">
      <formula>0</formula>
      <formula>5</formula>
    </cfRule>
    <cfRule type="containsBlanks" dxfId="2429" priority="4079" stopIfTrue="1">
      <formula>LEN(TRIM(E240))=0</formula>
    </cfRule>
  </conditionalFormatting>
  <conditionalFormatting sqref="E252:Q252">
    <cfRule type="containsBlanks" dxfId="2428" priority="4066" stopIfTrue="1">
      <formula>LEN(TRIM(E252))=0</formula>
    </cfRule>
    <cfRule type="cellIs" dxfId="2427" priority="4067" stopIfTrue="1" operator="between">
      <formula>79.1</formula>
      <formula>100</formula>
    </cfRule>
    <cfRule type="cellIs" dxfId="2426" priority="4068" stopIfTrue="1" operator="between">
      <formula>34.1</formula>
      <formula>79</formula>
    </cfRule>
    <cfRule type="cellIs" dxfId="2425" priority="4069" stopIfTrue="1" operator="between">
      <formula>13.1</formula>
      <formula>34</formula>
    </cfRule>
    <cfRule type="cellIs" dxfId="2424" priority="4070" stopIfTrue="1" operator="between">
      <formula>5.1</formula>
      <formula>13</formula>
    </cfRule>
    <cfRule type="cellIs" dxfId="2423" priority="4071" stopIfTrue="1" operator="between">
      <formula>0</formula>
      <formula>5</formula>
    </cfRule>
    <cfRule type="containsBlanks" dxfId="2422" priority="4072" stopIfTrue="1">
      <formula>LEN(TRIM(E252))=0</formula>
    </cfRule>
  </conditionalFormatting>
  <conditionalFormatting sqref="E254:Q254">
    <cfRule type="containsBlanks" dxfId="2421" priority="4059" stopIfTrue="1">
      <formula>LEN(TRIM(E254))=0</formula>
    </cfRule>
    <cfRule type="cellIs" dxfId="2420" priority="4060" stopIfTrue="1" operator="between">
      <formula>79.1</formula>
      <formula>100</formula>
    </cfRule>
    <cfRule type="cellIs" dxfId="2419" priority="4061" stopIfTrue="1" operator="between">
      <formula>34.1</formula>
      <formula>79</formula>
    </cfRule>
    <cfRule type="cellIs" dxfId="2418" priority="4062" stopIfTrue="1" operator="between">
      <formula>13.1</formula>
      <formula>34</formula>
    </cfRule>
    <cfRule type="cellIs" dxfId="2417" priority="4063" stopIfTrue="1" operator="between">
      <formula>5.1</formula>
      <formula>13</formula>
    </cfRule>
    <cfRule type="cellIs" dxfId="2416" priority="4064" stopIfTrue="1" operator="between">
      <formula>0</formula>
      <formula>5</formula>
    </cfRule>
    <cfRule type="containsBlanks" dxfId="2415" priority="4065" stopIfTrue="1">
      <formula>LEN(TRIM(E254))=0</formula>
    </cfRule>
  </conditionalFormatting>
  <conditionalFormatting sqref="E257:Q257">
    <cfRule type="containsBlanks" dxfId="2414" priority="4052" stopIfTrue="1">
      <formula>LEN(TRIM(E257))=0</formula>
    </cfRule>
    <cfRule type="cellIs" dxfId="2413" priority="4053" stopIfTrue="1" operator="between">
      <formula>79.1</formula>
      <formula>100</formula>
    </cfRule>
    <cfRule type="cellIs" dxfId="2412" priority="4054" stopIfTrue="1" operator="between">
      <formula>34.1</formula>
      <formula>79</formula>
    </cfRule>
    <cfRule type="cellIs" dxfId="2411" priority="4055" stopIfTrue="1" operator="between">
      <formula>13.1</formula>
      <formula>34</formula>
    </cfRule>
    <cfRule type="cellIs" dxfId="2410" priority="4056" stopIfTrue="1" operator="between">
      <formula>5.1</formula>
      <formula>13</formula>
    </cfRule>
    <cfRule type="cellIs" dxfId="2409" priority="4057" stopIfTrue="1" operator="between">
      <formula>0</formula>
      <formula>5</formula>
    </cfRule>
    <cfRule type="containsBlanks" dxfId="2408" priority="4058" stopIfTrue="1">
      <formula>LEN(TRIM(E257))=0</formula>
    </cfRule>
  </conditionalFormatting>
  <conditionalFormatting sqref="E258:Q258">
    <cfRule type="containsBlanks" dxfId="2407" priority="4045" stopIfTrue="1">
      <formula>LEN(TRIM(E258))=0</formula>
    </cfRule>
    <cfRule type="cellIs" dxfId="2406" priority="4046" stopIfTrue="1" operator="between">
      <formula>79.1</formula>
      <formula>100</formula>
    </cfRule>
    <cfRule type="cellIs" dxfId="2405" priority="4047" stopIfTrue="1" operator="between">
      <formula>34.1</formula>
      <formula>79</formula>
    </cfRule>
    <cfRule type="cellIs" dxfId="2404" priority="4048" stopIfTrue="1" operator="between">
      <formula>13.1</formula>
      <formula>34</formula>
    </cfRule>
    <cfRule type="cellIs" dxfId="2403" priority="4049" stopIfTrue="1" operator="between">
      <formula>5.1</formula>
      <formula>13</formula>
    </cfRule>
    <cfRule type="cellIs" dxfId="2402" priority="4050" stopIfTrue="1" operator="between">
      <formula>0</formula>
      <formula>5</formula>
    </cfRule>
    <cfRule type="containsBlanks" dxfId="2401" priority="4051" stopIfTrue="1">
      <formula>LEN(TRIM(E258))=0</formula>
    </cfRule>
  </conditionalFormatting>
  <conditionalFormatting sqref="E259:Q259">
    <cfRule type="containsBlanks" dxfId="2400" priority="4038" stopIfTrue="1">
      <formula>LEN(TRIM(E259))=0</formula>
    </cfRule>
    <cfRule type="cellIs" dxfId="2399" priority="4039" stopIfTrue="1" operator="between">
      <formula>79.1</formula>
      <formula>100</formula>
    </cfRule>
    <cfRule type="cellIs" dxfId="2398" priority="4040" stopIfTrue="1" operator="between">
      <formula>34.1</formula>
      <formula>79</formula>
    </cfRule>
    <cfRule type="cellIs" dxfId="2397" priority="4041" stopIfTrue="1" operator="between">
      <formula>13.1</formula>
      <formula>34</formula>
    </cfRule>
    <cfRule type="cellIs" dxfId="2396" priority="4042" stopIfTrue="1" operator="between">
      <formula>5.1</formula>
      <formula>13</formula>
    </cfRule>
    <cfRule type="cellIs" dxfId="2395" priority="4043" stopIfTrue="1" operator="between">
      <formula>0</formula>
      <formula>5</formula>
    </cfRule>
    <cfRule type="containsBlanks" dxfId="2394" priority="4044" stopIfTrue="1">
      <formula>LEN(TRIM(E259))=0</formula>
    </cfRule>
  </conditionalFormatting>
  <conditionalFormatting sqref="E260:Q260">
    <cfRule type="containsBlanks" dxfId="2393" priority="4031" stopIfTrue="1">
      <formula>LEN(TRIM(E260))=0</formula>
    </cfRule>
    <cfRule type="cellIs" dxfId="2392" priority="4032" stopIfTrue="1" operator="between">
      <formula>79.1</formula>
      <formula>100</formula>
    </cfRule>
    <cfRule type="cellIs" dxfId="2391" priority="4033" stopIfTrue="1" operator="between">
      <formula>34.1</formula>
      <formula>79</formula>
    </cfRule>
    <cfRule type="cellIs" dxfId="2390" priority="4034" stopIfTrue="1" operator="between">
      <formula>13.1</formula>
      <formula>34</formula>
    </cfRule>
    <cfRule type="cellIs" dxfId="2389" priority="4035" stopIfTrue="1" operator="between">
      <formula>5.1</formula>
      <formula>13</formula>
    </cfRule>
    <cfRule type="cellIs" dxfId="2388" priority="4036" stopIfTrue="1" operator="between">
      <formula>0</formula>
      <formula>5</formula>
    </cfRule>
    <cfRule type="containsBlanks" dxfId="2387" priority="4037" stopIfTrue="1">
      <formula>LEN(TRIM(E260))=0</formula>
    </cfRule>
  </conditionalFormatting>
  <conditionalFormatting sqref="E268:Q268">
    <cfRule type="containsBlanks" dxfId="2386" priority="4024" stopIfTrue="1">
      <formula>LEN(TRIM(E268))=0</formula>
    </cfRule>
    <cfRule type="cellIs" dxfId="2385" priority="4025" stopIfTrue="1" operator="between">
      <formula>79.1</formula>
      <formula>100</formula>
    </cfRule>
    <cfRule type="cellIs" dxfId="2384" priority="4026" stopIfTrue="1" operator="between">
      <formula>34.1</formula>
      <formula>79</formula>
    </cfRule>
    <cfRule type="cellIs" dxfId="2383" priority="4027" stopIfTrue="1" operator="between">
      <formula>13.1</formula>
      <formula>34</formula>
    </cfRule>
    <cfRule type="cellIs" dxfId="2382" priority="4028" stopIfTrue="1" operator="between">
      <formula>5.1</formula>
      <formula>13</formula>
    </cfRule>
    <cfRule type="cellIs" dxfId="2381" priority="4029" stopIfTrue="1" operator="between">
      <formula>0</formula>
      <formula>5</formula>
    </cfRule>
    <cfRule type="containsBlanks" dxfId="2380" priority="4030" stopIfTrue="1">
      <formula>LEN(TRIM(E268))=0</formula>
    </cfRule>
  </conditionalFormatting>
  <conditionalFormatting sqref="E245:Q245">
    <cfRule type="containsBlanks" dxfId="2379" priority="3996" stopIfTrue="1">
      <formula>LEN(TRIM(E245))=0</formula>
    </cfRule>
    <cfRule type="cellIs" dxfId="2378" priority="3997" stopIfTrue="1" operator="between">
      <formula>79.1</formula>
      <formula>100</formula>
    </cfRule>
    <cfRule type="cellIs" dxfId="2377" priority="3998" stopIfTrue="1" operator="between">
      <formula>34.1</formula>
      <formula>79</formula>
    </cfRule>
    <cfRule type="cellIs" dxfId="2376" priority="3999" stopIfTrue="1" operator="between">
      <formula>13.1</formula>
      <formula>34</formula>
    </cfRule>
    <cfRule type="cellIs" dxfId="2375" priority="4000" stopIfTrue="1" operator="between">
      <formula>5.1</formula>
      <formula>13</formula>
    </cfRule>
    <cfRule type="cellIs" dxfId="2374" priority="4001" stopIfTrue="1" operator="between">
      <formula>0</formula>
      <formula>5</formula>
    </cfRule>
    <cfRule type="containsBlanks" dxfId="2373" priority="4002" stopIfTrue="1">
      <formula>LEN(TRIM(E245))=0</formula>
    </cfRule>
  </conditionalFormatting>
  <conditionalFormatting sqref="E278:Q279">
    <cfRule type="containsBlanks" dxfId="2372" priority="3897" stopIfTrue="1">
      <formula>LEN(TRIM(E278))=0</formula>
    </cfRule>
    <cfRule type="cellIs" dxfId="2371" priority="3898" stopIfTrue="1" operator="between">
      <formula>79.1</formula>
      <formula>100</formula>
    </cfRule>
    <cfRule type="cellIs" dxfId="2370" priority="3899" stopIfTrue="1" operator="between">
      <formula>34.1</formula>
      <formula>79</formula>
    </cfRule>
    <cfRule type="cellIs" dxfId="2369" priority="3900" stopIfTrue="1" operator="between">
      <formula>13.1</formula>
      <formula>34</formula>
    </cfRule>
    <cfRule type="cellIs" dxfId="2368" priority="3901" stopIfTrue="1" operator="between">
      <formula>5.1</formula>
      <formula>13</formula>
    </cfRule>
    <cfRule type="cellIs" dxfId="2367" priority="3902" stopIfTrue="1" operator="between">
      <formula>0</formula>
      <formula>5</formula>
    </cfRule>
    <cfRule type="containsBlanks" dxfId="2366" priority="3903" stopIfTrue="1">
      <formula>LEN(TRIM(E278))=0</formula>
    </cfRule>
  </conditionalFormatting>
  <conditionalFormatting sqref="E238:I238">
    <cfRule type="containsBlanks" dxfId="2365" priority="4017" stopIfTrue="1">
      <formula>LEN(TRIM(E238))=0</formula>
    </cfRule>
    <cfRule type="cellIs" dxfId="2364" priority="4018" stopIfTrue="1" operator="between">
      <formula>79.1</formula>
      <formula>100</formula>
    </cfRule>
    <cfRule type="cellIs" dxfId="2363" priority="4019" stopIfTrue="1" operator="between">
      <formula>34.1</formula>
      <formula>79</formula>
    </cfRule>
    <cfRule type="cellIs" dxfId="2362" priority="4020" stopIfTrue="1" operator="between">
      <formula>13.1</formula>
      <formula>34</formula>
    </cfRule>
    <cfRule type="cellIs" dxfId="2361" priority="4021" stopIfTrue="1" operator="between">
      <formula>5.1</formula>
      <formula>13</formula>
    </cfRule>
    <cfRule type="cellIs" dxfId="2360" priority="4022" stopIfTrue="1" operator="between">
      <formula>0</formula>
      <formula>5</formula>
    </cfRule>
    <cfRule type="containsBlanks" dxfId="2359" priority="4023" stopIfTrue="1">
      <formula>LEN(TRIM(E238))=0</formula>
    </cfRule>
  </conditionalFormatting>
  <conditionalFormatting sqref="J238:Q238">
    <cfRule type="containsBlanks" dxfId="2358" priority="4010" stopIfTrue="1">
      <formula>LEN(TRIM(J238))=0</formula>
    </cfRule>
    <cfRule type="cellIs" dxfId="2357" priority="4011" stopIfTrue="1" operator="between">
      <formula>79.1</formula>
      <formula>100</formula>
    </cfRule>
    <cfRule type="cellIs" dxfId="2356" priority="4012" stopIfTrue="1" operator="between">
      <formula>34.1</formula>
      <formula>79</formula>
    </cfRule>
    <cfRule type="cellIs" dxfId="2355" priority="4013" stopIfTrue="1" operator="between">
      <formula>13.1</formula>
      <formula>34</formula>
    </cfRule>
    <cfRule type="cellIs" dxfId="2354" priority="4014" stopIfTrue="1" operator="between">
      <formula>5.1</formula>
      <formula>13</formula>
    </cfRule>
    <cfRule type="cellIs" dxfId="2353" priority="4015" stopIfTrue="1" operator="between">
      <formula>0</formula>
      <formula>5</formula>
    </cfRule>
    <cfRule type="containsBlanks" dxfId="2352" priority="4016" stopIfTrue="1">
      <formula>LEN(TRIM(J238))=0</formula>
    </cfRule>
  </conditionalFormatting>
  <conditionalFormatting sqref="E242:Q242">
    <cfRule type="containsBlanks" dxfId="2351" priority="4003" stopIfTrue="1">
      <formula>LEN(TRIM(E242))=0</formula>
    </cfRule>
    <cfRule type="cellIs" dxfId="2350" priority="4004" stopIfTrue="1" operator="between">
      <formula>79.1</formula>
      <formula>100</formula>
    </cfRule>
    <cfRule type="cellIs" dxfId="2349" priority="4005" stopIfTrue="1" operator="between">
      <formula>34.1</formula>
      <formula>79</formula>
    </cfRule>
    <cfRule type="cellIs" dxfId="2348" priority="4006" stopIfTrue="1" operator="between">
      <formula>13.1</formula>
      <formula>34</formula>
    </cfRule>
    <cfRule type="cellIs" dxfId="2347" priority="4007" stopIfTrue="1" operator="between">
      <formula>5.1</formula>
      <formula>13</formula>
    </cfRule>
    <cfRule type="cellIs" dxfId="2346" priority="4008" stopIfTrue="1" operator="between">
      <formula>0</formula>
      <formula>5</formula>
    </cfRule>
    <cfRule type="containsBlanks" dxfId="2345" priority="4009" stopIfTrue="1">
      <formula>LEN(TRIM(E242))=0</formula>
    </cfRule>
  </conditionalFormatting>
  <conditionalFormatting sqref="R276">
    <cfRule type="cellIs" dxfId="2344" priority="3994" stopIfTrue="1" operator="equal">
      <formula>"NO"</formula>
    </cfRule>
  </conditionalFormatting>
  <conditionalFormatting sqref="E276:Q276">
    <cfRule type="containsBlanks" dxfId="2343" priority="3960" stopIfTrue="1">
      <formula>LEN(TRIM(E276))=0</formula>
    </cfRule>
    <cfRule type="cellIs" dxfId="2342" priority="3961" stopIfTrue="1" operator="between">
      <formula>79.1</formula>
      <formula>100</formula>
    </cfRule>
    <cfRule type="cellIs" dxfId="2341" priority="3962" stopIfTrue="1" operator="between">
      <formula>34.1</formula>
      <formula>79</formula>
    </cfRule>
    <cfRule type="cellIs" dxfId="2340" priority="3963" stopIfTrue="1" operator="between">
      <formula>13.1</formula>
      <formula>34</formula>
    </cfRule>
    <cfRule type="cellIs" dxfId="2339" priority="3964" stopIfTrue="1" operator="between">
      <formula>5.1</formula>
      <formula>13</formula>
    </cfRule>
    <cfRule type="cellIs" dxfId="2338" priority="3965" stopIfTrue="1" operator="between">
      <formula>0</formula>
      <formula>5</formula>
    </cfRule>
    <cfRule type="containsBlanks" dxfId="2337" priority="3966" stopIfTrue="1">
      <formula>LEN(TRIM(E276))=0</formula>
    </cfRule>
  </conditionalFormatting>
  <conditionalFormatting sqref="E272:Q272">
    <cfRule type="containsBlanks" dxfId="2336" priority="3953" stopIfTrue="1">
      <formula>LEN(TRIM(E272))=0</formula>
    </cfRule>
    <cfRule type="cellIs" dxfId="2335" priority="3954" stopIfTrue="1" operator="between">
      <formula>79.1</formula>
      <formula>100</formula>
    </cfRule>
    <cfRule type="cellIs" dxfId="2334" priority="3955" stopIfTrue="1" operator="between">
      <formula>34.1</formula>
      <formula>79</formula>
    </cfRule>
    <cfRule type="cellIs" dxfId="2333" priority="3956" stopIfTrue="1" operator="between">
      <formula>13.1</formula>
      <formula>34</formula>
    </cfRule>
    <cfRule type="cellIs" dxfId="2332" priority="3957" stopIfTrue="1" operator="between">
      <formula>5.1</formula>
      <formula>13</formula>
    </cfRule>
    <cfRule type="cellIs" dxfId="2331" priority="3958" stopIfTrue="1" operator="between">
      <formula>0</formula>
      <formula>5</formula>
    </cfRule>
    <cfRule type="containsBlanks" dxfId="2330" priority="3959" stopIfTrue="1">
      <formula>LEN(TRIM(E272))=0</formula>
    </cfRule>
  </conditionalFormatting>
  <conditionalFormatting sqref="E256:Q256">
    <cfRule type="containsBlanks" dxfId="2329" priority="3946" stopIfTrue="1">
      <formula>LEN(TRIM(E256))=0</formula>
    </cfRule>
    <cfRule type="cellIs" dxfId="2328" priority="3947" stopIfTrue="1" operator="between">
      <formula>79.1</formula>
      <formula>100</formula>
    </cfRule>
    <cfRule type="cellIs" dxfId="2327" priority="3948" stopIfTrue="1" operator="between">
      <formula>34.1</formula>
      <formula>79</formula>
    </cfRule>
    <cfRule type="cellIs" dxfId="2326" priority="3949" stopIfTrue="1" operator="between">
      <formula>13.1</formula>
      <formula>34</formula>
    </cfRule>
    <cfRule type="cellIs" dxfId="2325" priority="3950" stopIfTrue="1" operator="between">
      <formula>5.1</formula>
      <formula>13</formula>
    </cfRule>
    <cfRule type="cellIs" dxfId="2324" priority="3951" stopIfTrue="1" operator="between">
      <formula>0</formula>
      <formula>5</formula>
    </cfRule>
    <cfRule type="containsBlanks" dxfId="2323" priority="3952" stopIfTrue="1">
      <formula>LEN(TRIM(E256))=0</formula>
    </cfRule>
  </conditionalFormatting>
  <conditionalFormatting sqref="E261:Q261">
    <cfRule type="containsBlanks" dxfId="2322" priority="3939" stopIfTrue="1">
      <formula>LEN(TRIM(E261))=0</formula>
    </cfRule>
    <cfRule type="cellIs" dxfId="2321" priority="3940" stopIfTrue="1" operator="between">
      <formula>79.1</formula>
      <formula>100</formula>
    </cfRule>
    <cfRule type="cellIs" dxfId="2320" priority="3941" stopIfTrue="1" operator="between">
      <formula>34.1</formula>
      <formula>79</formula>
    </cfRule>
    <cfRule type="cellIs" dxfId="2319" priority="3942" stopIfTrue="1" operator="between">
      <formula>13.1</formula>
      <formula>34</formula>
    </cfRule>
    <cfRule type="cellIs" dxfId="2318" priority="3943" stopIfTrue="1" operator="between">
      <formula>5.1</formula>
      <formula>13</formula>
    </cfRule>
    <cfRule type="cellIs" dxfId="2317" priority="3944" stopIfTrue="1" operator="between">
      <formula>0</formula>
      <formula>5</formula>
    </cfRule>
    <cfRule type="containsBlanks" dxfId="2316" priority="3945" stopIfTrue="1">
      <formula>LEN(TRIM(E261))=0</formula>
    </cfRule>
  </conditionalFormatting>
  <conditionalFormatting sqref="E262:Q262">
    <cfRule type="containsBlanks" dxfId="2315" priority="3932" stopIfTrue="1">
      <formula>LEN(TRIM(E262))=0</formula>
    </cfRule>
    <cfRule type="cellIs" dxfId="2314" priority="3933" stopIfTrue="1" operator="between">
      <formula>79.1</formula>
      <formula>100</formula>
    </cfRule>
    <cfRule type="cellIs" dxfId="2313" priority="3934" stopIfTrue="1" operator="between">
      <formula>34.1</formula>
      <formula>79</formula>
    </cfRule>
    <cfRule type="cellIs" dxfId="2312" priority="3935" stopIfTrue="1" operator="between">
      <formula>13.1</formula>
      <formula>34</formula>
    </cfRule>
    <cfRule type="cellIs" dxfId="2311" priority="3936" stopIfTrue="1" operator="between">
      <formula>5.1</formula>
      <formula>13</formula>
    </cfRule>
    <cfRule type="cellIs" dxfId="2310" priority="3937" stopIfTrue="1" operator="between">
      <formula>0</formula>
      <formula>5</formula>
    </cfRule>
    <cfRule type="containsBlanks" dxfId="2309" priority="3938" stopIfTrue="1">
      <formula>LEN(TRIM(E262))=0</formula>
    </cfRule>
  </conditionalFormatting>
  <conditionalFormatting sqref="E263:Q263">
    <cfRule type="containsBlanks" dxfId="2308" priority="3925" stopIfTrue="1">
      <formula>LEN(TRIM(E263))=0</formula>
    </cfRule>
    <cfRule type="cellIs" dxfId="2307" priority="3926" stopIfTrue="1" operator="between">
      <formula>79.1</formula>
      <formula>100</formula>
    </cfRule>
    <cfRule type="cellIs" dxfId="2306" priority="3927" stopIfTrue="1" operator="between">
      <formula>34.1</formula>
      <formula>79</formula>
    </cfRule>
    <cfRule type="cellIs" dxfId="2305" priority="3928" stopIfTrue="1" operator="between">
      <formula>13.1</formula>
      <formula>34</formula>
    </cfRule>
    <cfRule type="cellIs" dxfId="2304" priority="3929" stopIfTrue="1" operator="between">
      <formula>5.1</formula>
      <formula>13</formula>
    </cfRule>
    <cfRule type="cellIs" dxfId="2303" priority="3930" stopIfTrue="1" operator="between">
      <formula>0</formula>
      <formula>5</formula>
    </cfRule>
    <cfRule type="containsBlanks" dxfId="2302" priority="3931" stopIfTrue="1">
      <formula>LEN(TRIM(E263))=0</formula>
    </cfRule>
  </conditionalFormatting>
  <conditionalFormatting sqref="E266:Q266">
    <cfRule type="containsBlanks" dxfId="2301" priority="3918" stopIfTrue="1">
      <formula>LEN(TRIM(E266))=0</formula>
    </cfRule>
    <cfRule type="cellIs" dxfId="2300" priority="3919" stopIfTrue="1" operator="between">
      <formula>79.1</formula>
      <formula>100</formula>
    </cfRule>
    <cfRule type="cellIs" dxfId="2299" priority="3920" stopIfTrue="1" operator="between">
      <formula>34.1</formula>
      <formula>79</formula>
    </cfRule>
    <cfRule type="cellIs" dxfId="2298" priority="3921" stopIfTrue="1" operator="between">
      <formula>13.1</formula>
      <formula>34</formula>
    </cfRule>
    <cfRule type="cellIs" dxfId="2297" priority="3922" stopIfTrue="1" operator="between">
      <formula>5.1</formula>
      <formula>13</formula>
    </cfRule>
    <cfRule type="cellIs" dxfId="2296" priority="3923" stopIfTrue="1" operator="between">
      <formula>0</formula>
      <formula>5</formula>
    </cfRule>
    <cfRule type="containsBlanks" dxfId="2295" priority="3924" stopIfTrue="1">
      <formula>LEN(TRIM(E266))=0</formula>
    </cfRule>
  </conditionalFormatting>
  <conditionalFormatting sqref="E267:Q267">
    <cfRule type="containsBlanks" dxfId="2294" priority="3911" stopIfTrue="1">
      <formula>LEN(TRIM(E267))=0</formula>
    </cfRule>
    <cfRule type="cellIs" dxfId="2293" priority="3912" stopIfTrue="1" operator="between">
      <formula>79.1</formula>
      <formula>100</formula>
    </cfRule>
    <cfRule type="cellIs" dxfId="2292" priority="3913" stopIfTrue="1" operator="between">
      <formula>34.1</formula>
      <formula>79</formula>
    </cfRule>
    <cfRule type="cellIs" dxfId="2291" priority="3914" stopIfTrue="1" operator="between">
      <formula>13.1</formula>
      <formula>34</formula>
    </cfRule>
    <cfRule type="cellIs" dxfId="2290" priority="3915" stopIfTrue="1" operator="between">
      <formula>5.1</formula>
      <formula>13</formula>
    </cfRule>
    <cfRule type="cellIs" dxfId="2289" priority="3916" stopIfTrue="1" operator="between">
      <formula>0</formula>
      <formula>5</formula>
    </cfRule>
    <cfRule type="containsBlanks" dxfId="2288" priority="3917" stopIfTrue="1">
      <formula>LEN(TRIM(E267))=0</formula>
    </cfRule>
  </conditionalFormatting>
  <conditionalFormatting sqref="E270:Q270">
    <cfRule type="containsBlanks" dxfId="2287" priority="3904" stopIfTrue="1">
      <formula>LEN(TRIM(E270))=0</formula>
    </cfRule>
    <cfRule type="cellIs" dxfId="2286" priority="3905" stopIfTrue="1" operator="between">
      <formula>79.1</formula>
      <formula>100</formula>
    </cfRule>
    <cfRule type="cellIs" dxfId="2285" priority="3906" stopIfTrue="1" operator="between">
      <formula>34.1</formula>
      <formula>79</formula>
    </cfRule>
    <cfRule type="cellIs" dxfId="2284" priority="3907" stopIfTrue="1" operator="between">
      <formula>13.1</formula>
      <formula>34</formula>
    </cfRule>
    <cfRule type="cellIs" dxfId="2283" priority="3908" stopIfTrue="1" operator="between">
      <formula>5.1</formula>
      <formula>13</formula>
    </cfRule>
    <cfRule type="cellIs" dxfId="2282" priority="3909" stopIfTrue="1" operator="between">
      <formula>0</formula>
      <formula>5</formula>
    </cfRule>
    <cfRule type="containsBlanks" dxfId="2281" priority="3910" stopIfTrue="1">
      <formula>LEN(TRIM(E270))=0</formula>
    </cfRule>
  </conditionalFormatting>
  <conditionalFormatting sqref="E297:Q297">
    <cfRule type="containsBlanks" dxfId="2280" priority="3861" stopIfTrue="1">
      <formula>LEN(TRIM(E297))=0</formula>
    </cfRule>
    <cfRule type="cellIs" dxfId="2279" priority="3862" stopIfTrue="1" operator="between">
      <formula>80.1</formula>
      <formula>100</formula>
    </cfRule>
    <cfRule type="cellIs" dxfId="2278" priority="3863" stopIfTrue="1" operator="between">
      <formula>35.1</formula>
      <formula>80</formula>
    </cfRule>
    <cfRule type="cellIs" dxfId="2277" priority="3864" stopIfTrue="1" operator="between">
      <formula>14.1</formula>
      <formula>35</formula>
    </cfRule>
    <cfRule type="cellIs" dxfId="2276" priority="3865" stopIfTrue="1" operator="between">
      <formula>5.1</formula>
      <formula>14</formula>
    </cfRule>
    <cfRule type="cellIs" dxfId="2275" priority="3866" stopIfTrue="1" operator="between">
      <formula>0</formula>
      <formula>5</formula>
    </cfRule>
    <cfRule type="containsBlanks" dxfId="2274" priority="3867" stopIfTrue="1">
      <formula>LEN(TRIM(E297))=0</formula>
    </cfRule>
  </conditionalFormatting>
  <conditionalFormatting sqref="E298:Q300">
    <cfRule type="containsBlanks" dxfId="2273" priority="3854" stopIfTrue="1">
      <formula>LEN(TRIM(E298))=0</formula>
    </cfRule>
    <cfRule type="cellIs" dxfId="2272" priority="3855" stopIfTrue="1" operator="between">
      <formula>80.1</formula>
      <formula>100</formula>
    </cfRule>
    <cfRule type="cellIs" dxfId="2271" priority="3856" stopIfTrue="1" operator="between">
      <formula>35.1</formula>
      <formula>80</formula>
    </cfRule>
    <cfRule type="cellIs" dxfId="2270" priority="3857" stopIfTrue="1" operator="between">
      <formula>14.1</formula>
      <formula>35</formula>
    </cfRule>
    <cfRule type="cellIs" dxfId="2269" priority="3858" stopIfTrue="1" operator="between">
      <formula>5.1</formula>
      <formula>14</formula>
    </cfRule>
    <cfRule type="cellIs" dxfId="2268" priority="3859" stopIfTrue="1" operator="between">
      <formula>0</formula>
      <formula>5</formula>
    </cfRule>
    <cfRule type="containsBlanks" dxfId="2267" priority="3860" stopIfTrue="1">
      <formula>LEN(TRIM(E298))=0</formula>
    </cfRule>
  </conditionalFormatting>
  <conditionalFormatting sqref="E305:Q305">
    <cfRule type="containsBlanks" dxfId="2266" priority="3847" stopIfTrue="1">
      <formula>LEN(TRIM(E305))=0</formula>
    </cfRule>
    <cfRule type="cellIs" dxfId="2265" priority="3848" stopIfTrue="1" operator="between">
      <formula>80.1</formula>
      <formula>100</formula>
    </cfRule>
    <cfRule type="cellIs" dxfId="2264" priority="3849" stopIfTrue="1" operator="between">
      <formula>35.1</formula>
      <formula>80</formula>
    </cfRule>
    <cfRule type="cellIs" dxfId="2263" priority="3850" stopIfTrue="1" operator="between">
      <formula>14.1</formula>
      <formula>35</formula>
    </cfRule>
    <cfRule type="cellIs" dxfId="2262" priority="3851" stopIfTrue="1" operator="between">
      <formula>5.1</formula>
      <formula>14</formula>
    </cfRule>
    <cfRule type="cellIs" dxfId="2261" priority="3852" stopIfTrue="1" operator="between">
      <formula>0</formula>
      <formula>5</formula>
    </cfRule>
    <cfRule type="containsBlanks" dxfId="2260" priority="3853" stopIfTrue="1">
      <formula>LEN(TRIM(E305))=0</formula>
    </cfRule>
  </conditionalFormatting>
  <conditionalFormatting sqref="E304:Q304">
    <cfRule type="containsBlanks" dxfId="2259" priority="3840" stopIfTrue="1">
      <formula>LEN(TRIM(E304))=0</formula>
    </cfRule>
    <cfRule type="cellIs" dxfId="2258" priority="3841" stopIfTrue="1" operator="between">
      <formula>80.1</formula>
      <formula>100</formula>
    </cfRule>
    <cfRule type="cellIs" dxfId="2257" priority="3842" stopIfTrue="1" operator="between">
      <formula>35.1</formula>
      <formula>80</formula>
    </cfRule>
    <cfRule type="cellIs" dxfId="2256" priority="3843" stopIfTrue="1" operator="between">
      <formula>14.1</formula>
      <formula>35</formula>
    </cfRule>
    <cfRule type="cellIs" dxfId="2255" priority="3844" stopIfTrue="1" operator="between">
      <formula>5.1</formula>
      <formula>14</formula>
    </cfRule>
    <cfRule type="cellIs" dxfId="2254" priority="3845" stopIfTrue="1" operator="between">
      <formula>0</formula>
      <formula>5</formula>
    </cfRule>
    <cfRule type="containsBlanks" dxfId="2253" priority="3846" stopIfTrue="1">
      <formula>LEN(TRIM(E304))=0</formula>
    </cfRule>
  </conditionalFormatting>
  <conditionalFormatting sqref="E310:Q310">
    <cfRule type="containsBlanks" dxfId="2252" priority="3833" stopIfTrue="1">
      <formula>LEN(TRIM(E310))=0</formula>
    </cfRule>
    <cfRule type="cellIs" dxfId="2251" priority="3834" stopIfTrue="1" operator="between">
      <formula>80.1</formula>
      <formula>100</formula>
    </cfRule>
    <cfRule type="cellIs" dxfId="2250" priority="3835" stopIfTrue="1" operator="between">
      <formula>35.1</formula>
      <formula>80</formula>
    </cfRule>
    <cfRule type="cellIs" dxfId="2249" priority="3836" stopIfTrue="1" operator="between">
      <formula>14.1</formula>
      <formula>35</formula>
    </cfRule>
    <cfRule type="cellIs" dxfId="2248" priority="3837" stopIfTrue="1" operator="between">
      <formula>5.1</formula>
      <formula>14</formula>
    </cfRule>
    <cfRule type="cellIs" dxfId="2247" priority="3838" stopIfTrue="1" operator="between">
      <formula>0</formula>
      <formula>5</formula>
    </cfRule>
    <cfRule type="containsBlanks" dxfId="2246" priority="3839" stopIfTrue="1">
      <formula>LEN(TRIM(E310))=0</formula>
    </cfRule>
  </conditionalFormatting>
  <conditionalFormatting sqref="E311:Q311">
    <cfRule type="containsBlanks" dxfId="2245" priority="3826" stopIfTrue="1">
      <formula>LEN(TRIM(E311))=0</formula>
    </cfRule>
    <cfRule type="cellIs" dxfId="2244" priority="3827" stopIfTrue="1" operator="between">
      <formula>80.1</formula>
      <formula>100</formula>
    </cfRule>
    <cfRule type="cellIs" dxfId="2243" priority="3828" stopIfTrue="1" operator="between">
      <formula>35.1</formula>
      <formula>80</formula>
    </cfRule>
    <cfRule type="cellIs" dxfId="2242" priority="3829" stopIfTrue="1" operator="between">
      <formula>14.1</formula>
      <formula>35</formula>
    </cfRule>
    <cfRule type="cellIs" dxfId="2241" priority="3830" stopIfTrue="1" operator="between">
      <formula>5.1</formula>
      <formula>14</formula>
    </cfRule>
    <cfRule type="cellIs" dxfId="2240" priority="3831" stopIfTrue="1" operator="between">
      <formula>0</formula>
      <formula>5</formula>
    </cfRule>
    <cfRule type="containsBlanks" dxfId="2239" priority="3832" stopIfTrue="1">
      <formula>LEN(TRIM(E311))=0</formula>
    </cfRule>
  </conditionalFormatting>
  <conditionalFormatting sqref="E312:Q312">
    <cfRule type="containsBlanks" dxfId="2238" priority="3819" stopIfTrue="1">
      <formula>LEN(TRIM(E312))=0</formula>
    </cfRule>
    <cfRule type="cellIs" dxfId="2237" priority="3820" stopIfTrue="1" operator="between">
      <formula>80.1</formula>
      <formula>100</formula>
    </cfRule>
    <cfRule type="cellIs" dxfId="2236" priority="3821" stopIfTrue="1" operator="between">
      <formula>35.1</formula>
      <formula>80</formula>
    </cfRule>
    <cfRule type="cellIs" dxfId="2235" priority="3822" stopIfTrue="1" operator="between">
      <formula>14.1</formula>
      <formula>35</formula>
    </cfRule>
    <cfRule type="cellIs" dxfId="2234" priority="3823" stopIfTrue="1" operator="between">
      <formula>5.1</formula>
      <formula>14</formula>
    </cfRule>
    <cfRule type="cellIs" dxfId="2233" priority="3824" stopIfTrue="1" operator="between">
      <formula>0</formula>
      <formula>5</formula>
    </cfRule>
    <cfRule type="containsBlanks" dxfId="2232" priority="3825" stopIfTrue="1">
      <formula>LEN(TRIM(E312))=0</formula>
    </cfRule>
  </conditionalFormatting>
  <conditionalFormatting sqref="E313:Q313">
    <cfRule type="containsBlanks" dxfId="2231" priority="3812" stopIfTrue="1">
      <formula>LEN(TRIM(E313))=0</formula>
    </cfRule>
    <cfRule type="cellIs" dxfId="2230" priority="3813" stopIfTrue="1" operator="between">
      <formula>80.1</formula>
      <formula>100</formula>
    </cfRule>
    <cfRule type="cellIs" dxfId="2229" priority="3814" stopIfTrue="1" operator="between">
      <formula>35.1</formula>
      <formula>80</formula>
    </cfRule>
    <cfRule type="cellIs" dxfId="2228" priority="3815" stopIfTrue="1" operator="between">
      <formula>14.1</formula>
      <formula>35</formula>
    </cfRule>
    <cfRule type="cellIs" dxfId="2227" priority="3816" stopIfTrue="1" operator="between">
      <formula>5.1</formula>
      <formula>14</formula>
    </cfRule>
    <cfRule type="cellIs" dxfId="2226" priority="3817" stopIfTrue="1" operator="between">
      <formula>0</formula>
      <formula>5</formula>
    </cfRule>
    <cfRule type="containsBlanks" dxfId="2225" priority="3818" stopIfTrue="1">
      <formula>LEN(TRIM(E313))=0</formula>
    </cfRule>
  </conditionalFormatting>
  <conditionalFormatting sqref="E302:Q302">
    <cfRule type="containsBlanks" dxfId="2224" priority="3805" stopIfTrue="1">
      <formula>LEN(TRIM(E302))=0</formula>
    </cfRule>
    <cfRule type="cellIs" dxfId="2223" priority="3806" stopIfTrue="1" operator="between">
      <formula>80.1</formula>
      <formula>100</formula>
    </cfRule>
    <cfRule type="cellIs" dxfId="2222" priority="3807" stopIfTrue="1" operator="between">
      <formula>35.1</formula>
      <formula>80</formula>
    </cfRule>
    <cfRule type="cellIs" dxfId="2221" priority="3808" stopIfTrue="1" operator="between">
      <formula>14.1</formula>
      <formula>35</formula>
    </cfRule>
    <cfRule type="cellIs" dxfId="2220" priority="3809" stopIfTrue="1" operator="between">
      <formula>5.1</formula>
      <formula>14</formula>
    </cfRule>
    <cfRule type="cellIs" dxfId="2219" priority="3810" stopIfTrue="1" operator="between">
      <formula>0</formula>
      <formula>5</formula>
    </cfRule>
    <cfRule type="containsBlanks" dxfId="2218" priority="3811" stopIfTrue="1">
      <formula>LEN(TRIM(E302))=0</formula>
    </cfRule>
  </conditionalFormatting>
  <conditionalFormatting sqref="E301:Q301">
    <cfRule type="containsBlanks" dxfId="2217" priority="3798" stopIfTrue="1">
      <formula>LEN(TRIM(E301))=0</formula>
    </cfRule>
    <cfRule type="cellIs" dxfId="2216" priority="3799" stopIfTrue="1" operator="between">
      <formula>80.1</formula>
      <formula>100</formula>
    </cfRule>
    <cfRule type="cellIs" dxfId="2215" priority="3800" stopIfTrue="1" operator="between">
      <formula>35.1</formula>
      <formula>80</formula>
    </cfRule>
    <cfRule type="cellIs" dxfId="2214" priority="3801" stopIfTrue="1" operator="between">
      <formula>14.1</formula>
      <formula>35</formula>
    </cfRule>
    <cfRule type="cellIs" dxfId="2213" priority="3802" stopIfTrue="1" operator="between">
      <formula>5.1</formula>
      <formula>14</formula>
    </cfRule>
    <cfRule type="cellIs" dxfId="2212" priority="3803" stopIfTrue="1" operator="between">
      <formula>0</formula>
      <formula>5</formula>
    </cfRule>
    <cfRule type="containsBlanks" dxfId="2211" priority="3804" stopIfTrue="1">
      <formula>LEN(TRIM(E301))=0</formula>
    </cfRule>
  </conditionalFormatting>
  <conditionalFormatting sqref="F292:P292">
    <cfRule type="containsBlanks" dxfId="2210" priority="3791" stopIfTrue="1">
      <formula>LEN(TRIM(F292))=0</formula>
    </cfRule>
    <cfRule type="cellIs" dxfId="2209" priority="3792" stopIfTrue="1" operator="between">
      <formula>79.1</formula>
      <formula>100</formula>
    </cfRule>
    <cfRule type="cellIs" dxfId="2208" priority="3793" stopIfTrue="1" operator="between">
      <formula>34.1</formula>
      <formula>79</formula>
    </cfRule>
    <cfRule type="cellIs" dxfId="2207" priority="3794" stopIfTrue="1" operator="between">
      <formula>13.1</formula>
      <formula>34</formula>
    </cfRule>
    <cfRule type="cellIs" dxfId="2206" priority="3795" stopIfTrue="1" operator="between">
      <formula>5.1</formula>
      <formula>13</formula>
    </cfRule>
    <cfRule type="cellIs" dxfId="2205" priority="3796" stopIfTrue="1" operator="between">
      <formula>0</formula>
      <formula>5</formula>
    </cfRule>
    <cfRule type="containsBlanks" dxfId="2204" priority="3797" stopIfTrue="1">
      <formula>LEN(TRIM(F292))=0</formula>
    </cfRule>
  </conditionalFormatting>
  <conditionalFormatting sqref="E314:P314">
    <cfRule type="containsBlanks" dxfId="2203" priority="3784" stopIfTrue="1">
      <formula>LEN(TRIM(E314))=0</formula>
    </cfRule>
    <cfRule type="cellIs" dxfId="2202" priority="3785" stopIfTrue="1" operator="between">
      <formula>79.1</formula>
      <formula>100</formula>
    </cfRule>
    <cfRule type="cellIs" dxfId="2201" priority="3786" stopIfTrue="1" operator="between">
      <formula>34.1</formula>
      <formula>79</formula>
    </cfRule>
    <cfRule type="cellIs" dxfId="2200" priority="3787" stopIfTrue="1" operator="between">
      <formula>13.1</formula>
      <formula>34</formula>
    </cfRule>
    <cfRule type="cellIs" dxfId="2199" priority="3788" stopIfTrue="1" operator="between">
      <formula>5.1</formula>
      <formula>13</formula>
    </cfRule>
    <cfRule type="cellIs" dxfId="2198" priority="3789" stopIfTrue="1" operator="between">
      <formula>0</formula>
      <formula>5</formula>
    </cfRule>
    <cfRule type="containsBlanks" dxfId="2197" priority="3790" stopIfTrue="1">
      <formula>LEN(TRIM(E314))=0</formula>
    </cfRule>
  </conditionalFormatting>
  <conditionalFormatting sqref="E315:P319">
    <cfRule type="containsBlanks" dxfId="2196" priority="3770" stopIfTrue="1">
      <formula>LEN(TRIM(E315))=0</formula>
    </cfRule>
    <cfRule type="cellIs" dxfId="2195" priority="3771" stopIfTrue="1" operator="between">
      <formula>79.1</formula>
      <formula>100</formula>
    </cfRule>
    <cfRule type="cellIs" dxfId="2194" priority="3772" stopIfTrue="1" operator="between">
      <formula>34.1</formula>
      <formula>79</formula>
    </cfRule>
    <cfRule type="cellIs" dxfId="2193" priority="3773" stopIfTrue="1" operator="between">
      <formula>13.1</formula>
      <formula>34</formula>
    </cfRule>
    <cfRule type="cellIs" dxfId="2192" priority="3774" stopIfTrue="1" operator="between">
      <formula>5.1</formula>
      <formula>13</formula>
    </cfRule>
    <cfRule type="cellIs" dxfId="2191" priority="3775" stopIfTrue="1" operator="between">
      <formula>0</formula>
      <formula>5</formula>
    </cfRule>
    <cfRule type="containsBlanks" dxfId="2190" priority="3776" stopIfTrue="1">
      <formula>LEN(TRIM(E315))=0</formula>
    </cfRule>
  </conditionalFormatting>
  <conditionalFormatting sqref="E321:P321">
    <cfRule type="containsBlanks" dxfId="2189" priority="3763" stopIfTrue="1">
      <formula>LEN(TRIM(E321))=0</formula>
    </cfRule>
    <cfRule type="cellIs" dxfId="2188" priority="3764" stopIfTrue="1" operator="between">
      <formula>79.1</formula>
      <formula>100</formula>
    </cfRule>
    <cfRule type="cellIs" dxfId="2187" priority="3765" stopIfTrue="1" operator="between">
      <formula>34.1</formula>
      <formula>79</formula>
    </cfRule>
    <cfRule type="cellIs" dxfId="2186" priority="3766" stopIfTrue="1" operator="between">
      <formula>13.1</formula>
      <formula>34</formula>
    </cfRule>
    <cfRule type="cellIs" dxfId="2185" priority="3767" stopIfTrue="1" operator="between">
      <formula>5.1</formula>
      <formula>13</formula>
    </cfRule>
    <cfRule type="cellIs" dxfId="2184" priority="3768" stopIfTrue="1" operator="between">
      <formula>0</formula>
      <formula>5</formula>
    </cfRule>
    <cfRule type="containsBlanks" dxfId="2183" priority="3769" stopIfTrue="1">
      <formula>LEN(TRIM(E321))=0</formula>
    </cfRule>
  </conditionalFormatting>
  <conditionalFormatting sqref="E320:P320">
    <cfRule type="containsBlanks" dxfId="2182" priority="3756" stopIfTrue="1">
      <formula>LEN(TRIM(E320))=0</formula>
    </cfRule>
    <cfRule type="cellIs" dxfId="2181" priority="3757" stopIfTrue="1" operator="between">
      <formula>79.1</formula>
      <formula>100</formula>
    </cfRule>
    <cfRule type="cellIs" dxfId="2180" priority="3758" stopIfTrue="1" operator="between">
      <formula>34.1</formula>
      <formula>79</formula>
    </cfRule>
    <cfRule type="cellIs" dxfId="2179" priority="3759" stopIfTrue="1" operator="between">
      <formula>13.1</formula>
      <formula>34</formula>
    </cfRule>
    <cfRule type="cellIs" dxfId="2178" priority="3760" stopIfTrue="1" operator="between">
      <formula>5.1</formula>
      <formula>13</formula>
    </cfRule>
    <cfRule type="cellIs" dxfId="2177" priority="3761" stopIfTrue="1" operator="between">
      <formula>0</formula>
      <formula>5</formula>
    </cfRule>
    <cfRule type="containsBlanks" dxfId="2176" priority="3762" stopIfTrue="1">
      <formula>LEN(TRIM(E320))=0</formula>
    </cfRule>
  </conditionalFormatting>
  <conditionalFormatting sqref="E322:P325">
    <cfRule type="containsBlanks" dxfId="2175" priority="3749" stopIfTrue="1">
      <formula>LEN(TRIM(E322))=0</formula>
    </cfRule>
    <cfRule type="cellIs" dxfId="2174" priority="3750" stopIfTrue="1" operator="between">
      <formula>79.1</formula>
      <formula>100</formula>
    </cfRule>
    <cfRule type="cellIs" dxfId="2173" priority="3751" stopIfTrue="1" operator="between">
      <formula>34.1</formula>
      <formula>79</formula>
    </cfRule>
    <cfRule type="cellIs" dxfId="2172" priority="3752" stopIfTrue="1" operator="between">
      <formula>13.1</formula>
      <formula>34</formula>
    </cfRule>
    <cfRule type="cellIs" dxfId="2171" priority="3753" stopIfTrue="1" operator="between">
      <formula>5.1</formula>
      <formula>13</formula>
    </cfRule>
    <cfRule type="cellIs" dxfId="2170" priority="3754" stopIfTrue="1" operator="between">
      <formula>0</formula>
      <formula>5</formula>
    </cfRule>
    <cfRule type="containsBlanks" dxfId="2169" priority="3755" stopIfTrue="1">
      <formula>LEN(TRIM(E322))=0</formula>
    </cfRule>
  </conditionalFormatting>
  <conditionalFormatting sqref="E326:P329">
    <cfRule type="containsBlanks" dxfId="2168" priority="3742" stopIfTrue="1">
      <formula>LEN(TRIM(E326))=0</formula>
    </cfRule>
    <cfRule type="cellIs" dxfId="2167" priority="3743" stopIfTrue="1" operator="between">
      <formula>79.1</formula>
      <formula>100</formula>
    </cfRule>
    <cfRule type="cellIs" dxfId="2166" priority="3744" stopIfTrue="1" operator="between">
      <formula>34.1</formula>
      <formula>79</formula>
    </cfRule>
    <cfRule type="cellIs" dxfId="2165" priority="3745" stopIfTrue="1" operator="between">
      <formula>13.1</formula>
      <formula>34</formula>
    </cfRule>
    <cfRule type="cellIs" dxfId="2164" priority="3746" stopIfTrue="1" operator="between">
      <formula>5.1</formula>
      <formula>13</formula>
    </cfRule>
    <cfRule type="cellIs" dxfId="2163" priority="3747" stopIfTrue="1" operator="between">
      <formula>0</formula>
      <formula>5</formula>
    </cfRule>
    <cfRule type="containsBlanks" dxfId="2162" priority="3748" stopIfTrue="1">
      <formula>LEN(TRIM(E326))=0</formula>
    </cfRule>
  </conditionalFormatting>
  <conditionalFormatting sqref="E333:Q335">
    <cfRule type="containsBlanks" dxfId="2161" priority="3735" stopIfTrue="1">
      <formula>LEN(TRIM(E333))=0</formula>
    </cfRule>
    <cfRule type="cellIs" dxfId="2160" priority="3736" stopIfTrue="1" operator="between">
      <formula>80.1</formula>
      <formula>100</formula>
    </cfRule>
    <cfRule type="cellIs" dxfId="2159" priority="3737" stopIfTrue="1" operator="between">
      <formula>35.1</formula>
      <formula>80</formula>
    </cfRule>
    <cfRule type="cellIs" dxfId="2158" priority="3738" stopIfTrue="1" operator="between">
      <formula>14.1</formula>
      <formula>35</formula>
    </cfRule>
    <cfRule type="cellIs" dxfId="2157" priority="3739" stopIfTrue="1" operator="between">
      <formula>5.1</formula>
      <formula>14</formula>
    </cfRule>
    <cfRule type="cellIs" dxfId="2156" priority="3740" stopIfTrue="1" operator="between">
      <formula>0</formula>
      <formula>5</formula>
    </cfRule>
    <cfRule type="containsBlanks" dxfId="2155" priority="3741" stopIfTrue="1">
      <formula>LEN(TRIM(E333))=0</formula>
    </cfRule>
  </conditionalFormatting>
  <conditionalFormatting sqref="E336:Q340">
    <cfRule type="containsBlanks" dxfId="2154" priority="3728" stopIfTrue="1">
      <formula>LEN(TRIM(E336))=0</formula>
    </cfRule>
    <cfRule type="cellIs" dxfId="2153" priority="3729" stopIfTrue="1" operator="between">
      <formula>80.1</formula>
      <formula>100</formula>
    </cfRule>
    <cfRule type="cellIs" dxfId="2152" priority="3730" stopIfTrue="1" operator="between">
      <formula>35.1</formula>
      <formula>80</formula>
    </cfRule>
    <cfRule type="cellIs" dxfId="2151" priority="3731" stopIfTrue="1" operator="between">
      <formula>14.1</formula>
      <formula>35</formula>
    </cfRule>
    <cfRule type="cellIs" dxfId="2150" priority="3732" stopIfTrue="1" operator="between">
      <formula>5.1</formula>
      <formula>14</formula>
    </cfRule>
    <cfRule type="cellIs" dxfId="2149" priority="3733" stopIfTrue="1" operator="between">
      <formula>0</formula>
      <formula>5</formula>
    </cfRule>
    <cfRule type="containsBlanks" dxfId="2148" priority="3734" stopIfTrue="1">
      <formula>LEN(TRIM(E336))=0</formula>
    </cfRule>
  </conditionalFormatting>
  <conditionalFormatting sqref="E341:Q344">
    <cfRule type="containsBlanks" dxfId="2147" priority="3721" stopIfTrue="1">
      <formula>LEN(TRIM(E341))=0</formula>
    </cfRule>
    <cfRule type="cellIs" dxfId="2146" priority="3722" stopIfTrue="1" operator="between">
      <formula>80.1</formula>
      <formula>100</formula>
    </cfRule>
    <cfRule type="cellIs" dxfId="2145" priority="3723" stopIfTrue="1" operator="between">
      <formula>35.1</formula>
      <formula>80</formula>
    </cfRule>
    <cfRule type="cellIs" dxfId="2144" priority="3724" stopIfTrue="1" operator="between">
      <formula>14.1</formula>
      <formula>35</formula>
    </cfRule>
    <cfRule type="cellIs" dxfId="2143" priority="3725" stopIfTrue="1" operator="between">
      <formula>5.1</formula>
      <formula>14</formula>
    </cfRule>
    <cfRule type="cellIs" dxfId="2142" priority="3726" stopIfTrue="1" operator="between">
      <formula>0</formula>
      <formula>5</formula>
    </cfRule>
    <cfRule type="containsBlanks" dxfId="2141" priority="3727" stopIfTrue="1">
      <formula>LEN(TRIM(E341))=0</formula>
    </cfRule>
  </conditionalFormatting>
  <conditionalFormatting sqref="E345:Q348 E351:Q355">
    <cfRule type="containsBlanks" dxfId="2140" priority="3714" stopIfTrue="1">
      <formula>LEN(TRIM(E345))=0</formula>
    </cfRule>
    <cfRule type="cellIs" dxfId="2139" priority="3715" stopIfTrue="1" operator="between">
      <formula>80.1</formula>
      <formula>100</formula>
    </cfRule>
    <cfRule type="cellIs" dxfId="2138" priority="3716" stopIfTrue="1" operator="between">
      <formula>35.1</formula>
      <formula>80</formula>
    </cfRule>
    <cfRule type="cellIs" dxfId="2137" priority="3717" stopIfTrue="1" operator="between">
      <formula>14.1</formula>
      <formula>35</formula>
    </cfRule>
    <cfRule type="cellIs" dxfId="2136" priority="3718" stopIfTrue="1" operator="between">
      <formula>5.1</formula>
      <formula>14</formula>
    </cfRule>
    <cfRule type="cellIs" dxfId="2135" priority="3719" stopIfTrue="1" operator="between">
      <formula>0</formula>
      <formula>5</formula>
    </cfRule>
    <cfRule type="containsBlanks" dxfId="2134" priority="3720" stopIfTrue="1">
      <formula>LEN(TRIM(E345))=0</formula>
    </cfRule>
  </conditionalFormatting>
  <conditionalFormatting sqref="E356:Q362 E364:Q365">
    <cfRule type="containsBlanks" dxfId="2133" priority="3707" stopIfTrue="1">
      <formula>LEN(TRIM(E356))=0</formula>
    </cfRule>
    <cfRule type="cellIs" dxfId="2132" priority="3708" stopIfTrue="1" operator="between">
      <formula>80.1</formula>
      <formula>100</formula>
    </cfRule>
    <cfRule type="cellIs" dxfId="2131" priority="3709" stopIfTrue="1" operator="between">
      <formula>35.1</formula>
      <formula>80</formula>
    </cfRule>
    <cfRule type="cellIs" dxfId="2130" priority="3710" stopIfTrue="1" operator="between">
      <formula>14.1</formula>
      <formula>35</formula>
    </cfRule>
    <cfRule type="cellIs" dxfId="2129" priority="3711" stopIfTrue="1" operator="between">
      <formula>5.1</formula>
      <formula>14</formula>
    </cfRule>
    <cfRule type="cellIs" dxfId="2128" priority="3712" stopIfTrue="1" operator="between">
      <formula>0</formula>
      <formula>5</formula>
    </cfRule>
    <cfRule type="containsBlanks" dxfId="2127" priority="3713" stopIfTrue="1">
      <formula>LEN(TRIM(E356))=0</formula>
    </cfRule>
  </conditionalFormatting>
  <conditionalFormatting sqref="E363:Q363">
    <cfRule type="containsBlanks" dxfId="2126" priority="3700" stopIfTrue="1">
      <formula>LEN(TRIM(E363))=0</formula>
    </cfRule>
    <cfRule type="cellIs" dxfId="2125" priority="3701" stopIfTrue="1" operator="between">
      <formula>80.1</formula>
      <formula>100</formula>
    </cfRule>
    <cfRule type="cellIs" dxfId="2124" priority="3702" stopIfTrue="1" operator="between">
      <formula>35.1</formula>
      <formula>80</formula>
    </cfRule>
    <cfRule type="cellIs" dxfId="2123" priority="3703" stopIfTrue="1" operator="between">
      <formula>14.1</formula>
      <formula>35</formula>
    </cfRule>
    <cfRule type="cellIs" dxfId="2122" priority="3704" stopIfTrue="1" operator="between">
      <formula>5.1</formula>
      <formula>14</formula>
    </cfRule>
    <cfRule type="cellIs" dxfId="2121" priority="3705" stopIfTrue="1" operator="between">
      <formula>0</formula>
      <formula>5</formula>
    </cfRule>
    <cfRule type="containsBlanks" dxfId="2120" priority="3706" stopIfTrue="1">
      <formula>LEN(TRIM(E363))=0</formula>
    </cfRule>
  </conditionalFormatting>
  <conditionalFormatting sqref="E366:Q371">
    <cfRule type="containsBlanks" dxfId="2119" priority="3693" stopIfTrue="1">
      <formula>LEN(TRIM(E366))=0</formula>
    </cfRule>
    <cfRule type="cellIs" dxfId="2118" priority="3694" stopIfTrue="1" operator="between">
      <formula>80.1</formula>
      <formula>100</formula>
    </cfRule>
    <cfRule type="cellIs" dxfId="2117" priority="3695" stopIfTrue="1" operator="between">
      <formula>35.1</formula>
      <formula>80</formula>
    </cfRule>
    <cfRule type="cellIs" dxfId="2116" priority="3696" stopIfTrue="1" operator="between">
      <formula>14.1</formula>
      <formula>35</formula>
    </cfRule>
    <cfRule type="cellIs" dxfId="2115" priority="3697" stopIfTrue="1" operator="between">
      <formula>5.1</formula>
      <formula>14</formula>
    </cfRule>
    <cfRule type="cellIs" dxfId="2114" priority="3698" stopIfTrue="1" operator="between">
      <formula>0</formula>
      <formula>5</formula>
    </cfRule>
    <cfRule type="containsBlanks" dxfId="2113" priority="3699" stopIfTrue="1">
      <formula>LEN(TRIM(E366))=0</formula>
    </cfRule>
  </conditionalFormatting>
  <conditionalFormatting sqref="E380:J380">
    <cfRule type="containsBlanks" dxfId="2112" priority="3686" stopIfTrue="1">
      <formula>LEN(TRIM(E380))=0</formula>
    </cfRule>
    <cfRule type="cellIs" dxfId="2111" priority="3687" stopIfTrue="1" operator="between">
      <formula>79.1</formula>
      <formula>100</formula>
    </cfRule>
    <cfRule type="cellIs" dxfId="2110" priority="3688" stopIfTrue="1" operator="between">
      <formula>34.1</formula>
      <formula>79</formula>
    </cfRule>
    <cfRule type="cellIs" dxfId="2109" priority="3689" stopIfTrue="1" operator="between">
      <formula>13.1</formula>
      <formula>34</formula>
    </cfRule>
    <cfRule type="cellIs" dxfId="2108" priority="3690" stopIfTrue="1" operator="between">
      <formula>5.1</formula>
      <formula>13</formula>
    </cfRule>
    <cfRule type="cellIs" dxfId="2107" priority="3691" stopIfTrue="1" operator="between">
      <formula>0</formula>
      <formula>5</formula>
    </cfRule>
    <cfRule type="containsBlanks" dxfId="2106" priority="3692" stopIfTrue="1">
      <formula>LEN(TRIM(E380))=0</formula>
    </cfRule>
  </conditionalFormatting>
  <conditionalFormatting sqref="E379:I379">
    <cfRule type="containsBlanks" dxfId="2105" priority="3679" stopIfTrue="1">
      <formula>LEN(TRIM(E379))=0</formula>
    </cfRule>
    <cfRule type="cellIs" dxfId="2104" priority="3680" stopIfTrue="1" operator="between">
      <formula>79.1</formula>
      <formula>100</formula>
    </cfRule>
    <cfRule type="cellIs" dxfId="2103" priority="3681" stopIfTrue="1" operator="between">
      <formula>34.1</formula>
      <formula>79</formula>
    </cfRule>
    <cfRule type="cellIs" dxfId="2102" priority="3682" stopIfTrue="1" operator="between">
      <formula>13.1</formula>
      <formula>34</formula>
    </cfRule>
    <cfRule type="cellIs" dxfId="2101" priority="3683" stopIfTrue="1" operator="between">
      <formula>5.1</formula>
      <formula>13</formula>
    </cfRule>
    <cfRule type="cellIs" dxfId="2100" priority="3684" stopIfTrue="1" operator="between">
      <formula>0</formula>
      <formula>5</formula>
    </cfRule>
    <cfRule type="containsBlanks" dxfId="2099" priority="3685" stopIfTrue="1">
      <formula>LEN(TRIM(E379))=0</formula>
    </cfRule>
  </conditionalFormatting>
  <conditionalFormatting sqref="E381:I381">
    <cfRule type="containsBlanks" dxfId="2098" priority="3672" stopIfTrue="1">
      <formula>LEN(TRIM(E381))=0</formula>
    </cfRule>
    <cfRule type="cellIs" dxfId="2097" priority="3673" stopIfTrue="1" operator="between">
      <formula>79.1</formula>
      <formula>100</formula>
    </cfRule>
    <cfRule type="cellIs" dxfId="2096" priority="3674" stopIfTrue="1" operator="between">
      <formula>34.1</formula>
      <formula>79</formula>
    </cfRule>
    <cfRule type="cellIs" dxfId="2095" priority="3675" stopIfTrue="1" operator="between">
      <formula>13.1</formula>
      <formula>34</formula>
    </cfRule>
    <cfRule type="cellIs" dxfId="2094" priority="3676" stopIfTrue="1" operator="between">
      <formula>5.1</formula>
      <formula>13</formula>
    </cfRule>
    <cfRule type="cellIs" dxfId="2093" priority="3677" stopIfTrue="1" operator="between">
      <formula>0</formula>
      <formula>5</formula>
    </cfRule>
    <cfRule type="containsBlanks" dxfId="2092" priority="3678" stopIfTrue="1">
      <formula>LEN(TRIM(E381))=0</formula>
    </cfRule>
  </conditionalFormatting>
  <conditionalFormatting sqref="E376:K376">
    <cfRule type="containsBlanks" dxfId="2091" priority="3665" stopIfTrue="1">
      <formula>LEN(TRIM(E376))=0</formula>
    </cfRule>
    <cfRule type="cellIs" dxfId="2090" priority="3666" stopIfTrue="1" operator="between">
      <formula>79.1</formula>
      <formula>100</formula>
    </cfRule>
    <cfRule type="cellIs" dxfId="2089" priority="3667" stopIfTrue="1" operator="between">
      <formula>34.1</formula>
      <formula>79</formula>
    </cfRule>
    <cfRule type="cellIs" dxfId="2088" priority="3668" stopIfTrue="1" operator="between">
      <formula>13.1</formula>
      <formula>34</formula>
    </cfRule>
    <cfRule type="cellIs" dxfId="2087" priority="3669" stopIfTrue="1" operator="between">
      <formula>5.1</formula>
      <formula>13</formula>
    </cfRule>
    <cfRule type="cellIs" dxfId="2086" priority="3670" stopIfTrue="1" operator="between">
      <formula>0</formula>
      <formula>5</formula>
    </cfRule>
    <cfRule type="containsBlanks" dxfId="2085" priority="3671" stopIfTrue="1">
      <formula>LEN(TRIM(E376))=0</formula>
    </cfRule>
  </conditionalFormatting>
  <conditionalFormatting sqref="E373:K373">
    <cfRule type="containsBlanks" dxfId="2084" priority="3658" stopIfTrue="1">
      <formula>LEN(TRIM(E373))=0</formula>
    </cfRule>
    <cfRule type="cellIs" dxfId="2083" priority="3659" stopIfTrue="1" operator="between">
      <formula>79.1</formula>
      <formula>100</formula>
    </cfRule>
    <cfRule type="cellIs" dxfId="2082" priority="3660" stopIfTrue="1" operator="between">
      <formula>34.1</formula>
      <formula>79</formula>
    </cfRule>
    <cfRule type="cellIs" dxfId="2081" priority="3661" stopIfTrue="1" operator="between">
      <formula>13.1</formula>
      <formula>34</formula>
    </cfRule>
    <cfRule type="cellIs" dxfId="2080" priority="3662" stopIfTrue="1" operator="between">
      <formula>5.1</formula>
      <formula>13</formula>
    </cfRule>
    <cfRule type="cellIs" dxfId="2079" priority="3663" stopIfTrue="1" operator="between">
      <formula>0</formula>
      <formula>5</formula>
    </cfRule>
    <cfRule type="containsBlanks" dxfId="2078" priority="3664" stopIfTrue="1">
      <formula>LEN(TRIM(E373))=0</formula>
    </cfRule>
  </conditionalFormatting>
  <conditionalFormatting sqref="E378:J378">
    <cfRule type="containsBlanks" dxfId="2077" priority="3651" stopIfTrue="1">
      <formula>LEN(TRIM(E378))=0</formula>
    </cfRule>
    <cfRule type="cellIs" dxfId="2076" priority="3652" stopIfTrue="1" operator="between">
      <formula>79.1</formula>
      <formula>100</formula>
    </cfRule>
    <cfRule type="cellIs" dxfId="2075" priority="3653" stopIfTrue="1" operator="between">
      <formula>34.1</formula>
      <formula>79</formula>
    </cfRule>
    <cfRule type="cellIs" dxfId="2074" priority="3654" stopIfTrue="1" operator="between">
      <formula>13.1</formula>
      <formula>34</formula>
    </cfRule>
    <cfRule type="cellIs" dxfId="2073" priority="3655" stopIfTrue="1" operator="between">
      <formula>5.1</formula>
      <formula>13</formula>
    </cfRule>
    <cfRule type="cellIs" dxfId="2072" priority="3656" stopIfTrue="1" operator="between">
      <formula>0</formula>
      <formula>5</formula>
    </cfRule>
    <cfRule type="containsBlanks" dxfId="2071" priority="3657" stopIfTrue="1">
      <formula>LEN(TRIM(E378))=0</formula>
    </cfRule>
  </conditionalFormatting>
  <conditionalFormatting sqref="E383:M383">
    <cfRule type="containsBlanks" dxfId="2070" priority="3644" stopIfTrue="1">
      <formula>LEN(TRIM(E383))=0</formula>
    </cfRule>
    <cfRule type="cellIs" dxfId="2069" priority="3645" stopIfTrue="1" operator="between">
      <formula>79.1</formula>
      <formula>100</formula>
    </cfRule>
    <cfRule type="cellIs" dxfId="2068" priority="3646" stopIfTrue="1" operator="between">
      <formula>34.1</formula>
      <formula>79</formula>
    </cfRule>
    <cfRule type="cellIs" dxfId="2067" priority="3647" stopIfTrue="1" operator="between">
      <formula>13.1</formula>
      <formula>34</formula>
    </cfRule>
    <cfRule type="cellIs" dxfId="2066" priority="3648" stopIfTrue="1" operator="between">
      <formula>5.1</formula>
      <formula>13</formula>
    </cfRule>
    <cfRule type="cellIs" dxfId="2065" priority="3649" stopIfTrue="1" operator="between">
      <formula>0</formula>
      <formula>5</formula>
    </cfRule>
    <cfRule type="containsBlanks" dxfId="2064" priority="3650" stopIfTrue="1">
      <formula>LEN(TRIM(E383))=0</formula>
    </cfRule>
  </conditionalFormatting>
  <conditionalFormatting sqref="E377:N377">
    <cfRule type="containsBlanks" dxfId="2063" priority="3637" stopIfTrue="1">
      <formula>LEN(TRIM(E377))=0</formula>
    </cfRule>
    <cfRule type="cellIs" dxfId="2062" priority="3638" stopIfTrue="1" operator="between">
      <formula>79.1</formula>
      <formula>100</formula>
    </cfRule>
    <cfRule type="cellIs" dxfId="2061" priority="3639" stopIfTrue="1" operator="between">
      <formula>34.1</formula>
      <formula>79</formula>
    </cfRule>
    <cfRule type="cellIs" dxfId="2060" priority="3640" stopIfTrue="1" operator="between">
      <formula>13.1</formula>
      <formula>34</formula>
    </cfRule>
    <cfRule type="cellIs" dxfId="2059" priority="3641" stopIfTrue="1" operator="between">
      <formula>5.1</formula>
      <formula>13</formula>
    </cfRule>
    <cfRule type="cellIs" dxfId="2058" priority="3642" stopIfTrue="1" operator="between">
      <formula>0</formula>
      <formula>5</formula>
    </cfRule>
    <cfRule type="containsBlanks" dxfId="2057" priority="3643" stopIfTrue="1">
      <formula>LEN(TRIM(E377))=0</formula>
    </cfRule>
  </conditionalFormatting>
  <conditionalFormatting sqref="E375:K375">
    <cfRule type="containsBlanks" dxfId="2056" priority="3630" stopIfTrue="1">
      <formula>LEN(TRIM(E375))=0</formula>
    </cfRule>
    <cfRule type="cellIs" dxfId="2055" priority="3631" stopIfTrue="1" operator="between">
      <formula>79.1</formula>
      <formula>100</formula>
    </cfRule>
    <cfRule type="cellIs" dxfId="2054" priority="3632" stopIfTrue="1" operator="between">
      <formula>34.1</formula>
      <formula>79</formula>
    </cfRule>
    <cfRule type="cellIs" dxfId="2053" priority="3633" stopIfTrue="1" operator="between">
      <formula>13.1</formula>
      <formula>34</formula>
    </cfRule>
    <cfRule type="cellIs" dxfId="2052" priority="3634" stopIfTrue="1" operator="between">
      <formula>5.1</formula>
      <formula>13</formula>
    </cfRule>
    <cfRule type="cellIs" dxfId="2051" priority="3635" stopIfTrue="1" operator="between">
      <formula>0</formula>
      <formula>5</formula>
    </cfRule>
    <cfRule type="containsBlanks" dxfId="2050" priority="3636" stopIfTrue="1">
      <formula>LEN(TRIM(E375))=0</formula>
    </cfRule>
  </conditionalFormatting>
  <conditionalFormatting sqref="E382:L382">
    <cfRule type="containsBlanks" dxfId="2049" priority="3623" stopIfTrue="1">
      <formula>LEN(TRIM(E382))=0</formula>
    </cfRule>
    <cfRule type="cellIs" dxfId="2048" priority="3624" stopIfTrue="1" operator="between">
      <formula>79.1</formula>
      <formula>100</formula>
    </cfRule>
    <cfRule type="cellIs" dxfId="2047" priority="3625" stopIfTrue="1" operator="between">
      <formula>34.1</formula>
      <formula>79</formula>
    </cfRule>
    <cfRule type="cellIs" dxfId="2046" priority="3626" stopIfTrue="1" operator="between">
      <formula>13.1</formula>
      <formula>34</formula>
    </cfRule>
    <cfRule type="cellIs" dxfId="2045" priority="3627" stopIfTrue="1" operator="between">
      <formula>5.1</formula>
      <formula>13</formula>
    </cfRule>
    <cfRule type="cellIs" dxfId="2044" priority="3628" stopIfTrue="1" operator="between">
      <formula>0</formula>
      <formula>5</formula>
    </cfRule>
    <cfRule type="containsBlanks" dxfId="2043" priority="3629" stopIfTrue="1">
      <formula>LEN(TRIM(E382))=0</formula>
    </cfRule>
  </conditionalFormatting>
  <conditionalFormatting sqref="E374:K374">
    <cfRule type="containsBlanks" dxfId="2042" priority="3616" stopIfTrue="1">
      <formula>LEN(TRIM(E374))=0</formula>
    </cfRule>
    <cfRule type="cellIs" dxfId="2041" priority="3617" stopIfTrue="1" operator="between">
      <formula>79.1</formula>
      <formula>100</formula>
    </cfRule>
    <cfRule type="cellIs" dxfId="2040" priority="3618" stopIfTrue="1" operator="between">
      <formula>34.1</formula>
      <formula>79</formula>
    </cfRule>
    <cfRule type="cellIs" dxfId="2039" priority="3619" stopIfTrue="1" operator="between">
      <formula>13.1</formula>
      <formula>34</formula>
    </cfRule>
    <cfRule type="cellIs" dxfId="2038" priority="3620" stopIfTrue="1" operator="between">
      <formula>5.1</formula>
      <formula>13</formula>
    </cfRule>
    <cfRule type="cellIs" dxfId="2037" priority="3621" stopIfTrue="1" operator="between">
      <formula>0</formula>
      <formula>5</formula>
    </cfRule>
    <cfRule type="containsBlanks" dxfId="2036" priority="3622" stopIfTrue="1">
      <formula>LEN(TRIM(E374))=0</formula>
    </cfRule>
  </conditionalFormatting>
  <conditionalFormatting sqref="E384:G384 K384:Q384">
    <cfRule type="containsBlanks" dxfId="2035" priority="3609" stopIfTrue="1">
      <formula>LEN(TRIM(E384))=0</formula>
    </cfRule>
    <cfRule type="cellIs" dxfId="2034" priority="3610" stopIfTrue="1" operator="between">
      <formula>80.1</formula>
      <formula>100</formula>
    </cfRule>
    <cfRule type="cellIs" dxfId="2033" priority="3611" stopIfTrue="1" operator="between">
      <formula>35.1</formula>
      <formula>80</formula>
    </cfRule>
    <cfRule type="cellIs" dxfId="2032" priority="3612" stopIfTrue="1" operator="between">
      <formula>14.1</formula>
      <formula>35</formula>
    </cfRule>
    <cfRule type="cellIs" dxfId="2031" priority="3613" stopIfTrue="1" operator="between">
      <formula>5.1</formula>
      <formula>14</formula>
    </cfRule>
    <cfRule type="cellIs" dxfId="2030" priority="3614" stopIfTrue="1" operator="between">
      <formula>0</formula>
      <formula>5</formula>
    </cfRule>
    <cfRule type="containsBlanks" dxfId="2029" priority="3615" stopIfTrue="1">
      <formula>LEN(TRIM(E384))=0</formula>
    </cfRule>
  </conditionalFormatting>
  <conditionalFormatting sqref="H384:J384">
    <cfRule type="containsBlanks" dxfId="2028" priority="3602" stopIfTrue="1">
      <formula>LEN(TRIM(H384))=0</formula>
    </cfRule>
    <cfRule type="cellIs" dxfId="2027" priority="3603" stopIfTrue="1" operator="between">
      <formula>80.1</formula>
      <formula>100</formula>
    </cfRule>
    <cfRule type="cellIs" dxfId="2026" priority="3604" stopIfTrue="1" operator="between">
      <formula>35.1</formula>
      <formula>80</formula>
    </cfRule>
    <cfRule type="cellIs" dxfId="2025" priority="3605" stopIfTrue="1" operator="between">
      <formula>14.1</formula>
      <formula>35</formula>
    </cfRule>
    <cfRule type="cellIs" dxfId="2024" priority="3606" stopIfTrue="1" operator="between">
      <formula>5.1</formula>
      <formula>14</formula>
    </cfRule>
    <cfRule type="cellIs" dxfId="2023" priority="3607" stopIfTrue="1" operator="between">
      <formula>0</formula>
      <formula>5</formula>
    </cfRule>
    <cfRule type="containsBlanks" dxfId="2022" priority="3608" stopIfTrue="1">
      <formula>LEN(TRIM(H384))=0</formula>
    </cfRule>
  </conditionalFormatting>
  <conditionalFormatting sqref="E390:G390 K390:Q390">
    <cfRule type="containsBlanks" dxfId="2021" priority="3595" stopIfTrue="1">
      <formula>LEN(TRIM(E390))=0</formula>
    </cfRule>
    <cfRule type="cellIs" dxfId="2020" priority="3596" stopIfTrue="1" operator="between">
      <formula>80.1</formula>
      <formula>100</formula>
    </cfRule>
    <cfRule type="cellIs" dxfId="2019" priority="3597" stopIfTrue="1" operator="between">
      <formula>35.1</formula>
      <formula>80</formula>
    </cfRule>
    <cfRule type="cellIs" dxfId="2018" priority="3598" stopIfTrue="1" operator="between">
      <formula>14.1</formula>
      <formula>35</formula>
    </cfRule>
    <cfRule type="cellIs" dxfId="2017" priority="3599" stopIfTrue="1" operator="between">
      <formula>5.1</formula>
      <formula>14</formula>
    </cfRule>
    <cfRule type="cellIs" dxfId="2016" priority="3600" stopIfTrue="1" operator="between">
      <formula>0</formula>
      <formula>5</formula>
    </cfRule>
    <cfRule type="containsBlanks" dxfId="2015" priority="3601" stopIfTrue="1">
      <formula>LEN(TRIM(E390))=0</formula>
    </cfRule>
  </conditionalFormatting>
  <conditionalFormatting sqref="H390:J390">
    <cfRule type="containsBlanks" dxfId="2014" priority="3588" stopIfTrue="1">
      <formula>LEN(TRIM(H390))=0</formula>
    </cfRule>
    <cfRule type="cellIs" dxfId="2013" priority="3589" stopIfTrue="1" operator="between">
      <formula>80.1</formula>
      <formula>100</formula>
    </cfRule>
    <cfRule type="cellIs" dxfId="2012" priority="3590" stopIfTrue="1" operator="between">
      <formula>35.1</formula>
      <formula>80</formula>
    </cfRule>
    <cfRule type="cellIs" dxfId="2011" priority="3591" stopIfTrue="1" operator="between">
      <formula>14.1</formula>
      <formula>35</formula>
    </cfRule>
    <cfRule type="cellIs" dxfId="2010" priority="3592" stopIfTrue="1" operator="between">
      <formula>5.1</formula>
      <formula>14</formula>
    </cfRule>
    <cfRule type="cellIs" dxfId="2009" priority="3593" stopIfTrue="1" operator="between">
      <formula>0</formula>
      <formula>5</formula>
    </cfRule>
    <cfRule type="containsBlanks" dxfId="2008" priority="3594" stopIfTrue="1">
      <formula>LEN(TRIM(H390))=0</formula>
    </cfRule>
  </conditionalFormatting>
  <conditionalFormatting sqref="E399:G399 K399:Q399">
    <cfRule type="containsBlanks" dxfId="2007" priority="3581" stopIfTrue="1">
      <formula>LEN(TRIM(E399))=0</formula>
    </cfRule>
    <cfRule type="cellIs" dxfId="2006" priority="3582" stopIfTrue="1" operator="between">
      <formula>80.1</formula>
      <formula>100</formula>
    </cfRule>
    <cfRule type="cellIs" dxfId="2005" priority="3583" stopIfTrue="1" operator="between">
      <formula>35.1</formula>
      <formula>80</formula>
    </cfRule>
    <cfRule type="cellIs" dxfId="2004" priority="3584" stopIfTrue="1" operator="between">
      <formula>14.1</formula>
      <formula>35</formula>
    </cfRule>
    <cfRule type="cellIs" dxfId="2003" priority="3585" stopIfTrue="1" operator="between">
      <formula>5.1</formula>
      <formula>14</formula>
    </cfRule>
    <cfRule type="cellIs" dxfId="2002" priority="3586" stopIfTrue="1" operator="between">
      <formula>0</formula>
      <formula>5</formula>
    </cfRule>
    <cfRule type="containsBlanks" dxfId="2001" priority="3587" stopIfTrue="1">
      <formula>LEN(TRIM(E399))=0</formula>
    </cfRule>
  </conditionalFormatting>
  <conditionalFormatting sqref="H399:J399">
    <cfRule type="containsBlanks" dxfId="2000" priority="3574" stopIfTrue="1">
      <formula>LEN(TRIM(H399))=0</formula>
    </cfRule>
    <cfRule type="cellIs" dxfId="1999" priority="3575" stopIfTrue="1" operator="between">
      <formula>80.1</formula>
      <formula>100</formula>
    </cfRule>
    <cfRule type="cellIs" dxfId="1998" priority="3576" stopIfTrue="1" operator="between">
      <formula>35.1</formula>
      <formula>80</formula>
    </cfRule>
    <cfRule type="cellIs" dxfId="1997" priority="3577" stopIfTrue="1" operator="between">
      <formula>14.1</formula>
      <formula>35</formula>
    </cfRule>
    <cfRule type="cellIs" dxfId="1996" priority="3578" stopIfTrue="1" operator="between">
      <formula>5.1</formula>
      <formula>14</formula>
    </cfRule>
    <cfRule type="cellIs" dxfId="1995" priority="3579" stopIfTrue="1" operator="between">
      <formula>0</formula>
      <formula>5</formula>
    </cfRule>
    <cfRule type="containsBlanks" dxfId="1994" priority="3580" stopIfTrue="1">
      <formula>LEN(TRIM(H399))=0</formula>
    </cfRule>
  </conditionalFormatting>
  <conditionalFormatting sqref="E391:G391 K391:Q391">
    <cfRule type="containsBlanks" dxfId="1993" priority="3567" stopIfTrue="1">
      <formula>LEN(TRIM(E391))=0</formula>
    </cfRule>
    <cfRule type="cellIs" dxfId="1992" priority="3568" stopIfTrue="1" operator="between">
      <formula>80.1</formula>
      <formula>100</formula>
    </cfRule>
    <cfRule type="cellIs" dxfId="1991" priority="3569" stopIfTrue="1" operator="between">
      <formula>35.1</formula>
      <formula>80</formula>
    </cfRule>
    <cfRule type="cellIs" dxfId="1990" priority="3570" stopIfTrue="1" operator="between">
      <formula>14.1</formula>
      <formula>35</formula>
    </cfRule>
    <cfRule type="cellIs" dxfId="1989" priority="3571" stopIfTrue="1" operator="between">
      <formula>5.1</formula>
      <formula>14</formula>
    </cfRule>
    <cfRule type="cellIs" dxfId="1988" priority="3572" stopIfTrue="1" operator="between">
      <formula>0</formula>
      <formula>5</formula>
    </cfRule>
    <cfRule type="containsBlanks" dxfId="1987" priority="3573" stopIfTrue="1">
      <formula>LEN(TRIM(E391))=0</formula>
    </cfRule>
  </conditionalFormatting>
  <conditionalFormatting sqref="H391:J391">
    <cfRule type="containsBlanks" dxfId="1986" priority="3560" stopIfTrue="1">
      <formula>LEN(TRIM(H391))=0</formula>
    </cfRule>
    <cfRule type="cellIs" dxfId="1985" priority="3561" stopIfTrue="1" operator="between">
      <formula>80.1</formula>
      <formula>100</formula>
    </cfRule>
    <cfRule type="cellIs" dxfId="1984" priority="3562" stopIfTrue="1" operator="between">
      <formula>35.1</formula>
      <formula>80</formula>
    </cfRule>
    <cfRule type="cellIs" dxfId="1983" priority="3563" stopIfTrue="1" operator="between">
      <formula>14.1</formula>
      <formula>35</formula>
    </cfRule>
    <cfRule type="cellIs" dxfId="1982" priority="3564" stopIfTrue="1" operator="between">
      <formula>5.1</formula>
      <formula>14</formula>
    </cfRule>
    <cfRule type="cellIs" dxfId="1981" priority="3565" stopIfTrue="1" operator="between">
      <formula>0</formula>
      <formula>5</formula>
    </cfRule>
    <cfRule type="containsBlanks" dxfId="1980" priority="3566" stopIfTrue="1">
      <formula>LEN(TRIM(H391))=0</formula>
    </cfRule>
  </conditionalFormatting>
  <conditionalFormatting sqref="E406:G406 K406:Q406">
    <cfRule type="containsBlanks" dxfId="1979" priority="3553" stopIfTrue="1">
      <formula>LEN(TRIM(E406))=0</formula>
    </cfRule>
    <cfRule type="cellIs" dxfId="1978" priority="3554" stopIfTrue="1" operator="between">
      <formula>80.1</formula>
      <formula>100</formula>
    </cfRule>
    <cfRule type="cellIs" dxfId="1977" priority="3555" stopIfTrue="1" operator="between">
      <formula>35.1</formula>
      <formula>80</formula>
    </cfRule>
    <cfRule type="cellIs" dxfId="1976" priority="3556" stopIfTrue="1" operator="between">
      <formula>14.1</formula>
      <formula>35</formula>
    </cfRule>
    <cfRule type="cellIs" dxfId="1975" priority="3557" stopIfTrue="1" operator="between">
      <formula>5.1</formula>
      <formula>14</formula>
    </cfRule>
    <cfRule type="cellIs" dxfId="1974" priority="3558" stopIfTrue="1" operator="between">
      <formula>0</formula>
      <formula>5</formula>
    </cfRule>
    <cfRule type="containsBlanks" dxfId="1973" priority="3559" stopIfTrue="1">
      <formula>LEN(TRIM(E406))=0</formula>
    </cfRule>
  </conditionalFormatting>
  <conditionalFormatting sqref="H406:J406">
    <cfRule type="containsBlanks" dxfId="1972" priority="3546" stopIfTrue="1">
      <formula>LEN(TRIM(H406))=0</formula>
    </cfRule>
    <cfRule type="cellIs" dxfId="1971" priority="3547" stopIfTrue="1" operator="between">
      <formula>80.1</formula>
      <formula>100</formula>
    </cfRule>
    <cfRule type="cellIs" dxfId="1970" priority="3548" stopIfTrue="1" operator="between">
      <formula>35.1</formula>
      <formula>80</formula>
    </cfRule>
    <cfRule type="cellIs" dxfId="1969" priority="3549" stopIfTrue="1" operator="between">
      <formula>14.1</formula>
      <formula>35</formula>
    </cfRule>
    <cfRule type="cellIs" dxfId="1968" priority="3550" stopIfTrue="1" operator="between">
      <formula>5.1</formula>
      <formula>14</formula>
    </cfRule>
    <cfRule type="cellIs" dxfId="1967" priority="3551" stopIfTrue="1" operator="between">
      <formula>0</formula>
      <formula>5</formula>
    </cfRule>
    <cfRule type="containsBlanks" dxfId="1966" priority="3552" stopIfTrue="1">
      <formula>LEN(TRIM(H406))=0</formula>
    </cfRule>
  </conditionalFormatting>
  <conditionalFormatting sqref="E387:G387 K387:N387">
    <cfRule type="containsBlanks" dxfId="1965" priority="3539" stopIfTrue="1">
      <formula>LEN(TRIM(E387))=0</formula>
    </cfRule>
    <cfRule type="cellIs" dxfId="1964" priority="3540" stopIfTrue="1" operator="between">
      <formula>80.1</formula>
      <formula>100</formula>
    </cfRule>
    <cfRule type="cellIs" dxfId="1963" priority="3541" stopIfTrue="1" operator="between">
      <formula>35.1</formula>
      <formula>80</formula>
    </cfRule>
    <cfRule type="cellIs" dxfId="1962" priority="3542" stopIfTrue="1" operator="between">
      <formula>14.1</formula>
      <formula>35</formula>
    </cfRule>
    <cfRule type="cellIs" dxfId="1961" priority="3543" stopIfTrue="1" operator="between">
      <formula>5.1</formula>
      <formula>14</formula>
    </cfRule>
    <cfRule type="cellIs" dxfId="1960" priority="3544" stopIfTrue="1" operator="between">
      <formula>0</formula>
      <formula>5</formula>
    </cfRule>
    <cfRule type="containsBlanks" dxfId="1959" priority="3545" stopIfTrue="1">
      <formula>LEN(TRIM(E387))=0</formula>
    </cfRule>
  </conditionalFormatting>
  <conditionalFormatting sqref="H387:J387">
    <cfRule type="containsBlanks" dxfId="1958" priority="3532" stopIfTrue="1">
      <formula>LEN(TRIM(H387))=0</formula>
    </cfRule>
    <cfRule type="cellIs" dxfId="1957" priority="3533" stopIfTrue="1" operator="between">
      <formula>80.1</formula>
      <formula>100</formula>
    </cfRule>
    <cfRule type="cellIs" dxfId="1956" priority="3534" stopIfTrue="1" operator="between">
      <formula>35.1</formula>
      <formula>80</formula>
    </cfRule>
    <cfRule type="cellIs" dxfId="1955" priority="3535" stopIfTrue="1" operator="between">
      <formula>14.1</formula>
      <formula>35</formula>
    </cfRule>
    <cfRule type="cellIs" dxfId="1954" priority="3536" stopIfTrue="1" operator="between">
      <formula>5.1</formula>
      <formula>14</formula>
    </cfRule>
    <cfRule type="cellIs" dxfId="1953" priority="3537" stopIfTrue="1" operator="between">
      <formula>0</formula>
      <formula>5</formula>
    </cfRule>
    <cfRule type="containsBlanks" dxfId="1952" priority="3538" stopIfTrue="1">
      <formula>LEN(TRIM(H387))=0</formula>
    </cfRule>
  </conditionalFormatting>
  <conditionalFormatting sqref="E402:G402 K402:Q402">
    <cfRule type="containsBlanks" dxfId="1951" priority="3525" stopIfTrue="1">
      <formula>LEN(TRIM(E402))=0</formula>
    </cfRule>
    <cfRule type="cellIs" dxfId="1950" priority="3526" stopIfTrue="1" operator="between">
      <formula>80.1</formula>
      <formula>100</formula>
    </cfRule>
    <cfRule type="cellIs" dxfId="1949" priority="3527" stopIfTrue="1" operator="between">
      <formula>35.1</formula>
      <formula>80</formula>
    </cfRule>
    <cfRule type="cellIs" dxfId="1948" priority="3528" stopIfTrue="1" operator="between">
      <formula>14.1</formula>
      <formula>35</formula>
    </cfRule>
    <cfRule type="cellIs" dxfId="1947" priority="3529" stopIfTrue="1" operator="between">
      <formula>5.1</formula>
      <formula>14</formula>
    </cfRule>
    <cfRule type="cellIs" dxfId="1946" priority="3530" stopIfTrue="1" operator="between">
      <formula>0</formula>
      <formula>5</formula>
    </cfRule>
    <cfRule type="containsBlanks" dxfId="1945" priority="3531" stopIfTrue="1">
      <formula>LEN(TRIM(E402))=0</formula>
    </cfRule>
  </conditionalFormatting>
  <conditionalFormatting sqref="H402:J402">
    <cfRule type="containsBlanks" dxfId="1944" priority="3518" stopIfTrue="1">
      <formula>LEN(TRIM(H402))=0</formula>
    </cfRule>
    <cfRule type="cellIs" dxfId="1943" priority="3519" stopIfTrue="1" operator="between">
      <formula>80.1</formula>
      <formula>100</formula>
    </cfRule>
    <cfRule type="cellIs" dxfId="1942" priority="3520" stopIfTrue="1" operator="between">
      <formula>35.1</formula>
      <formula>80</formula>
    </cfRule>
    <cfRule type="cellIs" dxfId="1941" priority="3521" stopIfTrue="1" operator="between">
      <formula>14.1</formula>
      <formula>35</formula>
    </cfRule>
    <cfRule type="cellIs" dxfId="1940" priority="3522" stopIfTrue="1" operator="between">
      <formula>5.1</formula>
      <formula>14</formula>
    </cfRule>
    <cfRule type="cellIs" dxfId="1939" priority="3523" stopIfTrue="1" operator="between">
      <formula>0</formula>
      <formula>5</formula>
    </cfRule>
    <cfRule type="containsBlanks" dxfId="1938" priority="3524" stopIfTrue="1">
      <formula>LEN(TRIM(H402))=0</formula>
    </cfRule>
  </conditionalFormatting>
  <conditionalFormatting sqref="E393:G393 K393:Q393">
    <cfRule type="containsBlanks" dxfId="1937" priority="3511" stopIfTrue="1">
      <formula>LEN(TRIM(E393))=0</formula>
    </cfRule>
    <cfRule type="cellIs" dxfId="1936" priority="3512" stopIfTrue="1" operator="between">
      <formula>80.1</formula>
      <formula>100</formula>
    </cfRule>
    <cfRule type="cellIs" dxfId="1935" priority="3513" stopIfTrue="1" operator="between">
      <formula>35.1</formula>
      <formula>80</formula>
    </cfRule>
    <cfRule type="cellIs" dxfId="1934" priority="3514" stopIfTrue="1" operator="between">
      <formula>14.1</formula>
      <formula>35</formula>
    </cfRule>
    <cfRule type="cellIs" dxfId="1933" priority="3515" stopIfTrue="1" operator="between">
      <formula>5.1</formula>
      <formula>14</formula>
    </cfRule>
    <cfRule type="cellIs" dxfId="1932" priority="3516" stopIfTrue="1" operator="between">
      <formula>0</formula>
      <formula>5</formula>
    </cfRule>
    <cfRule type="containsBlanks" dxfId="1931" priority="3517" stopIfTrue="1">
      <formula>LEN(TRIM(E393))=0</formula>
    </cfRule>
  </conditionalFormatting>
  <conditionalFormatting sqref="H393:J393">
    <cfRule type="containsBlanks" dxfId="1930" priority="3504" stopIfTrue="1">
      <formula>LEN(TRIM(H393))=0</formula>
    </cfRule>
    <cfRule type="cellIs" dxfId="1929" priority="3505" stopIfTrue="1" operator="between">
      <formula>80.1</formula>
      <formula>100</formula>
    </cfRule>
    <cfRule type="cellIs" dxfId="1928" priority="3506" stopIfTrue="1" operator="between">
      <formula>35.1</formula>
      <formula>80</formula>
    </cfRule>
    <cfRule type="cellIs" dxfId="1927" priority="3507" stopIfTrue="1" operator="between">
      <formula>14.1</formula>
      <formula>35</formula>
    </cfRule>
    <cfRule type="cellIs" dxfId="1926" priority="3508" stopIfTrue="1" operator="between">
      <formula>5.1</formula>
      <formula>14</formula>
    </cfRule>
    <cfRule type="cellIs" dxfId="1925" priority="3509" stopIfTrue="1" operator="between">
      <formula>0</formula>
      <formula>5</formula>
    </cfRule>
    <cfRule type="containsBlanks" dxfId="1924" priority="3510" stopIfTrue="1">
      <formula>LEN(TRIM(H393))=0</formula>
    </cfRule>
  </conditionalFormatting>
  <conditionalFormatting sqref="E397:G397 K397:Q397">
    <cfRule type="containsBlanks" dxfId="1923" priority="3497" stopIfTrue="1">
      <formula>LEN(TRIM(E397))=0</formula>
    </cfRule>
    <cfRule type="cellIs" dxfId="1922" priority="3498" stopIfTrue="1" operator="between">
      <formula>80.1</formula>
      <formula>100</formula>
    </cfRule>
    <cfRule type="cellIs" dxfId="1921" priority="3499" stopIfTrue="1" operator="between">
      <formula>35.1</formula>
      <formula>80</formula>
    </cfRule>
    <cfRule type="cellIs" dxfId="1920" priority="3500" stopIfTrue="1" operator="between">
      <formula>14.1</formula>
      <formula>35</formula>
    </cfRule>
    <cfRule type="cellIs" dxfId="1919" priority="3501" stopIfTrue="1" operator="between">
      <formula>5.1</formula>
      <formula>14</formula>
    </cfRule>
    <cfRule type="cellIs" dxfId="1918" priority="3502" stopIfTrue="1" operator="between">
      <formula>0</formula>
      <formula>5</formula>
    </cfRule>
    <cfRule type="containsBlanks" dxfId="1917" priority="3503" stopIfTrue="1">
      <formula>LEN(TRIM(E397))=0</formula>
    </cfRule>
  </conditionalFormatting>
  <conditionalFormatting sqref="H397:J397">
    <cfRule type="containsBlanks" dxfId="1916" priority="3490" stopIfTrue="1">
      <formula>LEN(TRIM(H397))=0</formula>
    </cfRule>
    <cfRule type="cellIs" dxfId="1915" priority="3491" stopIfTrue="1" operator="between">
      <formula>80.1</formula>
      <formula>100</formula>
    </cfRule>
    <cfRule type="cellIs" dxfId="1914" priority="3492" stopIfTrue="1" operator="between">
      <formula>35.1</formula>
      <formula>80</formula>
    </cfRule>
    <cfRule type="cellIs" dxfId="1913" priority="3493" stopIfTrue="1" operator="between">
      <formula>14.1</formula>
      <formula>35</formula>
    </cfRule>
    <cfRule type="cellIs" dxfId="1912" priority="3494" stopIfTrue="1" operator="between">
      <formula>5.1</formula>
      <formula>14</formula>
    </cfRule>
    <cfRule type="cellIs" dxfId="1911" priority="3495" stopIfTrue="1" operator="between">
      <formula>0</formula>
      <formula>5</formula>
    </cfRule>
    <cfRule type="containsBlanks" dxfId="1910" priority="3496" stopIfTrue="1">
      <formula>LEN(TRIM(H397))=0</formula>
    </cfRule>
  </conditionalFormatting>
  <conditionalFormatting sqref="E398:G398 K398:Q398">
    <cfRule type="containsBlanks" dxfId="1909" priority="3483" stopIfTrue="1">
      <formula>LEN(TRIM(E398))=0</formula>
    </cfRule>
    <cfRule type="cellIs" dxfId="1908" priority="3484" stopIfTrue="1" operator="between">
      <formula>80.1</formula>
      <formula>100</formula>
    </cfRule>
    <cfRule type="cellIs" dxfId="1907" priority="3485" stopIfTrue="1" operator="between">
      <formula>35.1</formula>
      <formula>80</formula>
    </cfRule>
    <cfRule type="cellIs" dxfId="1906" priority="3486" stopIfTrue="1" operator="between">
      <formula>14.1</formula>
      <formula>35</formula>
    </cfRule>
    <cfRule type="cellIs" dxfId="1905" priority="3487" stopIfTrue="1" operator="between">
      <formula>5.1</formula>
      <formula>14</formula>
    </cfRule>
    <cfRule type="cellIs" dxfId="1904" priority="3488" stopIfTrue="1" operator="between">
      <formula>0</formula>
      <formula>5</formula>
    </cfRule>
    <cfRule type="containsBlanks" dxfId="1903" priority="3489" stopIfTrue="1">
      <formula>LEN(TRIM(E398))=0</formula>
    </cfRule>
  </conditionalFormatting>
  <conditionalFormatting sqref="H398:J398">
    <cfRule type="containsBlanks" dxfId="1902" priority="3476" stopIfTrue="1">
      <formula>LEN(TRIM(H398))=0</formula>
    </cfRule>
    <cfRule type="cellIs" dxfId="1901" priority="3477" stopIfTrue="1" operator="between">
      <formula>80.1</formula>
      <formula>100</formula>
    </cfRule>
    <cfRule type="cellIs" dxfId="1900" priority="3478" stopIfTrue="1" operator="between">
      <formula>35.1</formula>
      <formula>80</formula>
    </cfRule>
    <cfRule type="cellIs" dxfId="1899" priority="3479" stopIfTrue="1" operator="between">
      <formula>14.1</formula>
      <formula>35</formula>
    </cfRule>
    <cfRule type="cellIs" dxfId="1898" priority="3480" stopIfTrue="1" operator="between">
      <formula>5.1</formula>
      <formula>14</formula>
    </cfRule>
    <cfRule type="cellIs" dxfId="1897" priority="3481" stopIfTrue="1" operator="between">
      <formula>0</formula>
      <formula>5</formula>
    </cfRule>
    <cfRule type="containsBlanks" dxfId="1896" priority="3482" stopIfTrue="1">
      <formula>LEN(TRIM(H398))=0</formula>
    </cfRule>
  </conditionalFormatting>
  <conditionalFormatting sqref="E400:G400 K400:Q400">
    <cfRule type="containsBlanks" dxfId="1895" priority="3469" stopIfTrue="1">
      <formula>LEN(TRIM(E400))=0</formula>
    </cfRule>
    <cfRule type="cellIs" dxfId="1894" priority="3470" stopIfTrue="1" operator="between">
      <formula>80.1</formula>
      <formula>100</formula>
    </cfRule>
    <cfRule type="cellIs" dxfId="1893" priority="3471" stopIfTrue="1" operator="between">
      <formula>35.1</formula>
      <formula>80</formula>
    </cfRule>
    <cfRule type="cellIs" dxfId="1892" priority="3472" stopIfTrue="1" operator="between">
      <formula>14.1</formula>
      <formula>35</formula>
    </cfRule>
    <cfRule type="cellIs" dxfId="1891" priority="3473" stopIfTrue="1" operator="between">
      <formula>5.1</formula>
      <formula>14</formula>
    </cfRule>
    <cfRule type="cellIs" dxfId="1890" priority="3474" stopIfTrue="1" operator="between">
      <formula>0</formula>
      <formula>5</formula>
    </cfRule>
    <cfRule type="containsBlanks" dxfId="1889" priority="3475" stopIfTrue="1">
      <formula>LEN(TRIM(E400))=0</formula>
    </cfRule>
  </conditionalFormatting>
  <conditionalFormatting sqref="H400:J400">
    <cfRule type="containsBlanks" dxfId="1888" priority="3462" stopIfTrue="1">
      <formula>LEN(TRIM(H400))=0</formula>
    </cfRule>
    <cfRule type="cellIs" dxfId="1887" priority="3463" stopIfTrue="1" operator="between">
      <formula>80.1</formula>
      <formula>100</formula>
    </cfRule>
    <cfRule type="cellIs" dxfId="1886" priority="3464" stopIfTrue="1" operator="between">
      <formula>35.1</formula>
      <formula>80</formula>
    </cfRule>
    <cfRule type="cellIs" dxfId="1885" priority="3465" stopIfTrue="1" operator="between">
      <formula>14.1</formula>
      <formula>35</formula>
    </cfRule>
    <cfRule type="cellIs" dxfId="1884" priority="3466" stopIfTrue="1" operator="between">
      <formula>5.1</formula>
      <formula>14</formula>
    </cfRule>
    <cfRule type="cellIs" dxfId="1883" priority="3467" stopIfTrue="1" operator="between">
      <formula>0</formula>
      <formula>5</formula>
    </cfRule>
    <cfRule type="containsBlanks" dxfId="1882" priority="3468" stopIfTrue="1">
      <formula>LEN(TRIM(H400))=0</formula>
    </cfRule>
  </conditionalFormatting>
  <conditionalFormatting sqref="E404:G404 K404:Q404">
    <cfRule type="containsBlanks" dxfId="1881" priority="3455" stopIfTrue="1">
      <formula>LEN(TRIM(E404))=0</formula>
    </cfRule>
    <cfRule type="cellIs" dxfId="1880" priority="3456" stopIfTrue="1" operator="between">
      <formula>80.1</formula>
      <formula>100</formula>
    </cfRule>
    <cfRule type="cellIs" dxfId="1879" priority="3457" stopIfTrue="1" operator="between">
      <formula>35.1</formula>
      <formula>80</formula>
    </cfRule>
    <cfRule type="cellIs" dxfId="1878" priority="3458" stopIfTrue="1" operator="between">
      <formula>14.1</formula>
      <formula>35</formula>
    </cfRule>
    <cfRule type="cellIs" dxfId="1877" priority="3459" stopIfTrue="1" operator="between">
      <formula>5.1</formula>
      <formula>14</formula>
    </cfRule>
    <cfRule type="cellIs" dxfId="1876" priority="3460" stopIfTrue="1" operator="between">
      <formula>0</formula>
      <formula>5</formula>
    </cfRule>
    <cfRule type="containsBlanks" dxfId="1875" priority="3461" stopIfTrue="1">
      <formula>LEN(TRIM(E404))=0</formula>
    </cfRule>
  </conditionalFormatting>
  <conditionalFormatting sqref="H404:J404">
    <cfRule type="containsBlanks" dxfId="1874" priority="3448" stopIfTrue="1">
      <formula>LEN(TRIM(H404))=0</formula>
    </cfRule>
    <cfRule type="cellIs" dxfId="1873" priority="3449" stopIfTrue="1" operator="between">
      <formula>80.1</formula>
      <formula>100</formula>
    </cfRule>
    <cfRule type="cellIs" dxfId="1872" priority="3450" stopIfTrue="1" operator="between">
      <formula>35.1</formula>
      <formula>80</formula>
    </cfRule>
    <cfRule type="cellIs" dxfId="1871" priority="3451" stopIfTrue="1" operator="between">
      <formula>14.1</formula>
      <formula>35</formula>
    </cfRule>
    <cfRule type="cellIs" dxfId="1870" priority="3452" stopIfTrue="1" operator="between">
      <formula>5.1</formula>
      <formula>14</formula>
    </cfRule>
    <cfRule type="cellIs" dxfId="1869" priority="3453" stopIfTrue="1" operator="between">
      <formula>0</formula>
      <formula>5</formula>
    </cfRule>
    <cfRule type="containsBlanks" dxfId="1868" priority="3454" stopIfTrue="1">
      <formula>LEN(TRIM(H404))=0</formula>
    </cfRule>
  </conditionalFormatting>
  <conditionalFormatting sqref="E392:G392 K392:Q392">
    <cfRule type="containsBlanks" dxfId="1867" priority="3441" stopIfTrue="1">
      <formula>LEN(TRIM(E392))=0</formula>
    </cfRule>
    <cfRule type="cellIs" dxfId="1866" priority="3442" stopIfTrue="1" operator="between">
      <formula>80.1</formula>
      <formula>100</formula>
    </cfRule>
    <cfRule type="cellIs" dxfId="1865" priority="3443" stopIfTrue="1" operator="between">
      <formula>35.1</formula>
      <formula>80</formula>
    </cfRule>
    <cfRule type="cellIs" dxfId="1864" priority="3444" stopIfTrue="1" operator="between">
      <formula>14.1</formula>
      <formula>35</formula>
    </cfRule>
    <cfRule type="cellIs" dxfId="1863" priority="3445" stopIfTrue="1" operator="between">
      <formula>5.1</formula>
      <formula>14</formula>
    </cfRule>
    <cfRule type="cellIs" dxfId="1862" priority="3446" stopIfTrue="1" operator="between">
      <formula>0</formula>
      <formula>5</formula>
    </cfRule>
    <cfRule type="containsBlanks" dxfId="1861" priority="3447" stopIfTrue="1">
      <formula>LEN(TRIM(E392))=0</formula>
    </cfRule>
  </conditionalFormatting>
  <conditionalFormatting sqref="H392:J392">
    <cfRule type="containsBlanks" dxfId="1860" priority="3434" stopIfTrue="1">
      <formula>LEN(TRIM(H392))=0</formula>
    </cfRule>
    <cfRule type="cellIs" dxfId="1859" priority="3435" stopIfTrue="1" operator="between">
      <formula>80.1</formula>
      <formula>100</formula>
    </cfRule>
    <cfRule type="cellIs" dxfId="1858" priority="3436" stopIfTrue="1" operator="between">
      <formula>35.1</formula>
      <formula>80</formula>
    </cfRule>
    <cfRule type="cellIs" dxfId="1857" priority="3437" stopIfTrue="1" operator="between">
      <formula>14.1</formula>
      <formula>35</formula>
    </cfRule>
    <cfRule type="cellIs" dxfId="1856" priority="3438" stopIfTrue="1" operator="between">
      <formula>5.1</formula>
      <formula>14</formula>
    </cfRule>
    <cfRule type="cellIs" dxfId="1855" priority="3439" stopIfTrue="1" operator="between">
      <formula>0</formula>
      <formula>5</formula>
    </cfRule>
    <cfRule type="containsBlanks" dxfId="1854" priority="3440" stopIfTrue="1">
      <formula>LEN(TRIM(H392))=0</formula>
    </cfRule>
  </conditionalFormatting>
  <conditionalFormatting sqref="E407:G407 K407:Q407">
    <cfRule type="containsBlanks" dxfId="1853" priority="3427" stopIfTrue="1">
      <formula>LEN(TRIM(E407))=0</formula>
    </cfRule>
    <cfRule type="cellIs" dxfId="1852" priority="3428" stopIfTrue="1" operator="between">
      <formula>80.1</formula>
      <formula>100</formula>
    </cfRule>
    <cfRule type="cellIs" dxfId="1851" priority="3429" stopIfTrue="1" operator="between">
      <formula>35.1</formula>
      <formula>80</formula>
    </cfRule>
    <cfRule type="cellIs" dxfId="1850" priority="3430" stopIfTrue="1" operator="between">
      <formula>14.1</formula>
      <formula>35</formula>
    </cfRule>
    <cfRule type="cellIs" dxfId="1849" priority="3431" stopIfTrue="1" operator="between">
      <formula>5.1</formula>
      <formula>14</formula>
    </cfRule>
    <cfRule type="cellIs" dxfId="1848" priority="3432" stopIfTrue="1" operator="between">
      <formula>0</formula>
      <formula>5</formula>
    </cfRule>
    <cfRule type="containsBlanks" dxfId="1847" priority="3433" stopIfTrue="1">
      <formula>LEN(TRIM(E407))=0</formula>
    </cfRule>
  </conditionalFormatting>
  <conditionalFormatting sqref="H407:J407">
    <cfRule type="containsBlanks" dxfId="1846" priority="3420" stopIfTrue="1">
      <formula>LEN(TRIM(H407))=0</formula>
    </cfRule>
    <cfRule type="cellIs" dxfId="1845" priority="3421" stopIfTrue="1" operator="between">
      <formula>80.1</formula>
      <formula>100</formula>
    </cfRule>
    <cfRule type="cellIs" dxfId="1844" priority="3422" stopIfTrue="1" operator="between">
      <formula>35.1</formula>
      <formula>80</formula>
    </cfRule>
    <cfRule type="cellIs" dxfId="1843" priority="3423" stopIfTrue="1" operator="between">
      <formula>14.1</formula>
      <formula>35</formula>
    </cfRule>
    <cfRule type="cellIs" dxfId="1842" priority="3424" stopIfTrue="1" operator="between">
      <formula>5.1</formula>
      <formula>14</formula>
    </cfRule>
    <cfRule type="cellIs" dxfId="1841" priority="3425" stopIfTrue="1" operator="between">
      <formula>0</formula>
      <formula>5</formula>
    </cfRule>
    <cfRule type="containsBlanks" dxfId="1840" priority="3426" stopIfTrue="1">
      <formula>LEN(TRIM(H407))=0</formula>
    </cfRule>
  </conditionalFormatting>
  <conditionalFormatting sqref="E388:G388 K388:Q388">
    <cfRule type="containsBlanks" dxfId="1839" priority="3413" stopIfTrue="1">
      <formula>LEN(TRIM(E388))=0</formula>
    </cfRule>
    <cfRule type="cellIs" dxfId="1838" priority="3414" stopIfTrue="1" operator="between">
      <formula>80.1</formula>
      <formula>100</formula>
    </cfRule>
    <cfRule type="cellIs" dxfId="1837" priority="3415" stopIfTrue="1" operator="between">
      <formula>35.1</formula>
      <formula>80</formula>
    </cfRule>
    <cfRule type="cellIs" dxfId="1836" priority="3416" stopIfTrue="1" operator="between">
      <formula>14.1</formula>
      <formula>35</formula>
    </cfRule>
    <cfRule type="cellIs" dxfId="1835" priority="3417" stopIfTrue="1" operator="between">
      <formula>5.1</formula>
      <formula>14</formula>
    </cfRule>
    <cfRule type="cellIs" dxfId="1834" priority="3418" stopIfTrue="1" operator="between">
      <formula>0</formula>
      <formula>5</formula>
    </cfRule>
    <cfRule type="containsBlanks" dxfId="1833" priority="3419" stopIfTrue="1">
      <formula>LEN(TRIM(E388))=0</formula>
    </cfRule>
  </conditionalFormatting>
  <conditionalFormatting sqref="H388:J388">
    <cfRule type="containsBlanks" dxfId="1832" priority="3406" stopIfTrue="1">
      <formula>LEN(TRIM(H388))=0</formula>
    </cfRule>
    <cfRule type="cellIs" dxfId="1831" priority="3407" stopIfTrue="1" operator="between">
      <formula>80.1</formula>
      <formula>100</formula>
    </cfRule>
    <cfRule type="cellIs" dxfId="1830" priority="3408" stopIfTrue="1" operator="between">
      <formula>35.1</formula>
      <formula>80</formula>
    </cfRule>
    <cfRule type="cellIs" dxfId="1829" priority="3409" stopIfTrue="1" operator="between">
      <formula>14.1</formula>
      <formula>35</formula>
    </cfRule>
    <cfRule type="cellIs" dxfId="1828" priority="3410" stopIfTrue="1" operator="between">
      <formula>5.1</formula>
      <formula>14</formula>
    </cfRule>
    <cfRule type="cellIs" dxfId="1827" priority="3411" stopIfTrue="1" operator="between">
      <formula>0</formula>
      <formula>5</formula>
    </cfRule>
    <cfRule type="containsBlanks" dxfId="1826" priority="3412" stopIfTrue="1">
      <formula>LEN(TRIM(H388))=0</formula>
    </cfRule>
  </conditionalFormatting>
  <conditionalFormatting sqref="E403:G403 K403:Q403">
    <cfRule type="containsBlanks" dxfId="1825" priority="3399" stopIfTrue="1">
      <formula>LEN(TRIM(E403))=0</formula>
    </cfRule>
    <cfRule type="cellIs" dxfId="1824" priority="3400" stopIfTrue="1" operator="between">
      <formula>80.1</formula>
      <formula>100</formula>
    </cfRule>
    <cfRule type="cellIs" dxfId="1823" priority="3401" stopIfTrue="1" operator="between">
      <formula>35.1</formula>
      <formula>80</formula>
    </cfRule>
    <cfRule type="cellIs" dxfId="1822" priority="3402" stopIfTrue="1" operator="between">
      <formula>14.1</formula>
      <formula>35</formula>
    </cfRule>
    <cfRule type="cellIs" dxfId="1821" priority="3403" stopIfTrue="1" operator="between">
      <formula>5.1</formula>
      <formula>14</formula>
    </cfRule>
    <cfRule type="cellIs" dxfId="1820" priority="3404" stopIfTrue="1" operator="between">
      <formula>0</formula>
      <formula>5</formula>
    </cfRule>
    <cfRule type="containsBlanks" dxfId="1819" priority="3405" stopIfTrue="1">
      <formula>LEN(TRIM(E403))=0</formula>
    </cfRule>
  </conditionalFormatting>
  <conditionalFormatting sqref="H403:J403">
    <cfRule type="containsBlanks" dxfId="1818" priority="3392" stopIfTrue="1">
      <formula>LEN(TRIM(H403))=0</formula>
    </cfRule>
    <cfRule type="cellIs" dxfId="1817" priority="3393" stopIfTrue="1" operator="between">
      <formula>80.1</formula>
      <formula>100</formula>
    </cfRule>
    <cfRule type="cellIs" dxfId="1816" priority="3394" stopIfTrue="1" operator="between">
      <formula>35.1</formula>
      <formula>80</formula>
    </cfRule>
    <cfRule type="cellIs" dxfId="1815" priority="3395" stopIfTrue="1" operator="between">
      <formula>14.1</formula>
      <formula>35</formula>
    </cfRule>
    <cfRule type="cellIs" dxfId="1814" priority="3396" stopIfTrue="1" operator="between">
      <formula>5.1</formula>
      <formula>14</formula>
    </cfRule>
    <cfRule type="cellIs" dxfId="1813" priority="3397" stopIfTrue="1" operator="between">
      <formula>0</formula>
      <formula>5</formula>
    </cfRule>
    <cfRule type="containsBlanks" dxfId="1812" priority="3398" stopIfTrue="1">
      <formula>LEN(TRIM(H403))=0</formula>
    </cfRule>
  </conditionalFormatting>
  <conditionalFormatting sqref="E385:G385 K385:Q385">
    <cfRule type="containsBlanks" dxfId="1811" priority="3385" stopIfTrue="1">
      <formula>LEN(TRIM(E385))=0</formula>
    </cfRule>
    <cfRule type="cellIs" dxfId="1810" priority="3386" stopIfTrue="1" operator="between">
      <formula>80.1</formula>
      <formula>100</formula>
    </cfRule>
    <cfRule type="cellIs" dxfId="1809" priority="3387" stopIfTrue="1" operator="between">
      <formula>35.1</formula>
      <formula>80</formula>
    </cfRule>
    <cfRule type="cellIs" dxfId="1808" priority="3388" stopIfTrue="1" operator="between">
      <formula>14.1</formula>
      <formula>35</formula>
    </cfRule>
    <cfRule type="cellIs" dxfId="1807" priority="3389" stopIfTrue="1" operator="between">
      <formula>5.1</formula>
      <formula>14</formula>
    </cfRule>
    <cfRule type="cellIs" dxfId="1806" priority="3390" stopIfTrue="1" operator="between">
      <formula>0</formula>
      <formula>5</formula>
    </cfRule>
    <cfRule type="containsBlanks" dxfId="1805" priority="3391" stopIfTrue="1">
      <formula>LEN(TRIM(E385))=0</formula>
    </cfRule>
  </conditionalFormatting>
  <conditionalFormatting sqref="H385:J385">
    <cfRule type="containsBlanks" dxfId="1804" priority="3378" stopIfTrue="1">
      <formula>LEN(TRIM(H385))=0</formula>
    </cfRule>
    <cfRule type="cellIs" dxfId="1803" priority="3379" stopIfTrue="1" operator="between">
      <formula>80.1</formula>
      <formula>100</formula>
    </cfRule>
    <cfRule type="cellIs" dxfId="1802" priority="3380" stopIfTrue="1" operator="between">
      <formula>35.1</formula>
      <formula>80</formula>
    </cfRule>
    <cfRule type="cellIs" dxfId="1801" priority="3381" stopIfTrue="1" operator="between">
      <formula>14.1</formula>
      <formula>35</formula>
    </cfRule>
    <cfRule type="cellIs" dxfId="1800" priority="3382" stopIfTrue="1" operator="between">
      <formula>5.1</formula>
      <formula>14</formula>
    </cfRule>
    <cfRule type="cellIs" dxfId="1799" priority="3383" stopIfTrue="1" operator="between">
      <formula>0</formula>
      <formula>5</formula>
    </cfRule>
    <cfRule type="containsBlanks" dxfId="1798" priority="3384" stopIfTrue="1">
      <formula>LEN(TRIM(H385))=0</formula>
    </cfRule>
  </conditionalFormatting>
  <conditionalFormatting sqref="E401:G401 K401:Q401">
    <cfRule type="containsBlanks" dxfId="1797" priority="3371" stopIfTrue="1">
      <formula>LEN(TRIM(E401))=0</formula>
    </cfRule>
    <cfRule type="cellIs" dxfId="1796" priority="3372" stopIfTrue="1" operator="between">
      <formula>80.1</formula>
      <formula>100</formula>
    </cfRule>
    <cfRule type="cellIs" dxfId="1795" priority="3373" stopIfTrue="1" operator="between">
      <formula>35.1</formula>
      <formula>80</formula>
    </cfRule>
    <cfRule type="cellIs" dxfId="1794" priority="3374" stopIfTrue="1" operator="between">
      <formula>14.1</formula>
      <formula>35</formula>
    </cfRule>
    <cfRule type="cellIs" dxfId="1793" priority="3375" stopIfTrue="1" operator="between">
      <formula>5.1</formula>
      <formula>14</formula>
    </cfRule>
    <cfRule type="cellIs" dxfId="1792" priority="3376" stopIfTrue="1" operator="between">
      <formula>0</formula>
      <formula>5</formula>
    </cfRule>
    <cfRule type="containsBlanks" dxfId="1791" priority="3377" stopIfTrue="1">
      <formula>LEN(TRIM(E401))=0</formula>
    </cfRule>
  </conditionalFormatting>
  <conditionalFormatting sqref="H401:J401">
    <cfRule type="containsBlanks" dxfId="1790" priority="3364" stopIfTrue="1">
      <formula>LEN(TRIM(H401))=0</formula>
    </cfRule>
    <cfRule type="cellIs" dxfId="1789" priority="3365" stopIfTrue="1" operator="between">
      <formula>80.1</formula>
      <formula>100</formula>
    </cfRule>
    <cfRule type="cellIs" dxfId="1788" priority="3366" stopIfTrue="1" operator="between">
      <formula>35.1</formula>
      <formula>80</formula>
    </cfRule>
    <cfRule type="cellIs" dxfId="1787" priority="3367" stopIfTrue="1" operator="between">
      <formula>14.1</formula>
      <formula>35</formula>
    </cfRule>
    <cfRule type="cellIs" dxfId="1786" priority="3368" stopIfTrue="1" operator="between">
      <formula>5.1</formula>
      <formula>14</formula>
    </cfRule>
    <cfRule type="cellIs" dxfId="1785" priority="3369" stopIfTrue="1" operator="between">
      <formula>0</formula>
      <formula>5</formula>
    </cfRule>
    <cfRule type="containsBlanks" dxfId="1784" priority="3370" stopIfTrue="1">
      <formula>LEN(TRIM(H401))=0</formula>
    </cfRule>
  </conditionalFormatting>
  <conditionalFormatting sqref="E396:G396 K396:Q396">
    <cfRule type="containsBlanks" dxfId="1783" priority="3357" stopIfTrue="1">
      <formula>LEN(TRIM(E396))=0</formula>
    </cfRule>
    <cfRule type="cellIs" dxfId="1782" priority="3358" stopIfTrue="1" operator="between">
      <formula>80.1</formula>
      <formula>100</formula>
    </cfRule>
    <cfRule type="cellIs" dxfId="1781" priority="3359" stopIfTrue="1" operator="between">
      <formula>35.1</formula>
      <formula>80</formula>
    </cfRule>
    <cfRule type="cellIs" dxfId="1780" priority="3360" stopIfTrue="1" operator="between">
      <formula>14.1</formula>
      <formula>35</formula>
    </cfRule>
    <cfRule type="cellIs" dxfId="1779" priority="3361" stopIfTrue="1" operator="between">
      <formula>5.1</formula>
      <formula>14</formula>
    </cfRule>
    <cfRule type="cellIs" dxfId="1778" priority="3362" stopIfTrue="1" operator="between">
      <formula>0</formula>
      <formula>5</formula>
    </cfRule>
    <cfRule type="containsBlanks" dxfId="1777" priority="3363" stopIfTrue="1">
      <formula>LEN(TRIM(E396))=0</formula>
    </cfRule>
  </conditionalFormatting>
  <conditionalFormatting sqref="H396:J396">
    <cfRule type="containsBlanks" dxfId="1776" priority="3350" stopIfTrue="1">
      <formula>LEN(TRIM(H396))=0</formula>
    </cfRule>
    <cfRule type="cellIs" dxfId="1775" priority="3351" stopIfTrue="1" operator="between">
      <formula>80.1</formula>
      <formula>100</formula>
    </cfRule>
    <cfRule type="cellIs" dxfId="1774" priority="3352" stopIfTrue="1" operator="between">
      <formula>35.1</formula>
      <formula>80</formula>
    </cfRule>
    <cfRule type="cellIs" dxfId="1773" priority="3353" stopIfTrue="1" operator="between">
      <formula>14.1</formula>
      <formula>35</formula>
    </cfRule>
    <cfRule type="cellIs" dxfId="1772" priority="3354" stopIfTrue="1" operator="between">
      <formula>5.1</formula>
      <formula>14</formula>
    </cfRule>
    <cfRule type="cellIs" dxfId="1771" priority="3355" stopIfTrue="1" operator="between">
      <formula>0</formula>
      <formula>5</formula>
    </cfRule>
    <cfRule type="containsBlanks" dxfId="1770" priority="3356" stopIfTrue="1">
      <formula>LEN(TRIM(H396))=0</formula>
    </cfRule>
  </conditionalFormatting>
  <conditionalFormatting sqref="E389:G389 K389:Q389">
    <cfRule type="containsBlanks" dxfId="1769" priority="3343" stopIfTrue="1">
      <formula>LEN(TRIM(E389))=0</formula>
    </cfRule>
    <cfRule type="cellIs" dxfId="1768" priority="3344" stopIfTrue="1" operator="between">
      <formula>80.1</formula>
      <formula>100</formula>
    </cfRule>
    <cfRule type="cellIs" dxfId="1767" priority="3345" stopIfTrue="1" operator="between">
      <formula>35.1</formula>
      <formula>80</formula>
    </cfRule>
    <cfRule type="cellIs" dxfId="1766" priority="3346" stopIfTrue="1" operator="between">
      <formula>14.1</formula>
      <formula>35</formula>
    </cfRule>
    <cfRule type="cellIs" dxfId="1765" priority="3347" stopIfTrue="1" operator="between">
      <formula>5.1</formula>
      <formula>14</formula>
    </cfRule>
    <cfRule type="cellIs" dxfId="1764" priority="3348" stopIfTrue="1" operator="between">
      <formula>0</formula>
      <formula>5</formula>
    </cfRule>
    <cfRule type="containsBlanks" dxfId="1763" priority="3349" stopIfTrue="1">
      <formula>LEN(TRIM(E389))=0</formula>
    </cfRule>
  </conditionalFormatting>
  <conditionalFormatting sqref="H389:J389">
    <cfRule type="containsBlanks" dxfId="1762" priority="3336" stopIfTrue="1">
      <formula>LEN(TRIM(H389))=0</formula>
    </cfRule>
    <cfRule type="cellIs" dxfId="1761" priority="3337" stopIfTrue="1" operator="between">
      <formula>80.1</formula>
      <formula>100</formula>
    </cfRule>
    <cfRule type="cellIs" dxfId="1760" priority="3338" stopIfTrue="1" operator="between">
      <formula>35.1</formula>
      <formula>80</formula>
    </cfRule>
    <cfRule type="cellIs" dxfId="1759" priority="3339" stopIfTrue="1" operator="between">
      <formula>14.1</formula>
      <formula>35</formula>
    </cfRule>
    <cfRule type="cellIs" dxfId="1758" priority="3340" stopIfTrue="1" operator="between">
      <formula>5.1</formula>
      <formula>14</formula>
    </cfRule>
    <cfRule type="cellIs" dxfId="1757" priority="3341" stopIfTrue="1" operator="between">
      <formula>0</formula>
      <formula>5</formula>
    </cfRule>
    <cfRule type="containsBlanks" dxfId="1756" priority="3342" stopIfTrue="1">
      <formula>LEN(TRIM(H389))=0</formula>
    </cfRule>
  </conditionalFormatting>
  <conditionalFormatting sqref="E405:G405 K405:Q405">
    <cfRule type="containsBlanks" dxfId="1755" priority="3329" stopIfTrue="1">
      <formula>LEN(TRIM(E405))=0</formula>
    </cfRule>
    <cfRule type="cellIs" dxfId="1754" priority="3330" stopIfTrue="1" operator="between">
      <formula>80.1</formula>
      <formula>100</formula>
    </cfRule>
    <cfRule type="cellIs" dxfId="1753" priority="3331" stopIfTrue="1" operator="between">
      <formula>35.1</formula>
      <formula>80</formula>
    </cfRule>
    <cfRule type="cellIs" dxfId="1752" priority="3332" stopIfTrue="1" operator="between">
      <formula>14.1</formula>
      <formula>35</formula>
    </cfRule>
    <cfRule type="cellIs" dxfId="1751" priority="3333" stopIfTrue="1" operator="between">
      <formula>5.1</formula>
      <formula>14</formula>
    </cfRule>
    <cfRule type="cellIs" dxfId="1750" priority="3334" stopIfTrue="1" operator="between">
      <formula>0</formula>
      <formula>5</formula>
    </cfRule>
    <cfRule type="containsBlanks" dxfId="1749" priority="3335" stopIfTrue="1">
      <formula>LEN(TRIM(E405))=0</formula>
    </cfRule>
  </conditionalFormatting>
  <conditionalFormatting sqref="H405:J405">
    <cfRule type="containsBlanks" dxfId="1748" priority="3322" stopIfTrue="1">
      <formula>LEN(TRIM(H405))=0</formula>
    </cfRule>
    <cfRule type="cellIs" dxfId="1747" priority="3323" stopIfTrue="1" operator="between">
      <formula>80.1</formula>
      <formula>100</formula>
    </cfRule>
    <cfRule type="cellIs" dxfId="1746" priority="3324" stopIfTrue="1" operator="between">
      <formula>35.1</formula>
      <formula>80</formula>
    </cfRule>
    <cfRule type="cellIs" dxfId="1745" priority="3325" stopIfTrue="1" operator="between">
      <formula>14.1</formula>
      <formula>35</formula>
    </cfRule>
    <cfRule type="cellIs" dxfId="1744" priority="3326" stopIfTrue="1" operator="between">
      <formula>5.1</formula>
      <formula>14</formula>
    </cfRule>
    <cfRule type="cellIs" dxfId="1743" priority="3327" stopIfTrue="1" operator="between">
      <formula>0</formula>
      <formula>5</formula>
    </cfRule>
    <cfRule type="containsBlanks" dxfId="1742" priority="3328" stopIfTrue="1">
      <formula>LEN(TRIM(H405))=0</formula>
    </cfRule>
  </conditionalFormatting>
  <conditionalFormatting sqref="E409:Q409">
    <cfRule type="containsBlanks" dxfId="1741" priority="3315" stopIfTrue="1">
      <formula>LEN(TRIM(E409))=0</formula>
    </cfRule>
    <cfRule type="cellIs" dxfId="1740" priority="3316" stopIfTrue="1" operator="between">
      <formula>80.1</formula>
      <formula>100</formula>
    </cfRule>
    <cfRule type="cellIs" dxfId="1739" priority="3317" stopIfTrue="1" operator="between">
      <formula>35.1</formula>
      <formula>80</formula>
    </cfRule>
    <cfRule type="cellIs" dxfId="1738" priority="3318" stopIfTrue="1" operator="between">
      <formula>14.1</formula>
      <formula>35</formula>
    </cfRule>
    <cfRule type="cellIs" dxfId="1737" priority="3319" stopIfTrue="1" operator="between">
      <formula>5.1</formula>
      <formula>14</formula>
    </cfRule>
    <cfRule type="cellIs" dxfId="1736" priority="3320" stopIfTrue="1" operator="between">
      <formula>0</formula>
      <formula>5</formula>
    </cfRule>
    <cfRule type="containsBlanks" dxfId="1735" priority="3321" stopIfTrue="1">
      <formula>LEN(TRIM(E409))=0</formula>
    </cfRule>
  </conditionalFormatting>
  <conditionalFormatting sqref="E410:Q410">
    <cfRule type="containsBlanks" dxfId="1734" priority="3308" stopIfTrue="1">
      <formula>LEN(TRIM(E410))=0</formula>
    </cfRule>
    <cfRule type="cellIs" dxfId="1733" priority="3309" stopIfTrue="1" operator="between">
      <formula>80.1</formula>
      <formula>100</formula>
    </cfRule>
    <cfRule type="cellIs" dxfId="1732" priority="3310" stopIfTrue="1" operator="between">
      <formula>35.1</formula>
      <formula>80</formula>
    </cfRule>
    <cfRule type="cellIs" dxfId="1731" priority="3311" stopIfTrue="1" operator="between">
      <formula>14.1</formula>
      <formula>35</formula>
    </cfRule>
    <cfRule type="cellIs" dxfId="1730" priority="3312" stopIfTrue="1" operator="between">
      <formula>5.1</formula>
      <formula>14</formula>
    </cfRule>
    <cfRule type="cellIs" dxfId="1729" priority="3313" stopIfTrue="1" operator="between">
      <formula>0</formula>
      <formula>5</formula>
    </cfRule>
    <cfRule type="containsBlanks" dxfId="1728" priority="3314" stopIfTrue="1">
      <formula>LEN(TRIM(E410))=0</formula>
    </cfRule>
  </conditionalFormatting>
  <conditionalFormatting sqref="E412:Q412">
    <cfRule type="containsBlanks" dxfId="1727" priority="3301" stopIfTrue="1">
      <formula>LEN(TRIM(E412))=0</formula>
    </cfRule>
    <cfRule type="cellIs" dxfId="1726" priority="3302" stopIfTrue="1" operator="between">
      <formula>80.1</formula>
      <formula>100</formula>
    </cfRule>
    <cfRule type="cellIs" dxfId="1725" priority="3303" stopIfTrue="1" operator="between">
      <formula>35.1</formula>
      <formula>80</formula>
    </cfRule>
    <cfRule type="cellIs" dxfId="1724" priority="3304" stopIfTrue="1" operator="between">
      <formula>14.1</formula>
      <formula>35</formula>
    </cfRule>
    <cfRule type="cellIs" dxfId="1723" priority="3305" stopIfTrue="1" operator="between">
      <formula>5.1</formula>
      <formula>14</formula>
    </cfRule>
    <cfRule type="cellIs" dxfId="1722" priority="3306" stopIfTrue="1" operator="between">
      <formula>0</formula>
      <formula>5</formula>
    </cfRule>
    <cfRule type="containsBlanks" dxfId="1721" priority="3307" stopIfTrue="1">
      <formula>LEN(TRIM(E412))=0</formula>
    </cfRule>
  </conditionalFormatting>
  <conditionalFormatting sqref="E418:Q418">
    <cfRule type="containsBlanks" dxfId="1720" priority="3294" stopIfTrue="1">
      <formula>LEN(TRIM(E418))=0</formula>
    </cfRule>
    <cfRule type="cellIs" dxfId="1719" priority="3295" stopIfTrue="1" operator="between">
      <formula>80.1</formula>
      <formula>100</formula>
    </cfRule>
    <cfRule type="cellIs" dxfId="1718" priority="3296" stopIfTrue="1" operator="between">
      <formula>35.1</formula>
      <formula>80</formula>
    </cfRule>
    <cfRule type="cellIs" dxfId="1717" priority="3297" stopIfTrue="1" operator="between">
      <formula>14.1</formula>
      <formula>35</formula>
    </cfRule>
    <cfRule type="cellIs" dxfId="1716" priority="3298" stopIfTrue="1" operator="between">
      <formula>5.1</formula>
      <formula>14</formula>
    </cfRule>
    <cfRule type="cellIs" dxfId="1715" priority="3299" stopIfTrue="1" operator="between">
      <formula>0</formula>
      <formula>5</formula>
    </cfRule>
    <cfRule type="containsBlanks" dxfId="1714" priority="3300" stopIfTrue="1">
      <formula>LEN(TRIM(E418))=0</formula>
    </cfRule>
  </conditionalFormatting>
  <conditionalFormatting sqref="E416:Q416">
    <cfRule type="containsBlanks" dxfId="1713" priority="3287" stopIfTrue="1">
      <formula>LEN(TRIM(E416))=0</formula>
    </cfRule>
    <cfRule type="cellIs" dxfId="1712" priority="3288" stopIfTrue="1" operator="between">
      <formula>80.1</formula>
      <formula>100</formula>
    </cfRule>
    <cfRule type="cellIs" dxfId="1711" priority="3289" stopIfTrue="1" operator="between">
      <formula>35.1</formula>
      <formula>80</formula>
    </cfRule>
    <cfRule type="cellIs" dxfId="1710" priority="3290" stopIfTrue="1" operator="between">
      <formula>14.1</formula>
      <formula>35</formula>
    </cfRule>
    <cfRule type="cellIs" dxfId="1709" priority="3291" stopIfTrue="1" operator="between">
      <formula>5.1</formula>
      <formula>14</formula>
    </cfRule>
    <cfRule type="cellIs" dxfId="1708" priority="3292" stopIfTrue="1" operator="between">
      <formula>0</formula>
      <formula>5</formula>
    </cfRule>
    <cfRule type="containsBlanks" dxfId="1707" priority="3293" stopIfTrue="1">
      <formula>LEN(TRIM(E416))=0</formula>
    </cfRule>
  </conditionalFormatting>
  <conditionalFormatting sqref="E408:Q408">
    <cfRule type="containsBlanks" dxfId="1706" priority="3280" stopIfTrue="1">
      <formula>LEN(TRIM(E408))=0</formula>
    </cfRule>
    <cfRule type="cellIs" dxfId="1705" priority="3281" stopIfTrue="1" operator="between">
      <formula>80.1</formula>
      <formula>100</formula>
    </cfRule>
    <cfRule type="cellIs" dxfId="1704" priority="3282" stopIfTrue="1" operator="between">
      <formula>35.1</formula>
      <formula>80</formula>
    </cfRule>
    <cfRule type="cellIs" dxfId="1703" priority="3283" stopIfTrue="1" operator="between">
      <formula>14.1</formula>
      <formula>35</formula>
    </cfRule>
    <cfRule type="cellIs" dxfId="1702" priority="3284" stopIfTrue="1" operator="between">
      <formula>5.1</formula>
      <formula>14</formula>
    </cfRule>
    <cfRule type="cellIs" dxfId="1701" priority="3285" stopIfTrue="1" operator="between">
      <formula>0</formula>
      <formula>5</formula>
    </cfRule>
    <cfRule type="containsBlanks" dxfId="1700" priority="3286" stopIfTrue="1">
      <formula>LEN(TRIM(E408))=0</formula>
    </cfRule>
  </conditionalFormatting>
  <conditionalFormatting sqref="E415:Q415">
    <cfRule type="containsBlanks" dxfId="1699" priority="3273" stopIfTrue="1">
      <formula>LEN(TRIM(E415))=0</formula>
    </cfRule>
    <cfRule type="cellIs" dxfId="1698" priority="3274" stopIfTrue="1" operator="between">
      <formula>80.1</formula>
      <formula>100</formula>
    </cfRule>
    <cfRule type="cellIs" dxfId="1697" priority="3275" stopIfTrue="1" operator="between">
      <formula>35.1</formula>
      <formula>80</formula>
    </cfRule>
    <cfRule type="cellIs" dxfId="1696" priority="3276" stopIfTrue="1" operator="between">
      <formula>14.1</formula>
      <formula>35</formula>
    </cfRule>
    <cfRule type="cellIs" dxfId="1695" priority="3277" stopIfTrue="1" operator="between">
      <formula>5.1</formula>
      <formula>14</formula>
    </cfRule>
    <cfRule type="cellIs" dxfId="1694" priority="3278" stopIfTrue="1" operator="between">
      <formula>0</formula>
      <formula>5</formula>
    </cfRule>
    <cfRule type="containsBlanks" dxfId="1693" priority="3279" stopIfTrue="1">
      <formula>LEN(TRIM(E415))=0</formula>
    </cfRule>
  </conditionalFormatting>
  <conditionalFormatting sqref="E421:Q421">
    <cfRule type="containsBlanks" dxfId="1692" priority="3266" stopIfTrue="1">
      <formula>LEN(TRIM(E421))=0</formula>
    </cfRule>
    <cfRule type="cellIs" dxfId="1691" priority="3267" stopIfTrue="1" operator="between">
      <formula>80.1</formula>
      <formula>100</formula>
    </cfRule>
    <cfRule type="cellIs" dxfId="1690" priority="3268" stopIfTrue="1" operator="between">
      <formula>35.1</formula>
      <formula>80</formula>
    </cfRule>
    <cfRule type="cellIs" dxfId="1689" priority="3269" stopIfTrue="1" operator="between">
      <formula>14.1</formula>
      <formula>35</formula>
    </cfRule>
    <cfRule type="cellIs" dxfId="1688" priority="3270" stopIfTrue="1" operator="between">
      <formula>5.1</formula>
      <formula>14</formula>
    </cfRule>
    <cfRule type="cellIs" dxfId="1687" priority="3271" stopIfTrue="1" operator="between">
      <formula>0</formula>
      <formula>5</formula>
    </cfRule>
    <cfRule type="containsBlanks" dxfId="1686" priority="3272" stopIfTrue="1">
      <formula>LEN(TRIM(E421))=0</formula>
    </cfRule>
  </conditionalFormatting>
  <conditionalFormatting sqref="E414:Q414">
    <cfRule type="containsBlanks" dxfId="1685" priority="3259" stopIfTrue="1">
      <formula>LEN(TRIM(E414))=0</formula>
    </cfRule>
    <cfRule type="cellIs" dxfId="1684" priority="3260" stopIfTrue="1" operator="between">
      <formula>80.1</formula>
      <formula>100</formula>
    </cfRule>
    <cfRule type="cellIs" dxfId="1683" priority="3261" stopIfTrue="1" operator="between">
      <formula>35.1</formula>
      <formula>80</formula>
    </cfRule>
    <cfRule type="cellIs" dxfId="1682" priority="3262" stopIfTrue="1" operator="between">
      <formula>14.1</formula>
      <formula>35</formula>
    </cfRule>
    <cfRule type="cellIs" dxfId="1681" priority="3263" stopIfTrue="1" operator="between">
      <formula>5.1</formula>
      <formula>14</formula>
    </cfRule>
    <cfRule type="cellIs" dxfId="1680" priority="3264" stopIfTrue="1" operator="between">
      <formula>0</formula>
      <formula>5</formula>
    </cfRule>
    <cfRule type="containsBlanks" dxfId="1679" priority="3265" stopIfTrue="1">
      <formula>LEN(TRIM(E414))=0</formula>
    </cfRule>
  </conditionalFormatting>
  <conditionalFormatting sqref="E413:Q413">
    <cfRule type="containsBlanks" dxfId="1678" priority="3252" stopIfTrue="1">
      <formula>LEN(TRIM(E413))=0</formula>
    </cfRule>
    <cfRule type="cellIs" dxfId="1677" priority="3253" stopIfTrue="1" operator="between">
      <formula>80.1</formula>
      <formula>100</formula>
    </cfRule>
    <cfRule type="cellIs" dxfId="1676" priority="3254" stopIfTrue="1" operator="between">
      <formula>35.1</formula>
      <formula>80</formula>
    </cfRule>
    <cfRule type="cellIs" dxfId="1675" priority="3255" stopIfTrue="1" operator="between">
      <formula>14.1</formula>
      <formula>35</formula>
    </cfRule>
    <cfRule type="cellIs" dxfId="1674" priority="3256" stopIfTrue="1" operator="between">
      <formula>5.1</formula>
      <formula>14</formula>
    </cfRule>
    <cfRule type="cellIs" dxfId="1673" priority="3257" stopIfTrue="1" operator="between">
      <formula>0</formula>
      <formula>5</formula>
    </cfRule>
    <cfRule type="containsBlanks" dxfId="1672" priority="3258" stopIfTrue="1">
      <formula>LEN(TRIM(E413))=0</formula>
    </cfRule>
  </conditionalFormatting>
  <conditionalFormatting sqref="E411:Q411">
    <cfRule type="containsBlanks" dxfId="1671" priority="3245" stopIfTrue="1">
      <formula>LEN(TRIM(E411))=0</formula>
    </cfRule>
    <cfRule type="cellIs" dxfId="1670" priority="3246" stopIfTrue="1" operator="between">
      <formula>80.1</formula>
      <formula>100</formula>
    </cfRule>
    <cfRule type="cellIs" dxfId="1669" priority="3247" stopIfTrue="1" operator="between">
      <formula>35.1</formula>
      <formula>80</formula>
    </cfRule>
    <cfRule type="cellIs" dxfId="1668" priority="3248" stopIfTrue="1" operator="between">
      <formula>14.1</formula>
      <formula>35</formula>
    </cfRule>
    <cfRule type="cellIs" dxfId="1667" priority="3249" stopIfTrue="1" operator="between">
      <formula>5.1</formula>
      <formula>14</formula>
    </cfRule>
    <cfRule type="cellIs" dxfId="1666" priority="3250" stopIfTrue="1" operator="between">
      <formula>0</formula>
      <formula>5</formula>
    </cfRule>
    <cfRule type="containsBlanks" dxfId="1665" priority="3251" stopIfTrue="1">
      <formula>LEN(TRIM(E411))=0</formula>
    </cfRule>
  </conditionalFormatting>
  <conditionalFormatting sqref="E417:Q417">
    <cfRule type="containsBlanks" dxfId="1664" priority="3238" stopIfTrue="1">
      <formula>LEN(TRIM(E417))=0</formula>
    </cfRule>
    <cfRule type="cellIs" dxfId="1663" priority="3239" stopIfTrue="1" operator="between">
      <formula>80.1</formula>
      <formula>100</formula>
    </cfRule>
    <cfRule type="cellIs" dxfId="1662" priority="3240" stopIfTrue="1" operator="between">
      <formula>35.1</formula>
      <formula>80</formula>
    </cfRule>
    <cfRule type="cellIs" dxfId="1661" priority="3241" stopIfTrue="1" operator="between">
      <formula>14.1</formula>
      <formula>35</formula>
    </cfRule>
    <cfRule type="cellIs" dxfId="1660" priority="3242" stopIfTrue="1" operator="between">
      <formula>5.1</formula>
      <formula>14</formula>
    </cfRule>
    <cfRule type="cellIs" dxfId="1659" priority="3243" stopIfTrue="1" operator="between">
      <formula>0</formula>
      <formula>5</formula>
    </cfRule>
    <cfRule type="containsBlanks" dxfId="1658" priority="3244" stopIfTrue="1">
      <formula>LEN(TRIM(E417))=0</formula>
    </cfRule>
  </conditionalFormatting>
  <conditionalFormatting sqref="E419:Q419">
    <cfRule type="containsBlanks" dxfId="1657" priority="3231" stopIfTrue="1">
      <formula>LEN(TRIM(E419))=0</formula>
    </cfRule>
    <cfRule type="cellIs" dxfId="1656" priority="3232" stopIfTrue="1" operator="between">
      <formula>80.1</formula>
      <formula>100</formula>
    </cfRule>
    <cfRule type="cellIs" dxfId="1655" priority="3233" stopIfTrue="1" operator="between">
      <formula>35.1</formula>
      <formula>80</formula>
    </cfRule>
    <cfRule type="cellIs" dxfId="1654" priority="3234" stopIfTrue="1" operator="between">
      <formula>14.1</formula>
      <formula>35</formula>
    </cfRule>
    <cfRule type="cellIs" dxfId="1653" priority="3235" stopIfTrue="1" operator="between">
      <formula>5.1</formula>
      <formula>14</formula>
    </cfRule>
    <cfRule type="cellIs" dxfId="1652" priority="3236" stopIfTrue="1" operator="between">
      <formula>0</formula>
      <formula>5</formula>
    </cfRule>
    <cfRule type="containsBlanks" dxfId="1651" priority="3237" stopIfTrue="1">
      <formula>LEN(TRIM(E419))=0</formula>
    </cfRule>
  </conditionalFormatting>
  <conditionalFormatting sqref="E420:Q420">
    <cfRule type="containsBlanks" dxfId="1650" priority="3224" stopIfTrue="1">
      <formula>LEN(TRIM(E420))=0</formula>
    </cfRule>
    <cfRule type="cellIs" dxfId="1649" priority="3225" stopIfTrue="1" operator="between">
      <formula>80.1</formula>
      <formula>100</formula>
    </cfRule>
    <cfRule type="cellIs" dxfId="1648" priority="3226" stopIfTrue="1" operator="between">
      <formula>35.1</formula>
      <formula>80</formula>
    </cfRule>
    <cfRule type="cellIs" dxfId="1647" priority="3227" stopIfTrue="1" operator="between">
      <formula>14.1</formula>
      <formula>35</formula>
    </cfRule>
    <cfRule type="cellIs" dxfId="1646" priority="3228" stopIfTrue="1" operator="between">
      <formula>5.1</formula>
      <formula>14</formula>
    </cfRule>
    <cfRule type="cellIs" dxfId="1645" priority="3229" stopIfTrue="1" operator="between">
      <formula>0</formula>
      <formula>5</formula>
    </cfRule>
    <cfRule type="containsBlanks" dxfId="1644" priority="3230" stopIfTrue="1">
      <formula>LEN(TRIM(E420))=0</formula>
    </cfRule>
  </conditionalFormatting>
  <conditionalFormatting sqref="E422:O422">
    <cfRule type="containsBlanks" dxfId="1643" priority="3217" stopIfTrue="1">
      <formula>LEN(TRIM(E422))=0</formula>
    </cfRule>
    <cfRule type="cellIs" dxfId="1642" priority="3218" stopIfTrue="1" operator="between">
      <formula>80.1</formula>
      <formula>100</formula>
    </cfRule>
    <cfRule type="cellIs" dxfId="1641" priority="3219" stopIfTrue="1" operator="between">
      <formula>35.1</formula>
      <formula>80</formula>
    </cfRule>
    <cfRule type="cellIs" dxfId="1640" priority="3220" stopIfTrue="1" operator="between">
      <formula>14.1</formula>
      <formula>35</formula>
    </cfRule>
    <cfRule type="cellIs" dxfId="1639" priority="3221" stopIfTrue="1" operator="between">
      <formula>5.1</formula>
      <formula>14</formula>
    </cfRule>
    <cfRule type="cellIs" dxfId="1638" priority="3222" stopIfTrue="1" operator="between">
      <formula>0</formula>
      <formula>5</formula>
    </cfRule>
    <cfRule type="containsBlanks" dxfId="1637" priority="3223" stopIfTrue="1">
      <formula>LEN(TRIM(E422))=0</formula>
    </cfRule>
  </conditionalFormatting>
  <conditionalFormatting sqref="N423">
    <cfRule type="containsBlanks" dxfId="1636" priority="3210" stopIfTrue="1">
      <formula>LEN(TRIM(N423))=0</formula>
    </cfRule>
    <cfRule type="cellIs" dxfId="1635" priority="3211" stopIfTrue="1" operator="between">
      <formula>79.1</formula>
      <formula>100</formula>
    </cfRule>
    <cfRule type="cellIs" dxfId="1634" priority="3212" stopIfTrue="1" operator="between">
      <formula>34.1</formula>
      <formula>79</formula>
    </cfRule>
    <cfRule type="cellIs" dxfId="1633" priority="3213" stopIfTrue="1" operator="between">
      <formula>13.1</formula>
      <formula>34</formula>
    </cfRule>
    <cfRule type="cellIs" dxfId="1632" priority="3214" stopIfTrue="1" operator="between">
      <formula>5.1</formula>
      <formula>13</formula>
    </cfRule>
    <cfRule type="cellIs" dxfId="1631" priority="3215" stopIfTrue="1" operator="between">
      <formula>0</formula>
      <formula>5</formula>
    </cfRule>
    <cfRule type="containsBlanks" dxfId="1630" priority="3216" stopIfTrue="1">
      <formula>LEN(TRIM(N423))=0</formula>
    </cfRule>
  </conditionalFormatting>
  <conditionalFormatting sqref="H423:M423">
    <cfRule type="containsBlanks" dxfId="1629" priority="3203" stopIfTrue="1">
      <formula>LEN(TRIM(H423))=0</formula>
    </cfRule>
    <cfRule type="cellIs" dxfId="1628" priority="3204" stopIfTrue="1" operator="between">
      <formula>79.1</formula>
      <formula>100</formula>
    </cfRule>
    <cfRule type="cellIs" dxfId="1627" priority="3205" stopIfTrue="1" operator="between">
      <formula>34.1</formula>
      <formula>79</formula>
    </cfRule>
    <cfRule type="cellIs" dxfId="1626" priority="3206" stopIfTrue="1" operator="between">
      <formula>13.1</formula>
      <formula>34</formula>
    </cfRule>
    <cfRule type="cellIs" dxfId="1625" priority="3207" stopIfTrue="1" operator="between">
      <formula>5.1</formula>
      <formula>13</formula>
    </cfRule>
    <cfRule type="cellIs" dxfId="1624" priority="3208" stopIfTrue="1" operator="between">
      <formula>0</formula>
      <formula>5</formula>
    </cfRule>
    <cfRule type="containsBlanks" dxfId="1623" priority="3209" stopIfTrue="1">
      <formula>LEN(TRIM(H423))=0</formula>
    </cfRule>
  </conditionalFormatting>
  <conditionalFormatting sqref="H424:N424">
    <cfRule type="containsBlanks" dxfId="1622" priority="3196" stopIfTrue="1">
      <formula>LEN(TRIM(H424))=0</formula>
    </cfRule>
    <cfRule type="cellIs" dxfId="1621" priority="3197" stopIfTrue="1" operator="between">
      <formula>79.1</formula>
      <formula>100</formula>
    </cfRule>
    <cfRule type="cellIs" dxfId="1620" priority="3198" stopIfTrue="1" operator="between">
      <formula>34.1</formula>
      <formula>79</formula>
    </cfRule>
    <cfRule type="cellIs" dxfId="1619" priority="3199" stopIfTrue="1" operator="between">
      <formula>13.1</formula>
      <formula>34</formula>
    </cfRule>
    <cfRule type="cellIs" dxfId="1618" priority="3200" stopIfTrue="1" operator="between">
      <formula>5.1</formula>
      <formula>13</formula>
    </cfRule>
    <cfRule type="cellIs" dxfId="1617" priority="3201" stopIfTrue="1" operator="between">
      <formula>0</formula>
      <formula>5</formula>
    </cfRule>
    <cfRule type="containsBlanks" dxfId="1616" priority="3202" stopIfTrue="1">
      <formula>LEN(TRIM(H424))=0</formula>
    </cfRule>
  </conditionalFormatting>
  <conditionalFormatting sqref="R437">
    <cfRule type="cellIs" dxfId="1615" priority="2436" stopIfTrue="1" operator="equal">
      <formula>"NO"</formula>
    </cfRule>
  </conditionalFormatting>
  <conditionalFormatting sqref="Q437">
    <cfRule type="containsBlanks" dxfId="1614" priority="2423" stopIfTrue="1">
      <formula>LEN(TRIM(Q437))=0</formula>
    </cfRule>
    <cfRule type="cellIs" dxfId="1613" priority="2424" stopIfTrue="1" operator="between">
      <formula>80.1</formula>
      <formula>100</formula>
    </cfRule>
    <cfRule type="cellIs" dxfId="1612" priority="2425" stopIfTrue="1" operator="between">
      <formula>35.1</formula>
      <formula>80</formula>
    </cfRule>
    <cfRule type="cellIs" dxfId="1611" priority="2426" stopIfTrue="1" operator="between">
      <formula>14.1</formula>
      <formula>35</formula>
    </cfRule>
    <cfRule type="cellIs" dxfId="1610" priority="2427" stopIfTrue="1" operator="between">
      <formula>5.1</formula>
      <formula>14</formula>
    </cfRule>
    <cfRule type="cellIs" dxfId="1609" priority="2428" stopIfTrue="1" operator="between">
      <formula>0</formula>
      <formula>5</formula>
    </cfRule>
    <cfRule type="containsBlanks" dxfId="1608" priority="2429" stopIfTrue="1">
      <formula>LEN(TRIM(Q437))=0</formula>
    </cfRule>
  </conditionalFormatting>
  <conditionalFormatting sqref="Q437">
    <cfRule type="containsBlanks" dxfId="1607" priority="2416" stopIfTrue="1">
      <formula>LEN(TRIM(Q437))=0</formula>
    </cfRule>
    <cfRule type="cellIs" dxfId="1606" priority="2417" stopIfTrue="1" operator="between">
      <formula>80.1</formula>
      <formula>100</formula>
    </cfRule>
    <cfRule type="cellIs" dxfId="1605" priority="2418" stopIfTrue="1" operator="between">
      <formula>35.1</formula>
      <formula>80</formula>
    </cfRule>
    <cfRule type="cellIs" dxfId="1604" priority="2419" stopIfTrue="1" operator="between">
      <formula>14.1</formula>
      <formula>35</formula>
    </cfRule>
    <cfRule type="cellIs" dxfId="1603" priority="2420" stopIfTrue="1" operator="between">
      <formula>5.1</formula>
      <formula>14</formula>
    </cfRule>
    <cfRule type="cellIs" dxfId="1602" priority="2421" stopIfTrue="1" operator="between">
      <formula>0</formula>
      <formula>5</formula>
    </cfRule>
    <cfRule type="containsBlanks" dxfId="1601" priority="2422" stopIfTrue="1">
      <formula>LEN(TRIM(Q437))=0</formula>
    </cfRule>
  </conditionalFormatting>
  <conditionalFormatting sqref="R438">
    <cfRule type="cellIs" dxfId="1600" priority="2414" stopIfTrue="1" operator="equal">
      <formula>"NO"</formula>
    </cfRule>
  </conditionalFormatting>
  <conditionalFormatting sqref="Q438">
    <cfRule type="containsBlanks" dxfId="1599" priority="2401" stopIfTrue="1">
      <formula>LEN(TRIM(Q438))=0</formula>
    </cfRule>
    <cfRule type="cellIs" dxfId="1598" priority="2402" stopIfTrue="1" operator="between">
      <formula>80.1</formula>
      <formula>100</formula>
    </cfRule>
    <cfRule type="cellIs" dxfId="1597" priority="2403" stopIfTrue="1" operator="between">
      <formula>35.1</formula>
      <formula>80</formula>
    </cfRule>
    <cfRule type="cellIs" dxfId="1596" priority="2404" stopIfTrue="1" operator="between">
      <formula>14.1</formula>
      <formula>35</formula>
    </cfRule>
    <cfRule type="cellIs" dxfId="1595" priority="2405" stopIfTrue="1" operator="between">
      <formula>5.1</formula>
      <formula>14</formula>
    </cfRule>
    <cfRule type="cellIs" dxfId="1594" priority="2406" stopIfTrue="1" operator="between">
      <formula>0</formula>
      <formula>5</formula>
    </cfRule>
    <cfRule type="containsBlanks" dxfId="1593" priority="2407" stopIfTrue="1">
      <formula>LEN(TRIM(Q438))=0</formula>
    </cfRule>
  </conditionalFormatting>
  <conditionalFormatting sqref="Q438">
    <cfRule type="containsBlanks" dxfId="1592" priority="2394" stopIfTrue="1">
      <formula>LEN(TRIM(Q438))=0</formula>
    </cfRule>
    <cfRule type="cellIs" dxfId="1591" priority="2395" stopIfTrue="1" operator="between">
      <formula>80.1</formula>
      <formula>100</formula>
    </cfRule>
    <cfRule type="cellIs" dxfId="1590" priority="2396" stopIfTrue="1" operator="between">
      <formula>35.1</formula>
      <formula>80</formula>
    </cfRule>
    <cfRule type="cellIs" dxfId="1589" priority="2397" stopIfTrue="1" operator="between">
      <formula>14.1</formula>
      <formula>35</formula>
    </cfRule>
    <cfRule type="cellIs" dxfId="1588" priority="2398" stopIfTrue="1" operator="between">
      <formula>5.1</formula>
      <formula>14</formula>
    </cfRule>
    <cfRule type="cellIs" dxfId="1587" priority="2399" stopIfTrue="1" operator="between">
      <formula>0</formula>
      <formula>5</formula>
    </cfRule>
    <cfRule type="containsBlanks" dxfId="1586" priority="2400" stopIfTrue="1">
      <formula>LEN(TRIM(Q438))=0</formula>
    </cfRule>
  </conditionalFormatting>
  <conditionalFormatting sqref="R439">
    <cfRule type="cellIs" dxfId="1585" priority="2392" stopIfTrue="1" operator="equal">
      <formula>"NO"</formula>
    </cfRule>
  </conditionalFormatting>
  <conditionalFormatting sqref="Q439">
    <cfRule type="containsBlanks" dxfId="1584" priority="2379" stopIfTrue="1">
      <formula>LEN(TRIM(Q439))=0</formula>
    </cfRule>
    <cfRule type="cellIs" dxfId="1583" priority="2380" stopIfTrue="1" operator="between">
      <formula>80.1</formula>
      <formula>100</formula>
    </cfRule>
    <cfRule type="cellIs" dxfId="1582" priority="2381" stopIfTrue="1" operator="between">
      <formula>35.1</formula>
      <formula>80</formula>
    </cfRule>
    <cfRule type="cellIs" dxfId="1581" priority="2382" stopIfTrue="1" operator="between">
      <formula>14.1</formula>
      <formula>35</formula>
    </cfRule>
    <cfRule type="cellIs" dxfId="1580" priority="2383" stopIfTrue="1" operator="between">
      <formula>5.1</formula>
      <formula>14</formula>
    </cfRule>
    <cfRule type="cellIs" dxfId="1579" priority="2384" stopIfTrue="1" operator="between">
      <formula>0</formula>
      <formula>5</formula>
    </cfRule>
    <cfRule type="containsBlanks" dxfId="1578" priority="2385" stopIfTrue="1">
      <formula>LEN(TRIM(Q439))=0</formula>
    </cfRule>
  </conditionalFormatting>
  <conditionalFormatting sqref="Q439">
    <cfRule type="containsBlanks" dxfId="1577" priority="2372" stopIfTrue="1">
      <formula>LEN(TRIM(Q439))=0</formula>
    </cfRule>
    <cfRule type="cellIs" dxfId="1576" priority="2373" stopIfTrue="1" operator="between">
      <formula>80.1</formula>
      <formula>100</formula>
    </cfRule>
    <cfRule type="cellIs" dxfId="1575" priority="2374" stopIfTrue="1" operator="between">
      <formula>35.1</formula>
      <formula>80</formula>
    </cfRule>
    <cfRule type="cellIs" dxfId="1574" priority="2375" stopIfTrue="1" operator="between">
      <formula>14.1</formula>
      <formula>35</formula>
    </cfRule>
    <cfRule type="cellIs" dxfId="1573" priority="2376" stopIfTrue="1" operator="between">
      <formula>5.1</formula>
      <formula>14</formula>
    </cfRule>
    <cfRule type="cellIs" dxfId="1572" priority="2377" stopIfTrue="1" operator="between">
      <formula>0</formula>
      <formula>5</formula>
    </cfRule>
    <cfRule type="containsBlanks" dxfId="1571" priority="2378" stopIfTrue="1">
      <formula>LEN(TRIM(Q439))=0</formula>
    </cfRule>
  </conditionalFormatting>
  <conditionalFormatting sqref="R440">
    <cfRule type="cellIs" dxfId="1570" priority="2370" stopIfTrue="1" operator="equal">
      <formula>"NO"</formula>
    </cfRule>
  </conditionalFormatting>
  <conditionalFormatting sqref="Q440">
    <cfRule type="containsBlanks" dxfId="1569" priority="2357" stopIfTrue="1">
      <formula>LEN(TRIM(Q440))=0</formula>
    </cfRule>
    <cfRule type="cellIs" dxfId="1568" priority="2358" stopIfTrue="1" operator="between">
      <formula>80.1</formula>
      <formula>100</formula>
    </cfRule>
    <cfRule type="cellIs" dxfId="1567" priority="2359" stopIfTrue="1" operator="between">
      <formula>35.1</formula>
      <formula>80</formula>
    </cfRule>
    <cfRule type="cellIs" dxfId="1566" priority="2360" stopIfTrue="1" operator="between">
      <formula>14.1</formula>
      <formula>35</formula>
    </cfRule>
    <cfRule type="cellIs" dxfId="1565" priority="2361" stopIfTrue="1" operator="between">
      <formula>5.1</formula>
      <formula>14</formula>
    </cfRule>
    <cfRule type="cellIs" dxfId="1564" priority="2362" stopIfTrue="1" operator="between">
      <formula>0</formula>
      <formula>5</formula>
    </cfRule>
    <cfRule type="containsBlanks" dxfId="1563" priority="2363" stopIfTrue="1">
      <formula>LEN(TRIM(Q440))=0</formula>
    </cfRule>
  </conditionalFormatting>
  <conditionalFormatting sqref="Q440">
    <cfRule type="containsBlanks" dxfId="1562" priority="2350" stopIfTrue="1">
      <formula>LEN(TRIM(Q440))=0</formula>
    </cfRule>
    <cfRule type="cellIs" dxfId="1561" priority="2351" stopIfTrue="1" operator="between">
      <formula>80.1</formula>
      <formula>100</formula>
    </cfRule>
    <cfRule type="cellIs" dxfId="1560" priority="2352" stopIfTrue="1" operator="between">
      <formula>35.1</formula>
      <formula>80</formula>
    </cfRule>
    <cfRule type="cellIs" dxfId="1559" priority="2353" stopIfTrue="1" operator="between">
      <formula>14.1</formula>
      <formula>35</formula>
    </cfRule>
    <cfRule type="cellIs" dxfId="1558" priority="2354" stopIfTrue="1" operator="between">
      <formula>5.1</formula>
      <formula>14</formula>
    </cfRule>
    <cfRule type="cellIs" dxfId="1557" priority="2355" stopIfTrue="1" operator="between">
      <formula>0</formula>
      <formula>5</formula>
    </cfRule>
    <cfRule type="containsBlanks" dxfId="1556" priority="2356" stopIfTrue="1">
      <formula>LEN(TRIM(Q440))=0</formula>
    </cfRule>
  </conditionalFormatting>
  <conditionalFormatting sqref="R441">
    <cfRule type="cellIs" dxfId="1555" priority="2348" stopIfTrue="1" operator="equal">
      <formula>"NO"</formula>
    </cfRule>
  </conditionalFormatting>
  <conditionalFormatting sqref="Q441">
    <cfRule type="containsBlanks" dxfId="1554" priority="2335" stopIfTrue="1">
      <formula>LEN(TRIM(Q441))=0</formula>
    </cfRule>
    <cfRule type="cellIs" dxfId="1553" priority="2336" stopIfTrue="1" operator="between">
      <formula>80.1</formula>
      <formula>100</formula>
    </cfRule>
    <cfRule type="cellIs" dxfId="1552" priority="2337" stopIfTrue="1" operator="between">
      <formula>35.1</formula>
      <formula>80</formula>
    </cfRule>
    <cfRule type="cellIs" dxfId="1551" priority="2338" stopIfTrue="1" operator="between">
      <formula>14.1</formula>
      <formula>35</formula>
    </cfRule>
    <cfRule type="cellIs" dxfId="1550" priority="2339" stopIfTrue="1" operator="between">
      <formula>5.1</formula>
      <formula>14</formula>
    </cfRule>
    <cfRule type="cellIs" dxfId="1549" priority="2340" stopIfTrue="1" operator="between">
      <formula>0</formula>
      <formula>5</formula>
    </cfRule>
    <cfRule type="containsBlanks" dxfId="1548" priority="2341" stopIfTrue="1">
      <formula>LEN(TRIM(Q441))=0</formula>
    </cfRule>
  </conditionalFormatting>
  <conditionalFormatting sqref="Q441">
    <cfRule type="containsBlanks" dxfId="1547" priority="2328" stopIfTrue="1">
      <formula>LEN(TRIM(Q441))=0</formula>
    </cfRule>
    <cfRule type="cellIs" dxfId="1546" priority="2329" stopIfTrue="1" operator="between">
      <formula>80.1</formula>
      <formula>100</formula>
    </cfRule>
    <cfRule type="cellIs" dxfId="1545" priority="2330" stopIfTrue="1" operator="between">
      <formula>35.1</formula>
      <formula>80</formula>
    </cfRule>
    <cfRule type="cellIs" dxfId="1544" priority="2331" stopIfTrue="1" operator="between">
      <formula>14.1</formula>
      <formula>35</formula>
    </cfRule>
    <cfRule type="cellIs" dxfId="1543" priority="2332" stopIfTrue="1" operator="between">
      <formula>5.1</formula>
      <formula>14</formula>
    </cfRule>
    <cfRule type="cellIs" dxfId="1542" priority="2333" stopIfTrue="1" operator="between">
      <formula>0</formula>
      <formula>5</formula>
    </cfRule>
    <cfRule type="containsBlanks" dxfId="1541" priority="2334" stopIfTrue="1">
      <formula>LEN(TRIM(Q441))=0</formula>
    </cfRule>
  </conditionalFormatting>
  <conditionalFormatting sqref="R442">
    <cfRule type="cellIs" dxfId="1540" priority="2326" stopIfTrue="1" operator="equal">
      <formula>"NO"</formula>
    </cfRule>
  </conditionalFormatting>
  <conditionalFormatting sqref="Q442">
    <cfRule type="containsBlanks" dxfId="1539" priority="2313" stopIfTrue="1">
      <formula>LEN(TRIM(Q442))=0</formula>
    </cfRule>
    <cfRule type="cellIs" dxfId="1538" priority="2314" stopIfTrue="1" operator="between">
      <formula>80.1</formula>
      <formula>100</formula>
    </cfRule>
    <cfRule type="cellIs" dxfId="1537" priority="2315" stopIfTrue="1" operator="between">
      <formula>35.1</formula>
      <formula>80</formula>
    </cfRule>
    <cfRule type="cellIs" dxfId="1536" priority="2316" stopIfTrue="1" operator="between">
      <formula>14.1</formula>
      <formula>35</formula>
    </cfRule>
    <cfRule type="cellIs" dxfId="1535" priority="2317" stopIfTrue="1" operator="between">
      <formula>5.1</formula>
      <formula>14</formula>
    </cfRule>
    <cfRule type="cellIs" dxfId="1534" priority="2318" stopIfTrue="1" operator="between">
      <formula>0</formula>
      <formula>5</formula>
    </cfRule>
    <cfRule type="containsBlanks" dxfId="1533" priority="2319" stopIfTrue="1">
      <formula>LEN(TRIM(Q442))=0</formula>
    </cfRule>
  </conditionalFormatting>
  <conditionalFormatting sqref="Q442">
    <cfRule type="containsBlanks" dxfId="1532" priority="2306" stopIfTrue="1">
      <formula>LEN(TRIM(Q442))=0</formula>
    </cfRule>
    <cfRule type="cellIs" dxfId="1531" priority="2307" stopIfTrue="1" operator="between">
      <formula>80.1</formula>
      <formula>100</formula>
    </cfRule>
    <cfRule type="cellIs" dxfId="1530" priority="2308" stopIfTrue="1" operator="between">
      <formula>35.1</formula>
      <formula>80</formula>
    </cfRule>
    <cfRule type="cellIs" dxfId="1529" priority="2309" stopIfTrue="1" operator="between">
      <formula>14.1</formula>
      <formula>35</formula>
    </cfRule>
    <cfRule type="cellIs" dxfId="1528" priority="2310" stopIfTrue="1" operator="between">
      <formula>5.1</formula>
      <formula>14</formula>
    </cfRule>
    <cfRule type="cellIs" dxfId="1527" priority="2311" stopIfTrue="1" operator="between">
      <formula>0</formula>
      <formula>5</formula>
    </cfRule>
    <cfRule type="containsBlanks" dxfId="1526" priority="2312" stopIfTrue="1">
      <formula>LEN(TRIM(Q442))=0</formula>
    </cfRule>
  </conditionalFormatting>
  <conditionalFormatting sqref="R443">
    <cfRule type="cellIs" dxfId="1525" priority="2304" stopIfTrue="1" operator="equal">
      <formula>"NO"</formula>
    </cfRule>
  </conditionalFormatting>
  <conditionalFormatting sqref="Q443">
    <cfRule type="containsBlanks" dxfId="1524" priority="2291" stopIfTrue="1">
      <formula>LEN(TRIM(Q443))=0</formula>
    </cfRule>
    <cfRule type="cellIs" dxfId="1523" priority="2292" stopIfTrue="1" operator="between">
      <formula>80.1</formula>
      <formula>100</formula>
    </cfRule>
    <cfRule type="cellIs" dxfId="1522" priority="2293" stopIfTrue="1" operator="between">
      <formula>35.1</formula>
      <formula>80</formula>
    </cfRule>
    <cfRule type="cellIs" dxfId="1521" priority="2294" stopIfTrue="1" operator="between">
      <formula>14.1</formula>
      <formula>35</formula>
    </cfRule>
    <cfRule type="cellIs" dxfId="1520" priority="2295" stopIfTrue="1" operator="between">
      <formula>5.1</formula>
      <formula>14</formula>
    </cfRule>
    <cfRule type="cellIs" dxfId="1519" priority="2296" stopIfTrue="1" operator="between">
      <formula>0</formula>
      <formula>5</formula>
    </cfRule>
    <cfRule type="containsBlanks" dxfId="1518" priority="2297" stopIfTrue="1">
      <formula>LEN(TRIM(Q443))=0</formula>
    </cfRule>
  </conditionalFormatting>
  <conditionalFormatting sqref="Q443">
    <cfRule type="containsBlanks" dxfId="1517" priority="2284" stopIfTrue="1">
      <formula>LEN(TRIM(Q443))=0</formula>
    </cfRule>
    <cfRule type="cellIs" dxfId="1516" priority="2285" stopIfTrue="1" operator="between">
      <formula>80.1</formula>
      <formula>100</formula>
    </cfRule>
    <cfRule type="cellIs" dxfId="1515" priority="2286" stopIfTrue="1" operator="between">
      <formula>35.1</formula>
      <formula>80</formula>
    </cfRule>
    <cfRule type="cellIs" dxfId="1514" priority="2287" stopIfTrue="1" operator="between">
      <formula>14.1</formula>
      <formula>35</formula>
    </cfRule>
    <cfRule type="cellIs" dxfId="1513" priority="2288" stopIfTrue="1" operator="between">
      <formula>5.1</formula>
      <formula>14</formula>
    </cfRule>
    <cfRule type="cellIs" dxfId="1512" priority="2289" stopIfTrue="1" operator="between">
      <formula>0</formula>
      <formula>5</formula>
    </cfRule>
    <cfRule type="containsBlanks" dxfId="1511" priority="2290" stopIfTrue="1">
      <formula>LEN(TRIM(Q443))=0</formula>
    </cfRule>
  </conditionalFormatting>
  <conditionalFormatting sqref="R446">
    <cfRule type="cellIs" dxfId="1510" priority="2260" stopIfTrue="1" operator="equal">
      <formula>"NO"</formula>
    </cfRule>
  </conditionalFormatting>
  <conditionalFormatting sqref="Q446">
    <cfRule type="containsBlanks" dxfId="1509" priority="2247" stopIfTrue="1">
      <formula>LEN(TRIM(Q446))=0</formula>
    </cfRule>
    <cfRule type="cellIs" dxfId="1508" priority="2248" stopIfTrue="1" operator="between">
      <formula>80.1</formula>
      <formula>100</formula>
    </cfRule>
    <cfRule type="cellIs" dxfId="1507" priority="2249" stopIfTrue="1" operator="between">
      <formula>35.1</formula>
      <formula>80</formula>
    </cfRule>
    <cfRule type="cellIs" dxfId="1506" priority="2250" stopIfTrue="1" operator="between">
      <formula>14.1</formula>
      <formula>35</formula>
    </cfRule>
    <cfRule type="cellIs" dxfId="1505" priority="2251" stopIfTrue="1" operator="between">
      <formula>5.1</formula>
      <formula>14</formula>
    </cfRule>
    <cfRule type="cellIs" dxfId="1504" priority="2252" stopIfTrue="1" operator="between">
      <formula>0</formula>
      <formula>5</formula>
    </cfRule>
    <cfRule type="containsBlanks" dxfId="1503" priority="2253" stopIfTrue="1">
      <formula>LEN(TRIM(Q446))=0</formula>
    </cfRule>
  </conditionalFormatting>
  <conditionalFormatting sqref="Q446">
    <cfRule type="containsBlanks" dxfId="1502" priority="2240" stopIfTrue="1">
      <formula>LEN(TRIM(Q446))=0</formula>
    </cfRule>
    <cfRule type="cellIs" dxfId="1501" priority="2241" stopIfTrue="1" operator="between">
      <formula>80.1</formula>
      <formula>100</formula>
    </cfRule>
    <cfRule type="cellIs" dxfId="1500" priority="2242" stopIfTrue="1" operator="between">
      <formula>35.1</formula>
      <formula>80</formula>
    </cfRule>
    <cfRule type="cellIs" dxfId="1499" priority="2243" stopIfTrue="1" operator="between">
      <formula>14.1</formula>
      <formula>35</formula>
    </cfRule>
    <cfRule type="cellIs" dxfId="1498" priority="2244" stopIfTrue="1" operator="between">
      <formula>5.1</formula>
      <formula>14</formula>
    </cfRule>
    <cfRule type="cellIs" dxfId="1497" priority="2245" stopIfTrue="1" operator="between">
      <formula>0</formula>
      <formula>5</formula>
    </cfRule>
    <cfRule type="containsBlanks" dxfId="1496" priority="2246" stopIfTrue="1">
      <formula>LEN(TRIM(Q446))=0</formula>
    </cfRule>
  </conditionalFormatting>
  <conditionalFormatting sqref="R447">
    <cfRule type="cellIs" dxfId="1495" priority="2238" stopIfTrue="1" operator="equal">
      <formula>"NO"</formula>
    </cfRule>
  </conditionalFormatting>
  <conditionalFormatting sqref="Q447">
    <cfRule type="containsBlanks" dxfId="1494" priority="2225" stopIfTrue="1">
      <formula>LEN(TRIM(Q447))=0</formula>
    </cfRule>
    <cfRule type="cellIs" dxfId="1493" priority="2226" stopIfTrue="1" operator="between">
      <formula>80.1</formula>
      <formula>100</formula>
    </cfRule>
    <cfRule type="cellIs" dxfId="1492" priority="2227" stopIfTrue="1" operator="between">
      <formula>35.1</formula>
      <formula>80</formula>
    </cfRule>
    <cfRule type="cellIs" dxfId="1491" priority="2228" stopIfTrue="1" operator="between">
      <formula>14.1</formula>
      <formula>35</formula>
    </cfRule>
    <cfRule type="cellIs" dxfId="1490" priority="2229" stopIfTrue="1" operator="between">
      <formula>5.1</formula>
      <formula>14</formula>
    </cfRule>
    <cfRule type="cellIs" dxfId="1489" priority="2230" stopIfTrue="1" operator="between">
      <formula>0</formula>
      <formula>5</formula>
    </cfRule>
    <cfRule type="containsBlanks" dxfId="1488" priority="2231" stopIfTrue="1">
      <formula>LEN(TRIM(Q447))=0</formula>
    </cfRule>
  </conditionalFormatting>
  <conditionalFormatting sqref="Q447">
    <cfRule type="containsBlanks" dxfId="1487" priority="2218" stopIfTrue="1">
      <formula>LEN(TRIM(Q447))=0</formula>
    </cfRule>
    <cfRule type="cellIs" dxfId="1486" priority="2219" stopIfTrue="1" operator="between">
      <formula>80.1</formula>
      <formula>100</formula>
    </cfRule>
    <cfRule type="cellIs" dxfId="1485" priority="2220" stopIfTrue="1" operator="between">
      <formula>35.1</formula>
      <formula>80</formula>
    </cfRule>
    <cfRule type="cellIs" dxfId="1484" priority="2221" stopIfTrue="1" operator="between">
      <formula>14.1</formula>
      <formula>35</formula>
    </cfRule>
    <cfRule type="cellIs" dxfId="1483" priority="2222" stopIfTrue="1" operator="between">
      <formula>5.1</formula>
      <formula>14</formula>
    </cfRule>
    <cfRule type="cellIs" dxfId="1482" priority="2223" stopIfTrue="1" operator="between">
      <formula>0</formula>
      <formula>5</formula>
    </cfRule>
    <cfRule type="containsBlanks" dxfId="1481" priority="2224" stopIfTrue="1">
      <formula>LEN(TRIM(Q447))=0</formula>
    </cfRule>
  </conditionalFormatting>
  <conditionalFormatting sqref="R448">
    <cfRule type="cellIs" dxfId="1480" priority="2216" stopIfTrue="1" operator="equal">
      <formula>"NO"</formula>
    </cfRule>
  </conditionalFormatting>
  <conditionalFormatting sqref="Q448">
    <cfRule type="containsBlanks" dxfId="1479" priority="2203" stopIfTrue="1">
      <formula>LEN(TRIM(Q448))=0</formula>
    </cfRule>
    <cfRule type="cellIs" dxfId="1478" priority="2204" stopIfTrue="1" operator="between">
      <formula>80.1</formula>
      <formula>100</formula>
    </cfRule>
    <cfRule type="cellIs" dxfId="1477" priority="2205" stopIfTrue="1" operator="between">
      <formula>35.1</formula>
      <formula>80</formula>
    </cfRule>
    <cfRule type="cellIs" dxfId="1476" priority="2206" stopIfTrue="1" operator="between">
      <formula>14.1</formula>
      <formula>35</formula>
    </cfRule>
    <cfRule type="cellIs" dxfId="1475" priority="2207" stopIfTrue="1" operator="between">
      <formula>5.1</formula>
      <formula>14</formula>
    </cfRule>
    <cfRule type="cellIs" dxfId="1474" priority="2208" stopIfTrue="1" operator="between">
      <formula>0</formula>
      <formula>5</formula>
    </cfRule>
    <cfRule type="containsBlanks" dxfId="1473" priority="2209" stopIfTrue="1">
      <formula>LEN(TRIM(Q448))=0</formula>
    </cfRule>
  </conditionalFormatting>
  <conditionalFormatting sqref="Q448">
    <cfRule type="containsBlanks" dxfId="1472" priority="2196" stopIfTrue="1">
      <formula>LEN(TRIM(Q448))=0</formula>
    </cfRule>
    <cfRule type="cellIs" dxfId="1471" priority="2197" stopIfTrue="1" operator="between">
      <formula>80.1</formula>
      <formula>100</formula>
    </cfRule>
    <cfRule type="cellIs" dxfId="1470" priority="2198" stopIfTrue="1" operator="between">
      <formula>35.1</formula>
      <formula>80</formula>
    </cfRule>
    <cfRule type="cellIs" dxfId="1469" priority="2199" stopIfTrue="1" operator="between">
      <formula>14.1</formula>
      <formula>35</formula>
    </cfRule>
    <cfRule type="cellIs" dxfId="1468" priority="2200" stopIfTrue="1" operator="between">
      <formula>5.1</formula>
      <formula>14</formula>
    </cfRule>
    <cfRule type="cellIs" dxfId="1467" priority="2201" stopIfTrue="1" operator="between">
      <formula>0</formula>
      <formula>5</formula>
    </cfRule>
    <cfRule type="containsBlanks" dxfId="1466" priority="2202" stopIfTrue="1">
      <formula>LEN(TRIM(Q448))=0</formula>
    </cfRule>
  </conditionalFormatting>
  <conditionalFormatting sqref="R449">
    <cfRule type="cellIs" dxfId="1465" priority="2194" stopIfTrue="1" operator="equal">
      <formula>"NO"</formula>
    </cfRule>
  </conditionalFormatting>
  <conditionalFormatting sqref="Q449">
    <cfRule type="containsBlanks" dxfId="1464" priority="2181" stopIfTrue="1">
      <formula>LEN(TRIM(Q449))=0</formula>
    </cfRule>
    <cfRule type="cellIs" dxfId="1463" priority="2182" stopIfTrue="1" operator="between">
      <formula>80.1</formula>
      <formula>100</formula>
    </cfRule>
    <cfRule type="cellIs" dxfId="1462" priority="2183" stopIfTrue="1" operator="between">
      <formula>35.1</formula>
      <formula>80</formula>
    </cfRule>
    <cfRule type="cellIs" dxfId="1461" priority="2184" stopIfTrue="1" operator="between">
      <formula>14.1</formula>
      <formula>35</formula>
    </cfRule>
    <cfRule type="cellIs" dxfId="1460" priority="2185" stopIfTrue="1" operator="between">
      <formula>5.1</formula>
      <formula>14</formula>
    </cfRule>
    <cfRule type="cellIs" dxfId="1459" priority="2186" stopIfTrue="1" operator="between">
      <formula>0</formula>
      <formula>5</formula>
    </cfRule>
    <cfRule type="containsBlanks" dxfId="1458" priority="2187" stopIfTrue="1">
      <formula>LEN(TRIM(Q449))=0</formula>
    </cfRule>
  </conditionalFormatting>
  <conditionalFormatting sqref="Q449">
    <cfRule type="containsBlanks" dxfId="1457" priority="2174" stopIfTrue="1">
      <formula>LEN(TRIM(Q449))=0</formula>
    </cfRule>
    <cfRule type="cellIs" dxfId="1456" priority="2175" stopIfTrue="1" operator="between">
      <formula>80.1</formula>
      <formula>100</formula>
    </cfRule>
    <cfRule type="cellIs" dxfId="1455" priority="2176" stopIfTrue="1" operator="between">
      <formula>35.1</formula>
      <formula>80</formula>
    </cfRule>
    <cfRule type="cellIs" dxfId="1454" priority="2177" stopIfTrue="1" operator="between">
      <formula>14.1</formula>
      <formula>35</formula>
    </cfRule>
    <cfRule type="cellIs" dxfId="1453" priority="2178" stopIfTrue="1" operator="between">
      <formula>5.1</formula>
      <formula>14</formula>
    </cfRule>
    <cfRule type="cellIs" dxfId="1452" priority="2179" stopIfTrue="1" operator="between">
      <formula>0</formula>
      <formula>5</formula>
    </cfRule>
    <cfRule type="containsBlanks" dxfId="1451" priority="2180" stopIfTrue="1">
      <formula>LEN(TRIM(Q449))=0</formula>
    </cfRule>
  </conditionalFormatting>
  <conditionalFormatting sqref="R450">
    <cfRule type="cellIs" dxfId="1450" priority="2172" stopIfTrue="1" operator="equal">
      <formula>"NO"</formula>
    </cfRule>
  </conditionalFormatting>
  <conditionalFormatting sqref="Q450">
    <cfRule type="containsBlanks" dxfId="1449" priority="2159" stopIfTrue="1">
      <formula>LEN(TRIM(Q450))=0</formula>
    </cfRule>
    <cfRule type="cellIs" dxfId="1448" priority="2160" stopIfTrue="1" operator="between">
      <formula>80.1</formula>
      <formula>100</formula>
    </cfRule>
    <cfRule type="cellIs" dxfId="1447" priority="2161" stopIfTrue="1" operator="between">
      <formula>35.1</formula>
      <formula>80</formula>
    </cfRule>
    <cfRule type="cellIs" dxfId="1446" priority="2162" stopIfTrue="1" operator="between">
      <formula>14.1</formula>
      <formula>35</formula>
    </cfRule>
    <cfRule type="cellIs" dxfId="1445" priority="2163" stopIfTrue="1" operator="between">
      <formula>5.1</formula>
      <formula>14</formula>
    </cfRule>
    <cfRule type="cellIs" dxfId="1444" priority="2164" stopIfTrue="1" operator="between">
      <formula>0</formula>
      <formula>5</formula>
    </cfRule>
    <cfRule type="containsBlanks" dxfId="1443" priority="2165" stopIfTrue="1">
      <formula>LEN(TRIM(Q450))=0</formula>
    </cfRule>
  </conditionalFormatting>
  <conditionalFormatting sqref="Q450">
    <cfRule type="containsBlanks" dxfId="1442" priority="2152" stopIfTrue="1">
      <formula>LEN(TRIM(Q450))=0</formula>
    </cfRule>
    <cfRule type="cellIs" dxfId="1441" priority="2153" stopIfTrue="1" operator="between">
      <formula>80.1</formula>
      <formula>100</formula>
    </cfRule>
    <cfRule type="cellIs" dxfId="1440" priority="2154" stopIfTrue="1" operator="between">
      <formula>35.1</formula>
      <formula>80</formula>
    </cfRule>
    <cfRule type="cellIs" dxfId="1439" priority="2155" stopIfTrue="1" operator="between">
      <formula>14.1</formula>
      <formula>35</formula>
    </cfRule>
    <cfRule type="cellIs" dxfId="1438" priority="2156" stopIfTrue="1" operator="between">
      <formula>5.1</formula>
      <formula>14</formula>
    </cfRule>
    <cfRule type="cellIs" dxfId="1437" priority="2157" stopIfTrue="1" operator="between">
      <formula>0</formula>
      <formula>5</formula>
    </cfRule>
    <cfRule type="containsBlanks" dxfId="1436" priority="2158" stopIfTrue="1">
      <formula>LEN(TRIM(Q450))=0</formula>
    </cfRule>
  </conditionalFormatting>
  <conditionalFormatting sqref="R451">
    <cfRule type="cellIs" dxfId="1435" priority="2150" stopIfTrue="1" operator="equal">
      <formula>"NO"</formula>
    </cfRule>
  </conditionalFormatting>
  <conditionalFormatting sqref="Q451">
    <cfRule type="containsBlanks" dxfId="1434" priority="2137" stopIfTrue="1">
      <formula>LEN(TRIM(Q451))=0</formula>
    </cfRule>
    <cfRule type="cellIs" dxfId="1433" priority="2138" stopIfTrue="1" operator="between">
      <formula>80.1</formula>
      <formula>100</formula>
    </cfRule>
    <cfRule type="cellIs" dxfId="1432" priority="2139" stopIfTrue="1" operator="between">
      <formula>35.1</formula>
      <formula>80</formula>
    </cfRule>
    <cfRule type="cellIs" dxfId="1431" priority="2140" stopIfTrue="1" operator="between">
      <formula>14.1</formula>
      <formula>35</formula>
    </cfRule>
    <cfRule type="cellIs" dxfId="1430" priority="2141" stopIfTrue="1" operator="between">
      <formula>5.1</formula>
      <formula>14</formula>
    </cfRule>
    <cfRule type="cellIs" dxfId="1429" priority="2142" stopIfTrue="1" operator="between">
      <formula>0</formula>
      <formula>5</formula>
    </cfRule>
    <cfRule type="containsBlanks" dxfId="1428" priority="2143" stopIfTrue="1">
      <formula>LEN(TRIM(Q451))=0</formula>
    </cfRule>
  </conditionalFormatting>
  <conditionalFormatting sqref="Q451">
    <cfRule type="containsBlanks" dxfId="1427" priority="2130" stopIfTrue="1">
      <formula>LEN(TRIM(Q451))=0</formula>
    </cfRule>
    <cfRule type="cellIs" dxfId="1426" priority="2131" stopIfTrue="1" operator="between">
      <formula>80.1</formula>
      <formula>100</formula>
    </cfRule>
    <cfRule type="cellIs" dxfId="1425" priority="2132" stopIfTrue="1" operator="between">
      <formula>35.1</formula>
      <formula>80</formula>
    </cfRule>
    <cfRule type="cellIs" dxfId="1424" priority="2133" stopIfTrue="1" operator="between">
      <formula>14.1</formula>
      <formula>35</formula>
    </cfRule>
    <cfRule type="cellIs" dxfId="1423" priority="2134" stopIfTrue="1" operator="between">
      <formula>5.1</formula>
      <formula>14</formula>
    </cfRule>
    <cfRule type="cellIs" dxfId="1422" priority="2135" stopIfTrue="1" operator="between">
      <formula>0</formula>
      <formula>5</formula>
    </cfRule>
    <cfRule type="containsBlanks" dxfId="1421" priority="2136" stopIfTrue="1">
      <formula>LEN(TRIM(Q451))=0</formula>
    </cfRule>
  </conditionalFormatting>
  <conditionalFormatting sqref="R452">
    <cfRule type="cellIs" dxfId="1420" priority="2128" stopIfTrue="1" operator="equal">
      <formula>"NO"</formula>
    </cfRule>
  </conditionalFormatting>
  <conditionalFormatting sqref="Q452">
    <cfRule type="containsBlanks" dxfId="1419" priority="2115" stopIfTrue="1">
      <formula>LEN(TRIM(Q452))=0</formula>
    </cfRule>
    <cfRule type="cellIs" dxfId="1418" priority="2116" stopIfTrue="1" operator="between">
      <formula>80.1</formula>
      <formula>100</formula>
    </cfRule>
    <cfRule type="cellIs" dxfId="1417" priority="2117" stopIfTrue="1" operator="between">
      <formula>35.1</formula>
      <formula>80</formula>
    </cfRule>
    <cfRule type="cellIs" dxfId="1416" priority="2118" stopIfTrue="1" operator="between">
      <formula>14.1</formula>
      <formula>35</formula>
    </cfRule>
    <cfRule type="cellIs" dxfId="1415" priority="2119" stopIfTrue="1" operator="between">
      <formula>5.1</formula>
      <formula>14</formula>
    </cfRule>
    <cfRule type="cellIs" dxfId="1414" priority="2120" stopIfTrue="1" operator="between">
      <formula>0</formula>
      <formula>5</formula>
    </cfRule>
    <cfRule type="containsBlanks" dxfId="1413" priority="2121" stopIfTrue="1">
      <formula>LEN(TRIM(Q452))=0</formula>
    </cfRule>
  </conditionalFormatting>
  <conditionalFormatting sqref="Q452">
    <cfRule type="containsBlanks" dxfId="1412" priority="2108" stopIfTrue="1">
      <formula>LEN(TRIM(Q452))=0</formula>
    </cfRule>
    <cfRule type="cellIs" dxfId="1411" priority="2109" stopIfTrue="1" operator="between">
      <formula>80.1</formula>
      <formula>100</formula>
    </cfRule>
    <cfRule type="cellIs" dxfId="1410" priority="2110" stopIfTrue="1" operator="between">
      <formula>35.1</formula>
      <formula>80</formula>
    </cfRule>
    <cfRule type="cellIs" dxfId="1409" priority="2111" stopIfTrue="1" operator="between">
      <formula>14.1</formula>
      <formula>35</formula>
    </cfRule>
    <cfRule type="cellIs" dxfId="1408" priority="2112" stopIfTrue="1" operator="between">
      <formula>5.1</formula>
      <formula>14</formula>
    </cfRule>
    <cfRule type="cellIs" dxfId="1407" priority="2113" stopIfTrue="1" operator="between">
      <formula>0</formula>
      <formula>5</formula>
    </cfRule>
    <cfRule type="containsBlanks" dxfId="1406" priority="2114" stopIfTrue="1">
      <formula>LEN(TRIM(Q452))=0</formula>
    </cfRule>
  </conditionalFormatting>
  <conditionalFormatting sqref="R453">
    <cfRule type="cellIs" dxfId="1405" priority="2106" stopIfTrue="1" operator="equal">
      <formula>"NO"</formula>
    </cfRule>
  </conditionalFormatting>
  <conditionalFormatting sqref="Q453">
    <cfRule type="containsBlanks" dxfId="1404" priority="2093" stopIfTrue="1">
      <formula>LEN(TRIM(Q453))=0</formula>
    </cfRule>
    <cfRule type="cellIs" dxfId="1403" priority="2094" stopIfTrue="1" operator="between">
      <formula>80.1</formula>
      <formula>100</formula>
    </cfRule>
    <cfRule type="cellIs" dxfId="1402" priority="2095" stopIfTrue="1" operator="between">
      <formula>35.1</formula>
      <formula>80</formula>
    </cfRule>
    <cfRule type="cellIs" dxfId="1401" priority="2096" stopIfTrue="1" operator="between">
      <formula>14.1</formula>
      <formula>35</formula>
    </cfRule>
    <cfRule type="cellIs" dxfId="1400" priority="2097" stopIfTrue="1" operator="between">
      <formula>5.1</formula>
      <formula>14</formula>
    </cfRule>
    <cfRule type="cellIs" dxfId="1399" priority="2098" stopIfTrue="1" operator="between">
      <formula>0</formula>
      <formula>5</formula>
    </cfRule>
    <cfRule type="containsBlanks" dxfId="1398" priority="2099" stopIfTrue="1">
      <formula>LEN(TRIM(Q453))=0</formula>
    </cfRule>
  </conditionalFormatting>
  <conditionalFormatting sqref="Q453">
    <cfRule type="containsBlanks" dxfId="1397" priority="2086" stopIfTrue="1">
      <formula>LEN(TRIM(Q453))=0</formula>
    </cfRule>
    <cfRule type="cellIs" dxfId="1396" priority="2087" stopIfTrue="1" operator="between">
      <formula>80.1</formula>
      <formula>100</formula>
    </cfRule>
    <cfRule type="cellIs" dxfId="1395" priority="2088" stopIfTrue="1" operator="between">
      <formula>35.1</formula>
      <formula>80</formula>
    </cfRule>
    <cfRule type="cellIs" dxfId="1394" priority="2089" stopIfTrue="1" operator="between">
      <formula>14.1</formula>
      <formula>35</formula>
    </cfRule>
    <cfRule type="cellIs" dxfId="1393" priority="2090" stopIfTrue="1" operator="between">
      <formula>5.1</formula>
      <formula>14</formula>
    </cfRule>
    <cfRule type="cellIs" dxfId="1392" priority="2091" stopIfTrue="1" operator="between">
      <formula>0</formula>
      <formula>5</formula>
    </cfRule>
    <cfRule type="containsBlanks" dxfId="1391" priority="2092" stopIfTrue="1">
      <formula>LEN(TRIM(Q453))=0</formula>
    </cfRule>
  </conditionalFormatting>
  <conditionalFormatting sqref="R454">
    <cfRule type="cellIs" dxfId="1390" priority="2084" stopIfTrue="1" operator="equal">
      <formula>"NO"</formula>
    </cfRule>
  </conditionalFormatting>
  <conditionalFormatting sqref="Q454">
    <cfRule type="containsBlanks" dxfId="1389" priority="2071" stopIfTrue="1">
      <formula>LEN(TRIM(Q454))=0</formula>
    </cfRule>
    <cfRule type="cellIs" dxfId="1388" priority="2072" stopIfTrue="1" operator="between">
      <formula>80.1</formula>
      <formula>100</formula>
    </cfRule>
    <cfRule type="cellIs" dxfId="1387" priority="2073" stopIfTrue="1" operator="between">
      <formula>35.1</formula>
      <formula>80</formula>
    </cfRule>
    <cfRule type="cellIs" dxfId="1386" priority="2074" stopIfTrue="1" operator="between">
      <formula>14.1</formula>
      <formula>35</formula>
    </cfRule>
    <cfRule type="cellIs" dxfId="1385" priority="2075" stopIfTrue="1" operator="between">
      <formula>5.1</formula>
      <formula>14</formula>
    </cfRule>
    <cfRule type="cellIs" dxfId="1384" priority="2076" stopIfTrue="1" operator="between">
      <formula>0</formula>
      <formula>5</formula>
    </cfRule>
    <cfRule type="containsBlanks" dxfId="1383" priority="2077" stopIfTrue="1">
      <formula>LEN(TRIM(Q454))=0</formula>
    </cfRule>
  </conditionalFormatting>
  <conditionalFormatting sqref="Q454">
    <cfRule type="containsBlanks" dxfId="1382" priority="2064" stopIfTrue="1">
      <formula>LEN(TRIM(Q454))=0</formula>
    </cfRule>
    <cfRule type="cellIs" dxfId="1381" priority="2065" stopIfTrue="1" operator="between">
      <formula>80.1</formula>
      <formula>100</formula>
    </cfRule>
    <cfRule type="cellIs" dxfId="1380" priority="2066" stopIfTrue="1" operator="between">
      <formula>35.1</formula>
      <formula>80</formula>
    </cfRule>
    <cfRule type="cellIs" dxfId="1379" priority="2067" stopIfTrue="1" operator="between">
      <formula>14.1</formula>
      <formula>35</formula>
    </cfRule>
    <cfRule type="cellIs" dxfId="1378" priority="2068" stopIfTrue="1" operator="between">
      <formula>5.1</formula>
      <formula>14</formula>
    </cfRule>
    <cfRule type="cellIs" dxfId="1377" priority="2069" stopIfTrue="1" operator="between">
      <formula>0</formula>
      <formula>5</formula>
    </cfRule>
    <cfRule type="containsBlanks" dxfId="1376" priority="2070" stopIfTrue="1">
      <formula>LEN(TRIM(Q454))=0</formula>
    </cfRule>
  </conditionalFormatting>
  <conditionalFormatting sqref="R456">
    <cfRule type="cellIs" dxfId="1375" priority="2062" stopIfTrue="1" operator="equal">
      <formula>"NO"</formula>
    </cfRule>
  </conditionalFormatting>
  <conditionalFormatting sqref="Q456">
    <cfRule type="containsBlanks" dxfId="1374" priority="2049" stopIfTrue="1">
      <formula>LEN(TRIM(Q456))=0</formula>
    </cfRule>
    <cfRule type="cellIs" dxfId="1373" priority="2050" stopIfTrue="1" operator="between">
      <formula>80.1</formula>
      <formula>100</formula>
    </cfRule>
    <cfRule type="cellIs" dxfId="1372" priority="2051" stopIfTrue="1" operator="between">
      <formula>35.1</formula>
      <formula>80</formula>
    </cfRule>
    <cfRule type="cellIs" dxfId="1371" priority="2052" stopIfTrue="1" operator="between">
      <formula>14.1</formula>
      <formula>35</formula>
    </cfRule>
    <cfRule type="cellIs" dxfId="1370" priority="2053" stopIfTrue="1" operator="between">
      <formula>5.1</formula>
      <formula>14</formula>
    </cfRule>
    <cfRule type="cellIs" dxfId="1369" priority="2054" stopIfTrue="1" operator="between">
      <formula>0</formula>
      <formula>5</formula>
    </cfRule>
    <cfRule type="containsBlanks" dxfId="1368" priority="2055" stopIfTrue="1">
      <formula>LEN(TRIM(Q456))=0</formula>
    </cfRule>
  </conditionalFormatting>
  <conditionalFormatting sqref="Q456">
    <cfRule type="containsBlanks" dxfId="1367" priority="2042" stopIfTrue="1">
      <formula>LEN(TRIM(Q456))=0</formula>
    </cfRule>
    <cfRule type="cellIs" dxfId="1366" priority="2043" stopIfTrue="1" operator="between">
      <formula>80.1</formula>
      <formula>100</formula>
    </cfRule>
    <cfRule type="cellIs" dxfId="1365" priority="2044" stopIfTrue="1" operator="between">
      <formula>35.1</formula>
      <formula>80</formula>
    </cfRule>
    <cfRule type="cellIs" dxfId="1364" priority="2045" stopIfTrue="1" operator="between">
      <formula>14.1</formula>
      <formula>35</formula>
    </cfRule>
    <cfRule type="cellIs" dxfId="1363" priority="2046" stopIfTrue="1" operator="between">
      <formula>5.1</formula>
      <formula>14</formula>
    </cfRule>
    <cfRule type="cellIs" dxfId="1362" priority="2047" stopIfTrue="1" operator="between">
      <formula>0</formula>
      <formula>5</formula>
    </cfRule>
    <cfRule type="containsBlanks" dxfId="1361" priority="2048" stopIfTrue="1">
      <formula>LEN(TRIM(Q456))=0</formula>
    </cfRule>
  </conditionalFormatting>
  <conditionalFormatting sqref="R457">
    <cfRule type="cellIs" dxfId="1360" priority="2040" stopIfTrue="1" operator="equal">
      <formula>"NO"</formula>
    </cfRule>
  </conditionalFormatting>
  <conditionalFormatting sqref="Q457">
    <cfRule type="containsBlanks" dxfId="1359" priority="2027" stopIfTrue="1">
      <formula>LEN(TRIM(Q457))=0</formula>
    </cfRule>
    <cfRule type="cellIs" dxfId="1358" priority="2028" stopIfTrue="1" operator="between">
      <formula>80.1</formula>
      <formula>100</formula>
    </cfRule>
    <cfRule type="cellIs" dxfId="1357" priority="2029" stopIfTrue="1" operator="between">
      <formula>35.1</formula>
      <formula>80</formula>
    </cfRule>
    <cfRule type="cellIs" dxfId="1356" priority="2030" stopIfTrue="1" operator="between">
      <formula>14.1</formula>
      <formula>35</formula>
    </cfRule>
    <cfRule type="cellIs" dxfId="1355" priority="2031" stopIfTrue="1" operator="between">
      <formula>5.1</formula>
      <formula>14</formula>
    </cfRule>
    <cfRule type="cellIs" dxfId="1354" priority="2032" stopIfTrue="1" operator="between">
      <formula>0</formula>
      <formula>5</formula>
    </cfRule>
    <cfRule type="containsBlanks" dxfId="1353" priority="2033" stopIfTrue="1">
      <formula>LEN(TRIM(Q457))=0</formula>
    </cfRule>
  </conditionalFormatting>
  <conditionalFormatting sqref="Q457">
    <cfRule type="containsBlanks" dxfId="1352" priority="2020" stopIfTrue="1">
      <formula>LEN(TRIM(Q457))=0</formula>
    </cfRule>
    <cfRule type="cellIs" dxfId="1351" priority="2021" stopIfTrue="1" operator="between">
      <formula>80.1</formula>
      <formula>100</formula>
    </cfRule>
    <cfRule type="cellIs" dxfId="1350" priority="2022" stopIfTrue="1" operator="between">
      <formula>35.1</formula>
      <formula>80</formula>
    </cfRule>
    <cfRule type="cellIs" dxfId="1349" priority="2023" stopIfTrue="1" operator="between">
      <formula>14.1</formula>
      <formula>35</formula>
    </cfRule>
    <cfRule type="cellIs" dxfId="1348" priority="2024" stopIfTrue="1" operator="between">
      <formula>5.1</formula>
      <formula>14</formula>
    </cfRule>
    <cfRule type="cellIs" dxfId="1347" priority="2025" stopIfTrue="1" operator="between">
      <formula>0</formula>
      <formula>5</formula>
    </cfRule>
    <cfRule type="containsBlanks" dxfId="1346" priority="2026" stopIfTrue="1">
      <formula>LEN(TRIM(Q457))=0</formula>
    </cfRule>
  </conditionalFormatting>
  <conditionalFormatting sqref="R458">
    <cfRule type="cellIs" dxfId="1345" priority="2018" stopIfTrue="1" operator="equal">
      <formula>"NO"</formula>
    </cfRule>
  </conditionalFormatting>
  <conditionalFormatting sqref="Q458">
    <cfRule type="containsBlanks" dxfId="1344" priority="2005" stopIfTrue="1">
      <formula>LEN(TRIM(Q458))=0</formula>
    </cfRule>
    <cfRule type="cellIs" dxfId="1343" priority="2006" stopIfTrue="1" operator="between">
      <formula>80.1</formula>
      <formula>100</formula>
    </cfRule>
    <cfRule type="cellIs" dxfId="1342" priority="2007" stopIfTrue="1" operator="between">
      <formula>35.1</formula>
      <formula>80</formula>
    </cfRule>
    <cfRule type="cellIs" dxfId="1341" priority="2008" stopIfTrue="1" operator="between">
      <formula>14.1</formula>
      <formula>35</formula>
    </cfRule>
    <cfRule type="cellIs" dxfId="1340" priority="2009" stopIfTrue="1" operator="between">
      <formula>5.1</formula>
      <formula>14</formula>
    </cfRule>
    <cfRule type="cellIs" dxfId="1339" priority="2010" stopIfTrue="1" operator="between">
      <formula>0</formula>
      <formula>5</formula>
    </cfRule>
    <cfRule type="containsBlanks" dxfId="1338" priority="2011" stopIfTrue="1">
      <formula>LEN(TRIM(Q458))=0</formula>
    </cfRule>
  </conditionalFormatting>
  <conditionalFormatting sqref="Q458">
    <cfRule type="containsBlanks" dxfId="1337" priority="1998" stopIfTrue="1">
      <formula>LEN(TRIM(Q458))=0</formula>
    </cfRule>
    <cfRule type="cellIs" dxfId="1336" priority="1999" stopIfTrue="1" operator="between">
      <formula>80.1</formula>
      <formula>100</formula>
    </cfRule>
    <cfRule type="cellIs" dxfId="1335" priority="2000" stopIfTrue="1" operator="between">
      <formula>35.1</formula>
      <formula>80</formula>
    </cfRule>
    <cfRule type="cellIs" dxfId="1334" priority="2001" stopIfTrue="1" operator="between">
      <formula>14.1</formula>
      <formula>35</formula>
    </cfRule>
    <cfRule type="cellIs" dxfId="1333" priority="2002" stopIfTrue="1" operator="between">
      <formula>5.1</formula>
      <formula>14</formula>
    </cfRule>
    <cfRule type="cellIs" dxfId="1332" priority="2003" stopIfTrue="1" operator="between">
      <formula>0</formula>
      <formula>5</formula>
    </cfRule>
    <cfRule type="containsBlanks" dxfId="1331" priority="2004" stopIfTrue="1">
      <formula>LEN(TRIM(Q458))=0</formula>
    </cfRule>
  </conditionalFormatting>
  <conditionalFormatting sqref="R459">
    <cfRule type="cellIs" dxfId="1330" priority="1996" stopIfTrue="1" operator="equal">
      <formula>"NO"</formula>
    </cfRule>
  </conditionalFormatting>
  <conditionalFormatting sqref="Q459">
    <cfRule type="containsBlanks" dxfId="1329" priority="1983" stopIfTrue="1">
      <formula>LEN(TRIM(Q459))=0</formula>
    </cfRule>
    <cfRule type="cellIs" dxfId="1328" priority="1984" stopIfTrue="1" operator="between">
      <formula>80.1</formula>
      <formula>100</formula>
    </cfRule>
    <cfRule type="cellIs" dxfId="1327" priority="1985" stopIfTrue="1" operator="between">
      <formula>35.1</formula>
      <formula>80</formula>
    </cfRule>
    <cfRule type="cellIs" dxfId="1326" priority="1986" stopIfTrue="1" operator="between">
      <formula>14.1</formula>
      <formula>35</formula>
    </cfRule>
    <cfRule type="cellIs" dxfId="1325" priority="1987" stopIfTrue="1" operator="between">
      <formula>5.1</formula>
      <formula>14</formula>
    </cfRule>
    <cfRule type="cellIs" dxfId="1324" priority="1988" stopIfTrue="1" operator="between">
      <formula>0</formula>
      <formula>5</formula>
    </cfRule>
    <cfRule type="containsBlanks" dxfId="1323" priority="1989" stopIfTrue="1">
      <formula>LEN(TRIM(Q459))=0</formula>
    </cfRule>
  </conditionalFormatting>
  <conditionalFormatting sqref="Q459">
    <cfRule type="containsBlanks" dxfId="1322" priority="1976" stopIfTrue="1">
      <formula>LEN(TRIM(Q459))=0</formula>
    </cfRule>
    <cfRule type="cellIs" dxfId="1321" priority="1977" stopIfTrue="1" operator="between">
      <formula>80.1</formula>
      <formula>100</formula>
    </cfRule>
    <cfRule type="cellIs" dxfId="1320" priority="1978" stopIfTrue="1" operator="between">
      <formula>35.1</formula>
      <formula>80</formula>
    </cfRule>
    <cfRule type="cellIs" dxfId="1319" priority="1979" stopIfTrue="1" operator="between">
      <formula>14.1</formula>
      <formula>35</formula>
    </cfRule>
    <cfRule type="cellIs" dxfId="1318" priority="1980" stopIfTrue="1" operator="between">
      <formula>5.1</formula>
      <formula>14</formula>
    </cfRule>
    <cfRule type="cellIs" dxfId="1317" priority="1981" stopIfTrue="1" operator="between">
      <formula>0</formula>
      <formula>5</formula>
    </cfRule>
    <cfRule type="containsBlanks" dxfId="1316" priority="1982" stopIfTrue="1">
      <formula>LEN(TRIM(Q459))=0</formula>
    </cfRule>
  </conditionalFormatting>
  <conditionalFormatting sqref="R460">
    <cfRule type="cellIs" dxfId="1315" priority="1974" stopIfTrue="1" operator="equal">
      <formula>"NO"</formula>
    </cfRule>
  </conditionalFormatting>
  <conditionalFormatting sqref="Q460">
    <cfRule type="containsBlanks" dxfId="1314" priority="1961" stopIfTrue="1">
      <formula>LEN(TRIM(Q460))=0</formula>
    </cfRule>
    <cfRule type="cellIs" dxfId="1313" priority="1962" stopIfTrue="1" operator="between">
      <formula>80.1</formula>
      <formula>100</formula>
    </cfRule>
    <cfRule type="cellIs" dxfId="1312" priority="1963" stopIfTrue="1" operator="between">
      <formula>35.1</formula>
      <formula>80</formula>
    </cfRule>
    <cfRule type="cellIs" dxfId="1311" priority="1964" stopIfTrue="1" operator="between">
      <formula>14.1</formula>
      <formula>35</formula>
    </cfRule>
    <cfRule type="cellIs" dxfId="1310" priority="1965" stopIfTrue="1" operator="between">
      <formula>5.1</formula>
      <formula>14</formula>
    </cfRule>
    <cfRule type="cellIs" dxfId="1309" priority="1966" stopIfTrue="1" operator="between">
      <formula>0</formula>
      <formula>5</formula>
    </cfRule>
    <cfRule type="containsBlanks" dxfId="1308" priority="1967" stopIfTrue="1">
      <formula>LEN(TRIM(Q460))=0</formula>
    </cfRule>
  </conditionalFormatting>
  <conditionalFormatting sqref="Q460">
    <cfRule type="containsBlanks" dxfId="1307" priority="1954" stopIfTrue="1">
      <formula>LEN(TRIM(Q460))=0</formula>
    </cfRule>
    <cfRule type="cellIs" dxfId="1306" priority="1955" stopIfTrue="1" operator="between">
      <formula>80.1</formula>
      <formula>100</formula>
    </cfRule>
    <cfRule type="cellIs" dxfId="1305" priority="1956" stopIfTrue="1" operator="between">
      <formula>35.1</formula>
      <formula>80</formula>
    </cfRule>
    <cfRule type="cellIs" dxfId="1304" priority="1957" stopIfTrue="1" operator="between">
      <formula>14.1</formula>
      <formula>35</formula>
    </cfRule>
    <cfRule type="cellIs" dxfId="1303" priority="1958" stopIfTrue="1" operator="between">
      <formula>5.1</formula>
      <formula>14</formula>
    </cfRule>
    <cfRule type="cellIs" dxfId="1302" priority="1959" stopIfTrue="1" operator="between">
      <formula>0</formula>
      <formula>5</formula>
    </cfRule>
    <cfRule type="containsBlanks" dxfId="1301" priority="1960" stopIfTrue="1">
      <formula>LEN(TRIM(Q460))=0</formula>
    </cfRule>
  </conditionalFormatting>
  <conditionalFormatting sqref="R461">
    <cfRule type="cellIs" dxfId="1300" priority="1952" stopIfTrue="1" operator="equal">
      <formula>"NO"</formula>
    </cfRule>
  </conditionalFormatting>
  <conditionalFormatting sqref="Q461">
    <cfRule type="containsBlanks" dxfId="1299" priority="1939" stopIfTrue="1">
      <formula>LEN(TRIM(Q461))=0</formula>
    </cfRule>
    <cfRule type="cellIs" dxfId="1298" priority="1940" stopIfTrue="1" operator="between">
      <formula>80.1</formula>
      <formula>100</formula>
    </cfRule>
    <cfRule type="cellIs" dxfId="1297" priority="1941" stopIfTrue="1" operator="between">
      <formula>35.1</formula>
      <formula>80</formula>
    </cfRule>
    <cfRule type="cellIs" dxfId="1296" priority="1942" stopIfTrue="1" operator="between">
      <formula>14.1</formula>
      <formula>35</formula>
    </cfRule>
    <cfRule type="cellIs" dxfId="1295" priority="1943" stopIfTrue="1" operator="between">
      <formula>5.1</formula>
      <formula>14</formula>
    </cfRule>
    <cfRule type="cellIs" dxfId="1294" priority="1944" stopIfTrue="1" operator="between">
      <formula>0</formula>
      <formula>5</formula>
    </cfRule>
    <cfRule type="containsBlanks" dxfId="1293" priority="1945" stopIfTrue="1">
      <formula>LEN(TRIM(Q461))=0</formula>
    </cfRule>
  </conditionalFormatting>
  <conditionalFormatting sqref="Q461">
    <cfRule type="containsBlanks" dxfId="1292" priority="1932" stopIfTrue="1">
      <formula>LEN(TRIM(Q461))=0</formula>
    </cfRule>
    <cfRule type="cellIs" dxfId="1291" priority="1933" stopIfTrue="1" operator="between">
      <formula>80.1</formula>
      <formula>100</formula>
    </cfRule>
    <cfRule type="cellIs" dxfId="1290" priority="1934" stopIfTrue="1" operator="between">
      <formula>35.1</formula>
      <formula>80</formula>
    </cfRule>
    <cfRule type="cellIs" dxfId="1289" priority="1935" stopIfTrue="1" operator="between">
      <formula>14.1</formula>
      <formula>35</formula>
    </cfRule>
    <cfRule type="cellIs" dxfId="1288" priority="1936" stopIfTrue="1" operator="between">
      <formula>5.1</formula>
      <formula>14</formula>
    </cfRule>
    <cfRule type="cellIs" dxfId="1287" priority="1937" stopIfTrue="1" operator="between">
      <formula>0</formula>
      <formula>5</formula>
    </cfRule>
    <cfRule type="containsBlanks" dxfId="1286" priority="1938" stopIfTrue="1">
      <formula>LEN(TRIM(Q461))=0</formula>
    </cfRule>
  </conditionalFormatting>
  <conditionalFormatting sqref="R462">
    <cfRule type="cellIs" dxfId="1285" priority="1930" stopIfTrue="1" operator="equal">
      <formula>"NO"</formula>
    </cfRule>
  </conditionalFormatting>
  <conditionalFormatting sqref="Q462">
    <cfRule type="containsBlanks" dxfId="1284" priority="1917" stopIfTrue="1">
      <formula>LEN(TRIM(Q462))=0</formula>
    </cfRule>
    <cfRule type="cellIs" dxfId="1283" priority="1918" stopIfTrue="1" operator="between">
      <formula>80.1</formula>
      <formula>100</formula>
    </cfRule>
    <cfRule type="cellIs" dxfId="1282" priority="1919" stopIfTrue="1" operator="between">
      <formula>35.1</formula>
      <formula>80</formula>
    </cfRule>
    <cfRule type="cellIs" dxfId="1281" priority="1920" stopIfTrue="1" operator="between">
      <formula>14.1</formula>
      <formula>35</formula>
    </cfRule>
    <cfRule type="cellIs" dxfId="1280" priority="1921" stopIfTrue="1" operator="between">
      <formula>5.1</formula>
      <formula>14</formula>
    </cfRule>
    <cfRule type="cellIs" dxfId="1279" priority="1922" stopIfTrue="1" operator="between">
      <formula>0</formula>
      <formula>5</formula>
    </cfRule>
    <cfRule type="containsBlanks" dxfId="1278" priority="1923" stopIfTrue="1">
      <formula>LEN(TRIM(Q462))=0</formula>
    </cfRule>
  </conditionalFormatting>
  <conditionalFormatting sqref="Q462">
    <cfRule type="containsBlanks" dxfId="1277" priority="1910" stopIfTrue="1">
      <formula>LEN(TRIM(Q462))=0</formula>
    </cfRule>
    <cfRule type="cellIs" dxfId="1276" priority="1911" stopIfTrue="1" operator="between">
      <formula>80.1</formula>
      <formula>100</formula>
    </cfRule>
    <cfRule type="cellIs" dxfId="1275" priority="1912" stopIfTrue="1" operator="between">
      <formula>35.1</formula>
      <formula>80</formula>
    </cfRule>
    <cfRule type="cellIs" dxfId="1274" priority="1913" stopIfTrue="1" operator="between">
      <formula>14.1</formula>
      <formula>35</formula>
    </cfRule>
    <cfRule type="cellIs" dxfId="1273" priority="1914" stopIfTrue="1" operator="between">
      <formula>5.1</formula>
      <formula>14</formula>
    </cfRule>
    <cfRule type="cellIs" dxfId="1272" priority="1915" stopIfTrue="1" operator="between">
      <formula>0</formula>
      <formula>5</formula>
    </cfRule>
    <cfRule type="containsBlanks" dxfId="1271" priority="1916" stopIfTrue="1">
      <formula>LEN(TRIM(Q462))=0</formula>
    </cfRule>
  </conditionalFormatting>
  <conditionalFormatting sqref="R463">
    <cfRule type="cellIs" dxfId="1270" priority="1908" stopIfTrue="1" operator="equal">
      <formula>"NO"</formula>
    </cfRule>
  </conditionalFormatting>
  <conditionalFormatting sqref="Q463">
    <cfRule type="containsBlanks" dxfId="1269" priority="1895" stopIfTrue="1">
      <formula>LEN(TRIM(Q463))=0</formula>
    </cfRule>
    <cfRule type="cellIs" dxfId="1268" priority="1896" stopIfTrue="1" operator="between">
      <formula>80.1</formula>
      <formula>100</formula>
    </cfRule>
    <cfRule type="cellIs" dxfId="1267" priority="1897" stopIfTrue="1" operator="between">
      <formula>35.1</formula>
      <formula>80</formula>
    </cfRule>
    <cfRule type="cellIs" dxfId="1266" priority="1898" stopIfTrue="1" operator="between">
      <formula>14.1</formula>
      <formula>35</formula>
    </cfRule>
    <cfRule type="cellIs" dxfId="1265" priority="1899" stopIfTrue="1" operator="between">
      <formula>5.1</formula>
      <formula>14</formula>
    </cfRule>
    <cfRule type="cellIs" dxfId="1264" priority="1900" stopIfTrue="1" operator="between">
      <formula>0</formula>
      <formula>5</formula>
    </cfRule>
    <cfRule type="containsBlanks" dxfId="1263" priority="1901" stopIfTrue="1">
      <formula>LEN(TRIM(Q463))=0</formula>
    </cfRule>
  </conditionalFormatting>
  <conditionalFormatting sqref="Q463">
    <cfRule type="containsBlanks" dxfId="1262" priority="1888" stopIfTrue="1">
      <formula>LEN(TRIM(Q463))=0</formula>
    </cfRule>
    <cfRule type="cellIs" dxfId="1261" priority="1889" stopIfTrue="1" operator="between">
      <formula>80.1</formula>
      <formula>100</formula>
    </cfRule>
    <cfRule type="cellIs" dxfId="1260" priority="1890" stopIfTrue="1" operator="between">
      <formula>35.1</formula>
      <formula>80</formula>
    </cfRule>
    <cfRule type="cellIs" dxfId="1259" priority="1891" stopIfTrue="1" operator="between">
      <formula>14.1</formula>
      <formula>35</formula>
    </cfRule>
    <cfRule type="cellIs" dxfId="1258" priority="1892" stopIfTrue="1" operator="between">
      <formula>5.1</formula>
      <formula>14</formula>
    </cfRule>
    <cfRule type="cellIs" dxfId="1257" priority="1893" stopIfTrue="1" operator="between">
      <formula>0</formula>
      <formula>5</formula>
    </cfRule>
    <cfRule type="containsBlanks" dxfId="1256" priority="1894" stopIfTrue="1">
      <formula>LEN(TRIM(Q463))=0</formula>
    </cfRule>
  </conditionalFormatting>
  <conditionalFormatting sqref="R464">
    <cfRule type="cellIs" dxfId="1255" priority="1886" stopIfTrue="1" operator="equal">
      <formula>"NO"</formula>
    </cfRule>
  </conditionalFormatting>
  <conditionalFormatting sqref="Q464">
    <cfRule type="containsBlanks" dxfId="1254" priority="1873" stopIfTrue="1">
      <formula>LEN(TRIM(Q464))=0</formula>
    </cfRule>
    <cfRule type="cellIs" dxfId="1253" priority="1874" stopIfTrue="1" operator="between">
      <formula>80.1</formula>
      <formula>100</formula>
    </cfRule>
    <cfRule type="cellIs" dxfId="1252" priority="1875" stopIfTrue="1" operator="between">
      <formula>35.1</formula>
      <formula>80</formula>
    </cfRule>
    <cfRule type="cellIs" dxfId="1251" priority="1876" stopIfTrue="1" operator="between">
      <formula>14.1</formula>
      <formula>35</formula>
    </cfRule>
    <cfRule type="cellIs" dxfId="1250" priority="1877" stopIfTrue="1" operator="between">
      <formula>5.1</formula>
      <formula>14</formula>
    </cfRule>
    <cfRule type="cellIs" dxfId="1249" priority="1878" stopIfTrue="1" operator="between">
      <formula>0</formula>
      <formula>5</formula>
    </cfRule>
    <cfRule type="containsBlanks" dxfId="1248" priority="1879" stopIfTrue="1">
      <formula>LEN(TRIM(Q464))=0</formula>
    </cfRule>
  </conditionalFormatting>
  <conditionalFormatting sqref="Q464">
    <cfRule type="containsBlanks" dxfId="1247" priority="1866" stopIfTrue="1">
      <formula>LEN(TRIM(Q464))=0</formula>
    </cfRule>
    <cfRule type="cellIs" dxfId="1246" priority="1867" stopIfTrue="1" operator="between">
      <formula>80.1</formula>
      <formula>100</formula>
    </cfRule>
    <cfRule type="cellIs" dxfId="1245" priority="1868" stopIfTrue="1" operator="between">
      <formula>35.1</formula>
      <formula>80</formula>
    </cfRule>
    <cfRule type="cellIs" dxfId="1244" priority="1869" stopIfTrue="1" operator="between">
      <formula>14.1</formula>
      <formula>35</formula>
    </cfRule>
    <cfRule type="cellIs" dxfId="1243" priority="1870" stopIfTrue="1" operator="between">
      <formula>5.1</formula>
      <formula>14</formula>
    </cfRule>
    <cfRule type="cellIs" dxfId="1242" priority="1871" stopIfTrue="1" operator="between">
      <formula>0</formula>
      <formula>5</formula>
    </cfRule>
    <cfRule type="containsBlanks" dxfId="1241" priority="1872" stopIfTrue="1">
      <formula>LEN(TRIM(Q464))=0</formula>
    </cfRule>
  </conditionalFormatting>
  <conditionalFormatting sqref="R465">
    <cfRule type="cellIs" dxfId="1240" priority="1842" stopIfTrue="1" operator="equal">
      <formula>"NO"</formula>
    </cfRule>
  </conditionalFormatting>
  <conditionalFormatting sqref="Q465">
    <cfRule type="containsBlanks" dxfId="1239" priority="1829" stopIfTrue="1">
      <formula>LEN(TRIM(Q465))=0</formula>
    </cfRule>
    <cfRule type="cellIs" dxfId="1238" priority="1830" stopIfTrue="1" operator="between">
      <formula>80.1</formula>
      <formula>100</formula>
    </cfRule>
    <cfRule type="cellIs" dxfId="1237" priority="1831" stopIfTrue="1" operator="between">
      <formula>35.1</formula>
      <formula>80</formula>
    </cfRule>
    <cfRule type="cellIs" dxfId="1236" priority="1832" stopIfTrue="1" operator="between">
      <formula>14.1</formula>
      <formula>35</formula>
    </cfRule>
    <cfRule type="cellIs" dxfId="1235" priority="1833" stopIfTrue="1" operator="between">
      <formula>5.1</formula>
      <formula>14</formula>
    </cfRule>
    <cfRule type="cellIs" dxfId="1234" priority="1834" stopIfTrue="1" operator="between">
      <formula>0</formula>
      <formula>5</formula>
    </cfRule>
    <cfRule type="containsBlanks" dxfId="1233" priority="1835" stopIfTrue="1">
      <formula>LEN(TRIM(Q465))=0</formula>
    </cfRule>
  </conditionalFormatting>
  <conditionalFormatting sqref="Q465">
    <cfRule type="containsBlanks" dxfId="1232" priority="1822" stopIfTrue="1">
      <formula>LEN(TRIM(Q465))=0</formula>
    </cfRule>
    <cfRule type="cellIs" dxfId="1231" priority="1823" stopIfTrue="1" operator="between">
      <formula>80.1</formula>
      <formula>100</formula>
    </cfRule>
    <cfRule type="cellIs" dxfId="1230" priority="1824" stopIfTrue="1" operator="between">
      <formula>35.1</formula>
      <formula>80</formula>
    </cfRule>
    <cfRule type="cellIs" dxfId="1229" priority="1825" stopIfTrue="1" operator="between">
      <formula>14.1</formula>
      <formula>35</formula>
    </cfRule>
    <cfRule type="cellIs" dxfId="1228" priority="1826" stopIfTrue="1" operator="between">
      <formula>5.1</formula>
      <formula>14</formula>
    </cfRule>
    <cfRule type="cellIs" dxfId="1227" priority="1827" stopIfTrue="1" operator="between">
      <formula>0</formula>
      <formula>5</formula>
    </cfRule>
    <cfRule type="containsBlanks" dxfId="1226" priority="1828" stopIfTrue="1">
      <formula>LEN(TRIM(Q465))=0</formula>
    </cfRule>
  </conditionalFormatting>
  <conditionalFormatting sqref="R466">
    <cfRule type="cellIs" dxfId="1225" priority="1710" stopIfTrue="1" operator="equal">
      <formula>"NO"</formula>
    </cfRule>
  </conditionalFormatting>
  <conditionalFormatting sqref="Q466">
    <cfRule type="containsBlanks" dxfId="1224" priority="1697" stopIfTrue="1">
      <formula>LEN(TRIM(Q466))=0</formula>
    </cfRule>
    <cfRule type="cellIs" dxfId="1223" priority="1698" stopIfTrue="1" operator="between">
      <formula>80.1</formula>
      <formula>100</formula>
    </cfRule>
    <cfRule type="cellIs" dxfId="1222" priority="1699" stopIfTrue="1" operator="between">
      <formula>35.1</formula>
      <formula>80</formula>
    </cfRule>
    <cfRule type="cellIs" dxfId="1221" priority="1700" stopIfTrue="1" operator="between">
      <formula>14.1</formula>
      <formula>35</formula>
    </cfRule>
    <cfRule type="cellIs" dxfId="1220" priority="1701" stopIfTrue="1" operator="between">
      <formula>5.1</formula>
      <formula>14</formula>
    </cfRule>
    <cfRule type="cellIs" dxfId="1219" priority="1702" stopIfTrue="1" operator="between">
      <formula>0</formula>
      <formula>5</formula>
    </cfRule>
    <cfRule type="containsBlanks" dxfId="1218" priority="1703" stopIfTrue="1">
      <formula>LEN(TRIM(Q466))=0</formula>
    </cfRule>
  </conditionalFormatting>
  <conditionalFormatting sqref="Q466">
    <cfRule type="containsBlanks" dxfId="1217" priority="1690" stopIfTrue="1">
      <formula>LEN(TRIM(Q466))=0</formula>
    </cfRule>
    <cfRule type="cellIs" dxfId="1216" priority="1691" stopIfTrue="1" operator="between">
      <formula>80.1</formula>
      <formula>100</formula>
    </cfRule>
    <cfRule type="cellIs" dxfId="1215" priority="1692" stopIfTrue="1" operator="between">
      <formula>35.1</formula>
      <formula>80</formula>
    </cfRule>
    <cfRule type="cellIs" dxfId="1214" priority="1693" stopIfTrue="1" operator="between">
      <formula>14.1</formula>
      <formula>35</formula>
    </cfRule>
    <cfRule type="cellIs" dxfId="1213" priority="1694" stopIfTrue="1" operator="between">
      <formula>5.1</formula>
      <formula>14</formula>
    </cfRule>
    <cfRule type="cellIs" dxfId="1212" priority="1695" stopIfTrue="1" operator="between">
      <formula>0</formula>
      <formula>5</formula>
    </cfRule>
    <cfRule type="containsBlanks" dxfId="1211" priority="1696" stopIfTrue="1">
      <formula>LEN(TRIM(Q466))=0</formula>
    </cfRule>
  </conditionalFormatting>
  <conditionalFormatting sqref="R467">
    <cfRule type="cellIs" dxfId="1210" priority="1644" stopIfTrue="1" operator="equal">
      <formula>"NO"</formula>
    </cfRule>
  </conditionalFormatting>
  <conditionalFormatting sqref="Q467">
    <cfRule type="containsBlanks" dxfId="1209" priority="1631" stopIfTrue="1">
      <formula>LEN(TRIM(Q467))=0</formula>
    </cfRule>
    <cfRule type="cellIs" dxfId="1208" priority="1632" stopIfTrue="1" operator="between">
      <formula>80.1</formula>
      <formula>100</formula>
    </cfRule>
    <cfRule type="cellIs" dxfId="1207" priority="1633" stopIfTrue="1" operator="between">
      <formula>35.1</formula>
      <formula>80</formula>
    </cfRule>
    <cfRule type="cellIs" dxfId="1206" priority="1634" stopIfTrue="1" operator="between">
      <formula>14.1</formula>
      <formula>35</formula>
    </cfRule>
    <cfRule type="cellIs" dxfId="1205" priority="1635" stopIfTrue="1" operator="between">
      <formula>5.1</formula>
      <formula>14</formula>
    </cfRule>
    <cfRule type="cellIs" dxfId="1204" priority="1636" stopIfTrue="1" operator="between">
      <formula>0</formula>
      <formula>5</formula>
    </cfRule>
    <cfRule type="containsBlanks" dxfId="1203" priority="1637" stopIfTrue="1">
      <formula>LEN(TRIM(Q467))=0</formula>
    </cfRule>
  </conditionalFormatting>
  <conditionalFormatting sqref="Q467">
    <cfRule type="containsBlanks" dxfId="1202" priority="1624" stopIfTrue="1">
      <formula>LEN(TRIM(Q467))=0</formula>
    </cfRule>
    <cfRule type="cellIs" dxfId="1201" priority="1625" stopIfTrue="1" operator="between">
      <formula>80.1</formula>
      <formula>100</formula>
    </cfRule>
    <cfRule type="cellIs" dxfId="1200" priority="1626" stopIfTrue="1" operator="between">
      <formula>35.1</formula>
      <formula>80</formula>
    </cfRule>
    <cfRule type="cellIs" dxfId="1199" priority="1627" stopIfTrue="1" operator="between">
      <formula>14.1</formula>
      <formula>35</formula>
    </cfRule>
    <cfRule type="cellIs" dxfId="1198" priority="1628" stopIfTrue="1" operator="between">
      <formula>5.1</formula>
      <formula>14</formula>
    </cfRule>
    <cfRule type="cellIs" dxfId="1197" priority="1629" stopIfTrue="1" operator="between">
      <formula>0</formula>
      <formula>5</formula>
    </cfRule>
    <cfRule type="containsBlanks" dxfId="1196" priority="1630" stopIfTrue="1">
      <formula>LEN(TRIM(Q467))=0</formula>
    </cfRule>
  </conditionalFormatting>
  <conditionalFormatting sqref="R468">
    <cfRule type="cellIs" dxfId="1195" priority="1622" stopIfTrue="1" operator="equal">
      <formula>"NO"</formula>
    </cfRule>
  </conditionalFormatting>
  <conditionalFormatting sqref="Q468">
    <cfRule type="containsBlanks" dxfId="1194" priority="1609" stopIfTrue="1">
      <formula>LEN(TRIM(Q468))=0</formula>
    </cfRule>
    <cfRule type="cellIs" dxfId="1193" priority="1610" stopIfTrue="1" operator="between">
      <formula>80.1</formula>
      <formula>100</formula>
    </cfRule>
    <cfRule type="cellIs" dxfId="1192" priority="1611" stopIfTrue="1" operator="between">
      <formula>35.1</formula>
      <formula>80</formula>
    </cfRule>
    <cfRule type="cellIs" dxfId="1191" priority="1612" stopIfTrue="1" operator="between">
      <formula>14.1</formula>
      <formula>35</formula>
    </cfRule>
    <cfRule type="cellIs" dxfId="1190" priority="1613" stopIfTrue="1" operator="between">
      <formula>5.1</formula>
      <formula>14</formula>
    </cfRule>
    <cfRule type="cellIs" dxfId="1189" priority="1614" stopIfTrue="1" operator="between">
      <formula>0</formula>
      <formula>5</formula>
    </cfRule>
    <cfRule type="containsBlanks" dxfId="1188" priority="1615" stopIfTrue="1">
      <formula>LEN(TRIM(Q468))=0</formula>
    </cfRule>
  </conditionalFormatting>
  <conditionalFormatting sqref="Q468">
    <cfRule type="containsBlanks" dxfId="1187" priority="1602" stopIfTrue="1">
      <formula>LEN(TRIM(Q468))=0</formula>
    </cfRule>
    <cfRule type="cellIs" dxfId="1186" priority="1603" stopIfTrue="1" operator="between">
      <formula>80.1</formula>
      <formula>100</formula>
    </cfRule>
    <cfRule type="cellIs" dxfId="1185" priority="1604" stopIfTrue="1" operator="between">
      <formula>35.1</formula>
      <formula>80</formula>
    </cfRule>
    <cfRule type="cellIs" dxfId="1184" priority="1605" stopIfTrue="1" operator="between">
      <formula>14.1</formula>
      <formula>35</formula>
    </cfRule>
    <cfRule type="cellIs" dxfId="1183" priority="1606" stopIfTrue="1" operator="between">
      <formula>5.1</formula>
      <formula>14</formula>
    </cfRule>
    <cfRule type="cellIs" dxfId="1182" priority="1607" stopIfTrue="1" operator="between">
      <formula>0</formula>
      <formula>5</formula>
    </cfRule>
    <cfRule type="containsBlanks" dxfId="1181" priority="1608" stopIfTrue="1">
      <formula>LEN(TRIM(Q468))=0</formula>
    </cfRule>
  </conditionalFormatting>
  <conditionalFormatting sqref="R469">
    <cfRule type="cellIs" dxfId="1180" priority="1534" stopIfTrue="1" operator="equal">
      <formula>"NO"</formula>
    </cfRule>
  </conditionalFormatting>
  <conditionalFormatting sqref="Q469">
    <cfRule type="containsBlanks" dxfId="1179" priority="1521" stopIfTrue="1">
      <formula>LEN(TRIM(Q469))=0</formula>
    </cfRule>
    <cfRule type="cellIs" dxfId="1178" priority="1522" stopIfTrue="1" operator="between">
      <formula>80.1</formula>
      <formula>100</formula>
    </cfRule>
    <cfRule type="cellIs" dxfId="1177" priority="1523" stopIfTrue="1" operator="between">
      <formula>35.1</formula>
      <formula>80</formula>
    </cfRule>
    <cfRule type="cellIs" dxfId="1176" priority="1524" stopIfTrue="1" operator="between">
      <formula>14.1</formula>
      <formula>35</formula>
    </cfRule>
    <cfRule type="cellIs" dxfId="1175" priority="1525" stopIfTrue="1" operator="between">
      <formula>5.1</formula>
      <formula>14</formula>
    </cfRule>
    <cfRule type="cellIs" dxfId="1174" priority="1526" stopIfTrue="1" operator="between">
      <formula>0</formula>
      <formula>5</formula>
    </cfRule>
    <cfRule type="containsBlanks" dxfId="1173" priority="1527" stopIfTrue="1">
      <formula>LEN(TRIM(Q469))=0</formula>
    </cfRule>
  </conditionalFormatting>
  <conditionalFormatting sqref="Q469">
    <cfRule type="containsBlanks" dxfId="1172" priority="1514" stopIfTrue="1">
      <formula>LEN(TRIM(Q469))=0</formula>
    </cfRule>
    <cfRule type="cellIs" dxfId="1171" priority="1515" stopIfTrue="1" operator="between">
      <formula>80.1</formula>
      <formula>100</formula>
    </cfRule>
    <cfRule type="cellIs" dxfId="1170" priority="1516" stopIfTrue="1" operator="between">
      <formula>35.1</formula>
      <formula>80</formula>
    </cfRule>
    <cfRule type="cellIs" dxfId="1169" priority="1517" stopIfTrue="1" operator="between">
      <formula>14.1</formula>
      <formula>35</formula>
    </cfRule>
    <cfRule type="cellIs" dxfId="1168" priority="1518" stopIfTrue="1" operator="between">
      <formula>5.1</formula>
      <formula>14</formula>
    </cfRule>
    <cfRule type="cellIs" dxfId="1167" priority="1519" stopIfTrue="1" operator="between">
      <formula>0</formula>
      <formula>5</formula>
    </cfRule>
    <cfRule type="containsBlanks" dxfId="1166" priority="1520" stopIfTrue="1">
      <formula>LEN(TRIM(Q469))=0</formula>
    </cfRule>
  </conditionalFormatting>
  <conditionalFormatting sqref="R470">
    <cfRule type="cellIs" dxfId="1165" priority="1512" stopIfTrue="1" operator="equal">
      <formula>"NO"</formula>
    </cfRule>
  </conditionalFormatting>
  <conditionalFormatting sqref="Q470">
    <cfRule type="containsBlanks" dxfId="1164" priority="1499" stopIfTrue="1">
      <formula>LEN(TRIM(Q470))=0</formula>
    </cfRule>
    <cfRule type="cellIs" dxfId="1163" priority="1500" stopIfTrue="1" operator="between">
      <formula>80.1</formula>
      <formula>100</formula>
    </cfRule>
    <cfRule type="cellIs" dxfId="1162" priority="1501" stopIfTrue="1" operator="between">
      <formula>35.1</formula>
      <formula>80</formula>
    </cfRule>
    <cfRule type="cellIs" dxfId="1161" priority="1502" stopIfTrue="1" operator="between">
      <formula>14.1</formula>
      <formula>35</formula>
    </cfRule>
    <cfRule type="cellIs" dxfId="1160" priority="1503" stopIfTrue="1" operator="between">
      <formula>5.1</formula>
      <formula>14</formula>
    </cfRule>
    <cfRule type="cellIs" dxfId="1159" priority="1504" stopIfTrue="1" operator="between">
      <formula>0</formula>
      <formula>5</formula>
    </cfRule>
    <cfRule type="containsBlanks" dxfId="1158" priority="1505" stopIfTrue="1">
      <formula>LEN(TRIM(Q470))=0</formula>
    </cfRule>
  </conditionalFormatting>
  <conditionalFormatting sqref="Q470">
    <cfRule type="containsBlanks" dxfId="1157" priority="1492" stopIfTrue="1">
      <formula>LEN(TRIM(Q470))=0</formula>
    </cfRule>
    <cfRule type="cellIs" dxfId="1156" priority="1493" stopIfTrue="1" operator="between">
      <formula>80.1</formula>
      <formula>100</formula>
    </cfRule>
    <cfRule type="cellIs" dxfId="1155" priority="1494" stopIfTrue="1" operator="between">
      <formula>35.1</formula>
      <formula>80</formula>
    </cfRule>
    <cfRule type="cellIs" dxfId="1154" priority="1495" stopIfTrue="1" operator="between">
      <formula>14.1</formula>
      <formula>35</formula>
    </cfRule>
    <cfRule type="cellIs" dxfId="1153" priority="1496" stopIfTrue="1" operator="between">
      <formula>5.1</formula>
      <formula>14</formula>
    </cfRule>
    <cfRule type="cellIs" dxfId="1152" priority="1497" stopIfTrue="1" operator="between">
      <formula>0</formula>
      <formula>5</formula>
    </cfRule>
    <cfRule type="containsBlanks" dxfId="1151" priority="1498" stopIfTrue="1">
      <formula>LEN(TRIM(Q470))=0</formula>
    </cfRule>
  </conditionalFormatting>
  <conditionalFormatting sqref="R471">
    <cfRule type="cellIs" dxfId="1150" priority="1490" stopIfTrue="1" operator="equal">
      <formula>"NO"</formula>
    </cfRule>
  </conditionalFormatting>
  <conditionalFormatting sqref="Q471">
    <cfRule type="containsBlanks" dxfId="1149" priority="1477" stopIfTrue="1">
      <formula>LEN(TRIM(Q471))=0</formula>
    </cfRule>
    <cfRule type="cellIs" dxfId="1148" priority="1478" stopIfTrue="1" operator="between">
      <formula>80.1</formula>
      <formula>100</formula>
    </cfRule>
    <cfRule type="cellIs" dxfId="1147" priority="1479" stopIfTrue="1" operator="between">
      <formula>35.1</formula>
      <formula>80</formula>
    </cfRule>
    <cfRule type="cellIs" dxfId="1146" priority="1480" stopIfTrue="1" operator="between">
      <formula>14.1</formula>
      <formula>35</formula>
    </cfRule>
    <cfRule type="cellIs" dxfId="1145" priority="1481" stopIfTrue="1" operator="between">
      <formula>5.1</formula>
      <formula>14</formula>
    </cfRule>
    <cfRule type="cellIs" dxfId="1144" priority="1482" stopIfTrue="1" operator="between">
      <formula>0</formula>
      <formula>5</formula>
    </cfRule>
    <cfRule type="containsBlanks" dxfId="1143" priority="1483" stopIfTrue="1">
      <formula>LEN(TRIM(Q471))=0</formula>
    </cfRule>
  </conditionalFormatting>
  <conditionalFormatting sqref="Q471">
    <cfRule type="containsBlanks" dxfId="1142" priority="1470" stopIfTrue="1">
      <formula>LEN(TRIM(Q471))=0</formula>
    </cfRule>
    <cfRule type="cellIs" dxfId="1141" priority="1471" stopIfTrue="1" operator="between">
      <formula>80.1</formula>
      <formula>100</formula>
    </cfRule>
    <cfRule type="cellIs" dxfId="1140" priority="1472" stopIfTrue="1" operator="between">
      <formula>35.1</formula>
      <formula>80</formula>
    </cfRule>
    <cfRule type="cellIs" dxfId="1139" priority="1473" stopIfTrue="1" operator="between">
      <formula>14.1</formula>
      <formula>35</formula>
    </cfRule>
    <cfRule type="cellIs" dxfId="1138" priority="1474" stopIfTrue="1" operator="between">
      <formula>5.1</formula>
      <formula>14</formula>
    </cfRule>
    <cfRule type="cellIs" dxfId="1137" priority="1475" stopIfTrue="1" operator="between">
      <formula>0</formula>
      <formula>5</formula>
    </cfRule>
    <cfRule type="containsBlanks" dxfId="1136" priority="1476" stopIfTrue="1">
      <formula>LEN(TRIM(Q471))=0</formula>
    </cfRule>
  </conditionalFormatting>
  <conditionalFormatting sqref="R472">
    <cfRule type="cellIs" dxfId="1135" priority="1468" stopIfTrue="1" operator="equal">
      <formula>"NO"</formula>
    </cfRule>
  </conditionalFormatting>
  <conditionalFormatting sqref="Q472">
    <cfRule type="containsBlanks" dxfId="1134" priority="1455" stopIfTrue="1">
      <formula>LEN(TRIM(Q472))=0</formula>
    </cfRule>
    <cfRule type="cellIs" dxfId="1133" priority="1456" stopIfTrue="1" operator="between">
      <formula>80.1</formula>
      <formula>100</formula>
    </cfRule>
    <cfRule type="cellIs" dxfId="1132" priority="1457" stopIfTrue="1" operator="between">
      <formula>35.1</formula>
      <formula>80</formula>
    </cfRule>
    <cfRule type="cellIs" dxfId="1131" priority="1458" stopIfTrue="1" operator="between">
      <formula>14.1</formula>
      <formula>35</formula>
    </cfRule>
    <cfRule type="cellIs" dxfId="1130" priority="1459" stopIfTrue="1" operator="between">
      <formula>5.1</formula>
      <formula>14</formula>
    </cfRule>
    <cfRule type="cellIs" dxfId="1129" priority="1460" stopIfTrue="1" operator="between">
      <formula>0</formula>
      <formula>5</formula>
    </cfRule>
    <cfRule type="containsBlanks" dxfId="1128" priority="1461" stopIfTrue="1">
      <formula>LEN(TRIM(Q472))=0</formula>
    </cfRule>
  </conditionalFormatting>
  <conditionalFormatting sqref="Q472">
    <cfRule type="containsBlanks" dxfId="1127" priority="1448" stopIfTrue="1">
      <formula>LEN(TRIM(Q472))=0</formula>
    </cfRule>
    <cfRule type="cellIs" dxfId="1126" priority="1449" stopIfTrue="1" operator="between">
      <formula>80.1</formula>
      <formula>100</formula>
    </cfRule>
    <cfRule type="cellIs" dxfId="1125" priority="1450" stopIfTrue="1" operator="between">
      <formula>35.1</formula>
      <formula>80</formula>
    </cfRule>
    <cfRule type="cellIs" dxfId="1124" priority="1451" stopIfTrue="1" operator="between">
      <formula>14.1</formula>
      <formula>35</formula>
    </cfRule>
    <cfRule type="cellIs" dxfId="1123" priority="1452" stopIfTrue="1" operator="between">
      <formula>5.1</formula>
      <formula>14</formula>
    </cfRule>
    <cfRule type="cellIs" dxfId="1122" priority="1453" stopIfTrue="1" operator="between">
      <formula>0</formula>
      <formula>5</formula>
    </cfRule>
    <cfRule type="containsBlanks" dxfId="1121" priority="1454" stopIfTrue="1">
      <formula>LEN(TRIM(Q472))=0</formula>
    </cfRule>
  </conditionalFormatting>
  <conditionalFormatting sqref="R473">
    <cfRule type="cellIs" dxfId="1120" priority="1446" stopIfTrue="1" operator="equal">
      <formula>"NO"</formula>
    </cfRule>
  </conditionalFormatting>
  <conditionalFormatting sqref="Q473">
    <cfRule type="containsBlanks" dxfId="1119" priority="1433" stopIfTrue="1">
      <formula>LEN(TRIM(Q473))=0</formula>
    </cfRule>
    <cfRule type="cellIs" dxfId="1118" priority="1434" stopIfTrue="1" operator="between">
      <formula>80.1</formula>
      <formula>100</formula>
    </cfRule>
    <cfRule type="cellIs" dxfId="1117" priority="1435" stopIfTrue="1" operator="between">
      <formula>35.1</formula>
      <formula>80</formula>
    </cfRule>
    <cfRule type="cellIs" dxfId="1116" priority="1436" stopIfTrue="1" operator="between">
      <formula>14.1</formula>
      <formula>35</formula>
    </cfRule>
    <cfRule type="cellIs" dxfId="1115" priority="1437" stopIfTrue="1" operator="between">
      <formula>5.1</formula>
      <formula>14</formula>
    </cfRule>
    <cfRule type="cellIs" dxfId="1114" priority="1438" stopIfTrue="1" operator="between">
      <formula>0</formula>
      <formula>5</formula>
    </cfRule>
    <cfRule type="containsBlanks" dxfId="1113" priority="1439" stopIfTrue="1">
      <formula>LEN(TRIM(Q473))=0</formula>
    </cfRule>
  </conditionalFormatting>
  <conditionalFormatting sqref="Q473">
    <cfRule type="containsBlanks" dxfId="1112" priority="1426" stopIfTrue="1">
      <formula>LEN(TRIM(Q473))=0</formula>
    </cfRule>
    <cfRule type="cellIs" dxfId="1111" priority="1427" stopIfTrue="1" operator="between">
      <formula>80.1</formula>
      <formula>100</formula>
    </cfRule>
    <cfRule type="cellIs" dxfId="1110" priority="1428" stopIfTrue="1" operator="between">
      <formula>35.1</formula>
      <formula>80</formula>
    </cfRule>
    <cfRule type="cellIs" dxfId="1109" priority="1429" stopIfTrue="1" operator="between">
      <formula>14.1</formula>
      <formula>35</formula>
    </cfRule>
    <cfRule type="cellIs" dxfId="1108" priority="1430" stopIfTrue="1" operator="between">
      <formula>5.1</formula>
      <formula>14</formula>
    </cfRule>
    <cfRule type="cellIs" dxfId="1107" priority="1431" stopIfTrue="1" operator="between">
      <formula>0</formula>
      <formula>5</formula>
    </cfRule>
    <cfRule type="containsBlanks" dxfId="1106" priority="1432" stopIfTrue="1">
      <formula>LEN(TRIM(Q473))=0</formula>
    </cfRule>
  </conditionalFormatting>
  <conditionalFormatting sqref="R474">
    <cfRule type="cellIs" dxfId="1105" priority="1424" stopIfTrue="1" operator="equal">
      <formula>"NO"</formula>
    </cfRule>
  </conditionalFormatting>
  <conditionalFormatting sqref="Q474">
    <cfRule type="containsBlanks" dxfId="1104" priority="1411" stopIfTrue="1">
      <formula>LEN(TRIM(Q474))=0</formula>
    </cfRule>
    <cfRule type="cellIs" dxfId="1103" priority="1412" stopIfTrue="1" operator="between">
      <formula>80.1</formula>
      <formula>100</formula>
    </cfRule>
    <cfRule type="cellIs" dxfId="1102" priority="1413" stopIfTrue="1" operator="between">
      <formula>35.1</formula>
      <formula>80</formula>
    </cfRule>
    <cfRule type="cellIs" dxfId="1101" priority="1414" stopIfTrue="1" operator="between">
      <formula>14.1</formula>
      <formula>35</formula>
    </cfRule>
    <cfRule type="cellIs" dxfId="1100" priority="1415" stopIfTrue="1" operator="between">
      <formula>5.1</formula>
      <formula>14</formula>
    </cfRule>
    <cfRule type="cellIs" dxfId="1099" priority="1416" stopIfTrue="1" operator="between">
      <formula>0</formula>
      <formula>5</formula>
    </cfRule>
    <cfRule type="containsBlanks" dxfId="1098" priority="1417" stopIfTrue="1">
      <formula>LEN(TRIM(Q474))=0</formula>
    </cfRule>
  </conditionalFormatting>
  <conditionalFormatting sqref="Q474">
    <cfRule type="containsBlanks" dxfId="1097" priority="1404" stopIfTrue="1">
      <formula>LEN(TRIM(Q474))=0</formula>
    </cfRule>
    <cfRule type="cellIs" dxfId="1096" priority="1405" stopIfTrue="1" operator="between">
      <formula>80.1</formula>
      <formula>100</formula>
    </cfRule>
    <cfRule type="cellIs" dxfId="1095" priority="1406" stopIfTrue="1" operator="between">
      <formula>35.1</formula>
      <formula>80</formula>
    </cfRule>
    <cfRule type="cellIs" dxfId="1094" priority="1407" stopIfTrue="1" operator="between">
      <formula>14.1</formula>
      <formula>35</formula>
    </cfRule>
    <cfRule type="cellIs" dxfId="1093" priority="1408" stopIfTrue="1" operator="between">
      <formula>5.1</formula>
      <formula>14</formula>
    </cfRule>
    <cfRule type="cellIs" dxfId="1092" priority="1409" stopIfTrue="1" operator="between">
      <formula>0</formula>
      <formula>5</formula>
    </cfRule>
    <cfRule type="containsBlanks" dxfId="1091" priority="1410" stopIfTrue="1">
      <formula>LEN(TRIM(Q474))=0</formula>
    </cfRule>
  </conditionalFormatting>
  <conditionalFormatting sqref="R475">
    <cfRule type="cellIs" dxfId="1090" priority="1402" stopIfTrue="1" operator="equal">
      <formula>"NO"</formula>
    </cfRule>
  </conditionalFormatting>
  <conditionalFormatting sqref="Q475">
    <cfRule type="containsBlanks" dxfId="1089" priority="1389" stopIfTrue="1">
      <formula>LEN(TRIM(Q475))=0</formula>
    </cfRule>
    <cfRule type="cellIs" dxfId="1088" priority="1390" stopIfTrue="1" operator="between">
      <formula>80.1</formula>
      <formula>100</formula>
    </cfRule>
    <cfRule type="cellIs" dxfId="1087" priority="1391" stopIfTrue="1" operator="between">
      <formula>35.1</formula>
      <formula>80</formula>
    </cfRule>
    <cfRule type="cellIs" dxfId="1086" priority="1392" stopIfTrue="1" operator="between">
      <formula>14.1</formula>
      <formula>35</formula>
    </cfRule>
    <cfRule type="cellIs" dxfId="1085" priority="1393" stopIfTrue="1" operator="between">
      <formula>5.1</formula>
      <formula>14</formula>
    </cfRule>
    <cfRule type="cellIs" dxfId="1084" priority="1394" stopIfTrue="1" operator="between">
      <formula>0</formula>
      <formula>5</formula>
    </cfRule>
    <cfRule type="containsBlanks" dxfId="1083" priority="1395" stopIfTrue="1">
      <formula>LEN(TRIM(Q475))=0</formula>
    </cfRule>
  </conditionalFormatting>
  <conditionalFormatting sqref="Q475">
    <cfRule type="containsBlanks" dxfId="1082" priority="1382" stopIfTrue="1">
      <formula>LEN(TRIM(Q475))=0</formula>
    </cfRule>
    <cfRule type="cellIs" dxfId="1081" priority="1383" stopIfTrue="1" operator="between">
      <formula>80.1</formula>
      <formula>100</formula>
    </cfRule>
    <cfRule type="cellIs" dxfId="1080" priority="1384" stopIfTrue="1" operator="between">
      <formula>35.1</formula>
      <formula>80</formula>
    </cfRule>
    <cfRule type="cellIs" dxfId="1079" priority="1385" stopIfTrue="1" operator="between">
      <formula>14.1</formula>
      <formula>35</formula>
    </cfRule>
    <cfRule type="cellIs" dxfId="1078" priority="1386" stopIfTrue="1" operator="between">
      <formula>5.1</formula>
      <formula>14</formula>
    </cfRule>
    <cfRule type="cellIs" dxfId="1077" priority="1387" stopIfTrue="1" operator="between">
      <formula>0</formula>
      <formula>5</formula>
    </cfRule>
    <cfRule type="containsBlanks" dxfId="1076" priority="1388" stopIfTrue="1">
      <formula>LEN(TRIM(Q475))=0</formula>
    </cfRule>
  </conditionalFormatting>
  <conditionalFormatting sqref="R476">
    <cfRule type="cellIs" dxfId="1075" priority="1380" stopIfTrue="1" operator="equal">
      <formula>"NO"</formula>
    </cfRule>
  </conditionalFormatting>
  <conditionalFormatting sqref="Q476">
    <cfRule type="containsBlanks" dxfId="1074" priority="1367" stopIfTrue="1">
      <formula>LEN(TRIM(Q476))=0</formula>
    </cfRule>
    <cfRule type="cellIs" dxfId="1073" priority="1368" stopIfTrue="1" operator="between">
      <formula>80.1</formula>
      <formula>100</formula>
    </cfRule>
    <cfRule type="cellIs" dxfId="1072" priority="1369" stopIfTrue="1" operator="between">
      <formula>35.1</formula>
      <formula>80</formula>
    </cfRule>
    <cfRule type="cellIs" dxfId="1071" priority="1370" stopIfTrue="1" operator="between">
      <formula>14.1</formula>
      <formula>35</formula>
    </cfRule>
    <cfRule type="cellIs" dxfId="1070" priority="1371" stopIfTrue="1" operator="between">
      <formula>5.1</formula>
      <formula>14</formula>
    </cfRule>
    <cfRule type="cellIs" dxfId="1069" priority="1372" stopIfTrue="1" operator="between">
      <formula>0</formula>
      <formula>5</formula>
    </cfRule>
    <cfRule type="containsBlanks" dxfId="1068" priority="1373" stopIfTrue="1">
      <formula>LEN(TRIM(Q476))=0</formula>
    </cfRule>
  </conditionalFormatting>
  <conditionalFormatting sqref="Q476">
    <cfRule type="containsBlanks" dxfId="1067" priority="1360" stopIfTrue="1">
      <formula>LEN(TRIM(Q476))=0</formula>
    </cfRule>
    <cfRule type="cellIs" dxfId="1066" priority="1361" stopIfTrue="1" operator="between">
      <formula>80.1</formula>
      <formula>100</formula>
    </cfRule>
    <cfRule type="cellIs" dxfId="1065" priority="1362" stopIfTrue="1" operator="between">
      <formula>35.1</formula>
      <formula>80</formula>
    </cfRule>
    <cfRule type="cellIs" dxfId="1064" priority="1363" stopIfTrue="1" operator="between">
      <formula>14.1</formula>
      <formula>35</formula>
    </cfRule>
    <cfRule type="cellIs" dxfId="1063" priority="1364" stopIfTrue="1" operator="between">
      <formula>5.1</formula>
      <formula>14</formula>
    </cfRule>
    <cfRule type="cellIs" dxfId="1062" priority="1365" stopIfTrue="1" operator="between">
      <formula>0</formula>
      <formula>5</formula>
    </cfRule>
    <cfRule type="containsBlanks" dxfId="1061" priority="1366" stopIfTrue="1">
      <formula>LEN(TRIM(Q476))=0</formula>
    </cfRule>
  </conditionalFormatting>
  <conditionalFormatting sqref="R477">
    <cfRule type="cellIs" dxfId="1060" priority="1358" stopIfTrue="1" operator="equal">
      <formula>"NO"</formula>
    </cfRule>
  </conditionalFormatting>
  <conditionalFormatting sqref="Q477">
    <cfRule type="containsBlanks" dxfId="1059" priority="1345" stopIfTrue="1">
      <formula>LEN(TRIM(Q477))=0</formula>
    </cfRule>
    <cfRule type="cellIs" dxfId="1058" priority="1346" stopIfTrue="1" operator="between">
      <formula>80.1</formula>
      <formula>100</formula>
    </cfRule>
    <cfRule type="cellIs" dxfId="1057" priority="1347" stopIfTrue="1" operator="between">
      <formula>35.1</formula>
      <formula>80</formula>
    </cfRule>
    <cfRule type="cellIs" dxfId="1056" priority="1348" stopIfTrue="1" operator="between">
      <formula>14.1</formula>
      <formula>35</formula>
    </cfRule>
    <cfRule type="cellIs" dxfId="1055" priority="1349" stopIfTrue="1" operator="between">
      <formula>5.1</formula>
      <formula>14</formula>
    </cfRule>
    <cfRule type="cellIs" dxfId="1054" priority="1350" stopIfTrue="1" operator="between">
      <formula>0</formula>
      <formula>5</formula>
    </cfRule>
    <cfRule type="containsBlanks" dxfId="1053" priority="1351" stopIfTrue="1">
      <formula>LEN(TRIM(Q477))=0</formula>
    </cfRule>
  </conditionalFormatting>
  <conditionalFormatting sqref="Q477">
    <cfRule type="containsBlanks" dxfId="1052" priority="1338" stopIfTrue="1">
      <formula>LEN(TRIM(Q477))=0</formula>
    </cfRule>
    <cfRule type="cellIs" dxfId="1051" priority="1339" stopIfTrue="1" operator="between">
      <formula>80.1</formula>
      <formula>100</formula>
    </cfRule>
    <cfRule type="cellIs" dxfId="1050" priority="1340" stopIfTrue="1" operator="between">
      <formula>35.1</formula>
      <formula>80</formula>
    </cfRule>
    <cfRule type="cellIs" dxfId="1049" priority="1341" stopIfTrue="1" operator="between">
      <formula>14.1</formula>
      <formula>35</formula>
    </cfRule>
    <cfRule type="cellIs" dxfId="1048" priority="1342" stopIfTrue="1" operator="between">
      <formula>5.1</formula>
      <formula>14</formula>
    </cfRule>
    <cfRule type="cellIs" dxfId="1047" priority="1343" stopIfTrue="1" operator="between">
      <formula>0</formula>
      <formula>5</formula>
    </cfRule>
    <cfRule type="containsBlanks" dxfId="1046" priority="1344" stopIfTrue="1">
      <formula>LEN(TRIM(Q477))=0</formula>
    </cfRule>
  </conditionalFormatting>
  <conditionalFormatting sqref="R478">
    <cfRule type="cellIs" dxfId="1045" priority="1336" stopIfTrue="1" operator="equal">
      <formula>"NO"</formula>
    </cfRule>
  </conditionalFormatting>
  <conditionalFormatting sqref="Q478">
    <cfRule type="containsBlanks" dxfId="1044" priority="1323" stopIfTrue="1">
      <formula>LEN(TRIM(Q478))=0</formula>
    </cfRule>
    <cfRule type="cellIs" dxfId="1043" priority="1324" stopIfTrue="1" operator="between">
      <formula>80.1</formula>
      <formula>100</formula>
    </cfRule>
    <cfRule type="cellIs" dxfId="1042" priority="1325" stopIfTrue="1" operator="between">
      <formula>35.1</formula>
      <formula>80</formula>
    </cfRule>
    <cfRule type="cellIs" dxfId="1041" priority="1326" stopIfTrue="1" operator="between">
      <formula>14.1</formula>
      <formula>35</formula>
    </cfRule>
    <cfRule type="cellIs" dxfId="1040" priority="1327" stopIfTrue="1" operator="between">
      <formula>5.1</formula>
      <formula>14</formula>
    </cfRule>
    <cfRule type="cellIs" dxfId="1039" priority="1328" stopIfTrue="1" operator="between">
      <formula>0</formula>
      <formula>5</formula>
    </cfRule>
    <cfRule type="containsBlanks" dxfId="1038" priority="1329" stopIfTrue="1">
      <formula>LEN(TRIM(Q478))=0</formula>
    </cfRule>
  </conditionalFormatting>
  <conditionalFormatting sqref="Q478">
    <cfRule type="containsBlanks" dxfId="1037" priority="1316" stopIfTrue="1">
      <formula>LEN(TRIM(Q478))=0</formula>
    </cfRule>
    <cfRule type="cellIs" dxfId="1036" priority="1317" stopIfTrue="1" operator="between">
      <formula>80.1</formula>
      <formula>100</formula>
    </cfRule>
    <cfRule type="cellIs" dxfId="1035" priority="1318" stopIfTrue="1" operator="between">
      <formula>35.1</formula>
      <formula>80</formula>
    </cfRule>
    <cfRule type="cellIs" dxfId="1034" priority="1319" stopIfTrue="1" operator="between">
      <formula>14.1</formula>
      <formula>35</formula>
    </cfRule>
    <cfRule type="cellIs" dxfId="1033" priority="1320" stopIfTrue="1" operator="between">
      <formula>5.1</formula>
      <formula>14</formula>
    </cfRule>
    <cfRule type="cellIs" dxfId="1032" priority="1321" stopIfTrue="1" operator="between">
      <formula>0</formula>
      <formula>5</formula>
    </cfRule>
    <cfRule type="containsBlanks" dxfId="1031" priority="1322" stopIfTrue="1">
      <formula>LEN(TRIM(Q478))=0</formula>
    </cfRule>
  </conditionalFormatting>
  <conditionalFormatting sqref="R479">
    <cfRule type="cellIs" dxfId="1030" priority="1314" stopIfTrue="1" operator="equal">
      <formula>"NO"</formula>
    </cfRule>
  </conditionalFormatting>
  <conditionalFormatting sqref="Q479">
    <cfRule type="containsBlanks" dxfId="1029" priority="1301" stopIfTrue="1">
      <formula>LEN(TRIM(Q479))=0</formula>
    </cfRule>
    <cfRule type="cellIs" dxfId="1028" priority="1302" stopIfTrue="1" operator="between">
      <formula>80.1</formula>
      <formula>100</formula>
    </cfRule>
    <cfRule type="cellIs" dxfId="1027" priority="1303" stopIfTrue="1" operator="between">
      <formula>35.1</formula>
      <formula>80</formula>
    </cfRule>
    <cfRule type="cellIs" dxfId="1026" priority="1304" stopIfTrue="1" operator="between">
      <formula>14.1</formula>
      <formula>35</formula>
    </cfRule>
    <cfRule type="cellIs" dxfId="1025" priority="1305" stopIfTrue="1" operator="between">
      <formula>5.1</formula>
      <formula>14</formula>
    </cfRule>
    <cfRule type="cellIs" dxfId="1024" priority="1306" stopIfTrue="1" operator="between">
      <formula>0</formula>
      <formula>5</formula>
    </cfRule>
    <cfRule type="containsBlanks" dxfId="1023" priority="1307" stopIfTrue="1">
      <formula>LEN(TRIM(Q479))=0</formula>
    </cfRule>
  </conditionalFormatting>
  <conditionalFormatting sqref="Q479">
    <cfRule type="containsBlanks" dxfId="1022" priority="1294" stopIfTrue="1">
      <formula>LEN(TRIM(Q479))=0</formula>
    </cfRule>
    <cfRule type="cellIs" dxfId="1021" priority="1295" stopIfTrue="1" operator="between">
      <formula>80.1</formula>
      <formula>100</formula>
    </cfRule>
    <cfRule type="cellIs" dxfId="1020" priority="1296" stopIfTrue="1" operator="between">
      <formula>35.1</formula>
      <formula>80</formula>
    </cfRule>
    <cfRule type="cellIs" dxfId="1019" priority="1297" stopIfTrue="1" operator="between">
      <formula>14.1</formula>
      <formula>35</formula>
    </cfRule>
    <cfRule type="cellIs" dxfId="1018" priority="1298" stopIfTrue="1" operator="between">
      <formula>5.1</formula>
      <formula>14</formula>
    </cfRule>
    <cfRule type="cellIs" dxfId="1017" priority="1299" stopIfTrue="1" operator="between">
      <formula>0</formula>
      <formula>5</formula>
    </cfRule>
    <cfRule type="containsBlanks" dxfId="1016" priority="1300" stopIfTrue="1">
      <formula>LEN(TRIM(Q479))=0</formula>
    </cfRule>
  </conditionalFormatting>
  <conditionalFormatting sqref="R480">
    <cfRule type="cellIs" dxfId="1015" priority="1292" stopIfTrue="1" operator="equal">
      <formula>"NO"</formula>
    </cfRule>
  </conditionalFormatting>
  <conditionalFormatting sqref="Q480">
    <cfRule type="containsBlanks" dxfId="1014" priority="1279" stopIfTrue="1">
      <formula>LEN(TRIM(Q480))=0</formula>
    </cfRule>
    <cfRule type="cellIs" dxfId="1013" priority="1280" stopIfTrue="1" operator="between">
      <formula>80.1</formula>
      <formula>100</formula>
    </cfRule>
    <cfRule type="cellIs" dxfId="1012" priority="1281" stopIfTrue="1" operator="between">
      <formula>35.1</formula>
      <formula>80</formula>
    </cfRule>
    <cfRule type="cellIs" dxfId="1011" priority="1282" stopIfTrue="1" operator="between">
      <formula>14.1</formula>
      <formula>35</formula>
    </cfRule>
    <cfRule type="cellIs" dxfId="1010" priority="1283" stopIfTrue="1" operator="between">
      <formula>5.1</formula>
      <formula>14</formula>
    </cfRule>
    <cfRule type="cellIs" dxfId="1009" priority="1284" stopIfTrue="1" operator="between">
      <formula>0</formula>
      <formula>5</formula>
    </cfRule>
    <cfRule type="containsBlanks" dxfId="1008" priority="1285" stopIfTrue="1">
      <formula>LEN(TRIM(Q480))=0</formula>
    </cfRule>
  </conditionalFormatting>
  <conditionalFormatting sqref="Q480">
    <cfRule type="containsBlanks" dxfId="1007" priority="1272" stopIfTrue="1">
      <formula>LEN(TRIM(Q480))=0</formula>
    </cfRule>
    <cfRule type="cellIs" dxfId="1006" priority="1273" stopIfTrue="1" operator="between">
      <formula>80.1</formula>
      <formula>100</formula>
    </cfRule>
    <cfRule type="cellIs" dxfId="1005" priority="1274" stopIfTrue="1" operator="between">
      <formula>35.1</formula>
      <formula>80</formula>
    </cfRule>
    <cfRule type="cellIs" dxfId="1004" priority="1275" stopIfTrue="1" operator="between">
      <formula>14.1</formula>
      <formula>35</formula>
    </cfRule>
    <cfRule type="cellIs" dxfId="1003" priority="1276" stopIfTrue="1" operator="between">
      <formula>5.1</formula>
      <formula>14</formula>
    </cfRule>
    <cfRule type="cellIs" dxfId="1002" priority="1277" stopIfTrue="1" operator="between">
      <formula>0</formula>
      <formula>5</formula>
    </cfRule>
    <cfRule type="containsBlanks" dxfId="1001" priority="1278" stopIfTrue="1">
      <formula>LEN(TRIM(Q480))=0</formula>
    </cfRule>
  </conditionalFormatting>
  <conditionalFormatting sqref="R481">
    <cfRule type="cellIs" dxfId="1000" priority="1270" stopIfTrue="1" operator="equal">
      <formula>"NO"</formula>
    </cfRule>
  </conditionalFormatting>
  <conditionalFormatting sqref="Q481">
    <cfRule type="containsBlanks" dxfId="999" priority="1257" stopIfTrue="1">
      <formula>LEN(TRIM(Q481))=0</formula>
    </cfRule>
    <cfRule type="cellIs" dxfId="998" priority="1258" stopIfTrue="1" operator="between">
      <formula>80.1</formula>
      <formula>100</formula>
    </cfRule>
    <cfRule type="cellIs" dxfId="997" priority="1259" stopIfTrue="1" operator="between">
      <formula>35.1</formula>
      <formula>80</formula>
    </cfRule>
    <cfRule type="cellIs" dxfId="996" priority="1260" stopIfTrue="1" operator="between">
      <formula>14.1</formula>
      <formula>35</formula>
    </cfRule>
    <cfRule type="cellIs" dxfId="995" priority="1261" stopIfTrue="1" operator="between">
      <formula>5.1</formula>
      <formula>14</formula>
    </cfRule>
    <cfRule type="cellIs" dxfId="994" priority="1262" stopIfTrue="1" operator="between">
      <formula>0</formula>
      <formula>5</formula>
    </cfRule>
    <cfRule type="containsBlanks" dxfId="993" priority="1263" stopIfTrue="1">
      <formula>LEN(TRIM(Q481))=0</formula>
    </cfRule>
  </conditionalFormatting>
  <conditionalFormatting sqref="Q481">
    <cfRule type="containsBlanks" dxfId="992" priority="1250" stopIfTrue="1">
      <formula>LEN(TRIM(Q481))=0</formula>
    </cfRule>
    <cfRule type="cellIs" dxfId="991" priority="1251" stopIfTrue="1" operator="between">
      <formula>80.1</formula>
      <formula>100</formula>
    </cfRule>
    <cfRule type="cellIs" dxfId="990" priority="1252" stopIfTrue="1" operator="between">
      <formula>35.1</formula>
      <formula>80</formula>
    </cfRule>
    <cfRule type="cellIs" dxfId="989" priority="1253" stopIfTrue="1" operator="between">
      <formula>14.1</formula>
      <formula>35</formula>
    </cfRule>
    <cfRule type="cellIs" dxfId="988" priority="1254" stopIfTrue="1" operator="between">
      <formula>5.1</formula>
      <formula>14</formula>
    </cfRule>
    <cfRule type="cellIs" dxfId="987" priority="1255" stopIfTrue="1" operator="between">
      <formula>0</formula>
      <formula>5</formula>
    </cfRule>
    <cfRule type="containsBlanks" dxfId="986" priority="1256" stopIfTrue="1">
      <formula>LEN(TRIM(Q481))=0</formula>
    </cfRule>
  </conditionalFormatting>
  <conditionalFormatting sqref="R482">
    <cfRule type="cellIs" dxfId="985" priority="1248" stopIfTrue="1" operator="equal">
      <formula>"NO"</formula>
    </cfRule>
  </conditionalFormatting>
  <conditionalFormatting sqref="Q482">
    <cfRule type="containsBlanks" dxfId="984" priority="1235" stopIfTrue="1">
      <formula>LEN(TRIM(Q482))=0</formula>
    </cfRule>
    <cfRule type="cellIs" dxfId="983" priority="1236" stopIfTrue="1" operator="between">
      <formula>80.1</formula>
      <formula>100</formula>
    </cfRule>
    <cfRule type="cellIs" dxfId="982" priority="1237" stopIfTrue="1" operator="between">
      <formula>35.1</formula>
      <formula>80</formula>
    </cfRule>
    <cfRule type="cellIs" dxfId="981" priority="1238" stopIfTrue="1" operator="between">
      <formula>14.1</formula>
      <formula>35</formula>
    </cfRule>
    <cfRule type="cellIs" dxfId="980" priority="1239" stopIfTrue="1" operator="between">
      <formula>5.1</formula>
      <formula>14</formula>
    </cfRule>
    <cfRule type="cellIs" dxfId="979" priority="1240" stopIfTrue="1" operator="between">
      <formula>0</formula>
      <formula>5</formula>
    </cfRule>
    <cfRule type="containsBlanks" dxfId="978" priority="1241" stopIfTrue="1">
      <formula>LEN(TRIM(Q482))=0</formula>
    </cfRule>
  </conditionalFormatting>
  <conditionalFormatting sqref="Q482">
    <cfRule type="containsBlanks" dxfId="977" priority="1228" stopIfTrue="1">
      <formula>LEN(TRIM(Q482))=0</formula>
    </cfRule>
    <cfRule type="cellIs" dxfId="976" priority="1229" stopIfTrue="1" operator="between">
      <formula>80.1</formula>
      <formula>100</formula>
    </cfRule>
    <cfRule type="cellIs" dxfId="975" priority="1230" stopIfTrue="1" operator="between">
      <formula>35.1</formula>
      <formula>80</formula>
    </cfRule>
    <cfRule type="cellIs" dxfId="974" priority="1231" stopIfTrue="1" operator="between">
      <formula>14.1</formula>
      <formula>35</formula>
    </cfRule>
    <cfRule type="cellIs" dxfId="973" priority="1232" stopIfTrue="1" operator="between">
      <formula>5.1</formula>
      <formula>14</formula>
    </cfRule>
    <cfRule type="cellIs" dxfId="972" priority="1233" stopIfTrue="1" operator="between">
      <formula>0</formula>
      <formula>5</formula>
    </cfRule>
    <cfRule type="containsBlanks" dxfId="971" priority="1234" stopIfTrue="1">
      <formula>LEN(TRIM(Q482))=0</formula>
    </cfRule>
  </conditionalFormatting>
  <conditionalFormatting sqref="R483">
    <cfRule type="cellIs" dxfId="970" priority="1226" stopIfTrue="1" operator="equal">
      <formula>"NO"</formula>
    </cfRule>
  </conditionalFormatting>
  <conditionalFormatting sqref="Q483">
    <cfRule type="containsBlanks" dxfId="969" priority="1213" stopIfTrue="1">
      <formula>LEN(TRIM(Q483))=0</formula>
    </cfRule>
    <cfRule type="cellIs" dxfId="968" priority="1214" stopIfTrue="1" operator="between">
      <formula>80.1</formula>
      <formula>100</formula>
    </cfRule>
    <cfRule type="cellIs" dxfId="967" priority="1215" stopIfTrue="1" operator="between">
      <formula>35.1</formula>
      <formula>80</formula>
    </cfRule>
    <cfRule type="cellIs" dxfId="966" priority="1216" stopIfTrue="1" operator="between">
      <formula>14.1</formula>
      <formula>35</formula>
    </cfRule>
    <cfRule type="cellIs" dxfId="965" priority="1217" stopIfTrue="1" operator="between">
      <formula>5.1</formula>
      <formula>14</formula>
    </cfRule>
    <cfRule type="cellIs" dxfId="964" priority="1218" stopIfTrue="1" operator="between">
      <formula>0</formula>
      <formula>5</formula>
    </cfRule>
    <cfRule type="containsBlanks" dxfId="963" priority="1219" stopIfTrue="1">
      <formula>LEN(TRIM(Q483))=0</formula>
    </cfRule>
  </conditionalFormatting>
  <conditionalFormatting sqref="Q483">
    <cfRule type="containsBlanks" dxfId="962" priority="1206" stopIfTrue="1">
      <formula>LEN(TRIM(Q483))=0</formula>
    </cfRule>
    <cfRule type="cellIs" dxfId="961" priority="1207" stopIfTrue="1" operator="between">
      <formula>80.1</formula>
      <formula>100</formula>
    </cfRule>
    <cfRule type="cellIs" dxfId="960" priority="1208" stopIfTrue="1" operator="between">
      <formula>35.1</formula>
      <formula>80</formula>
    </cfRule>
    <cfRule type="cellIs" dxfId="959" priority="1209" stopIfTrue="1" operator="between">
      <formula>14.1</formula>
      <formula>35</formula>
    </cfRule>
    <cfRule type="cellIs" dxfId="958" priority="1210" stopIfTrue="1" operator="between">
      <formula>5.1</formula>
      <formula>14</formula>
    </cfRule>
    <cfRule type="cellIs" dxfId="957" priority="1211" stopIfTrue="1" operator="between">
      <formula>0</formula>
      <formula>5</formula>
    </cfRule>
    <cfRule type="containsBlanks" dxfId="956" priority="1212" stopIfTrue="1">
      <formula>LEN(TRIM(Q483))=0</formula>
    </cfRule>
  </conditionalFormatting>
  <conditionalFormatting sqref="R484">
    <cfRule type="cellIs" dxfId="955" priority="1204" stopIfTrue="1" operator="equal">
      <formula>"NO"</formula>
    </cfRule>
  </conditionalFormatting>
  <conditionalFormatting sqref="Q484">
    <cfRule type="containsBlanks" dxfId="954" priority="1191" stopIfTrue="1">
      <formula>LEN(TRIM(Q484))=0</formula>
    </cfRule>
    <cfRule type="cellIs" dxfId="953" priority="1192" stopIfTrue="1" operator="between">
      <formula>80.1</formula>
      <formula>100</formula>
    </cfRule>
    <cfRule type="cellIs" dxfId="952" priority="1193" stopIfTrue="1" operator="between">
      <formula>35.1</formula>
      <formula>80</formula>
    </cfRule>
    <cfRule type="cellIs" dxfId="951" priority="1194" stopIfTrue="1" operator="between">
      <formula>14.1</formula>
      <formula>35</formula>
    </cfRule>
    <cfRule type="cellIs" dxfId="950" priority="1195" stopIfTrue="1" operator="between">
      <formula>5.1</formula>
      <formula>14</formula>
    </cfRule>
    <cfRule type="cellIs" dxfId="949" priority="1196" stopIfTrue="1" operator="between">
      <formula>0</formula>
      <formula>5</formula>
    </cfRule>
    <cfRule type="containsBlanks" dxfId="948" priority="1197" stopIfTrue="1">
      <formula>LEN(TRIM(Q484))=0</formula>
    </cfRule>
  </conditionalFormatting>
  <conditionalFormatting sqref="Q484">
    <cfRule type="containsBlanks" dxfId="947" priority="1184" stopIfTrue="1">
      <formula>LEN(TRIM(Q484))=0</formula>
    </cfRule>
    <cfRule type="cellIs" dxfId="946" priority="1185" stopIfTrue="1" operator="between">
      <formula>80.1</formula>
      <formula>100</formula>
    </cfRule>
    <cfRule type="cellIs" dxfId="945" priority="1186" stopIfTrue="1" operator="between">
      <formula>35.1</formula>
      <formula>80</formula>
    </cfRule>
    <cfRule type="cellIs" dxfId="944" priority="1187" stopIfTrue="1" operator="between">
      <formula>14.1</formula>
      <formula>35</formula>
    </cfRule>
    <cfRule type="cellIs" dxfId="943" priority="1188" stopIfTrue="1" operator="between">
      <formula>5.1</formula>
      <formula>14</formula>
    </cfRule>
    <cfRule type="cellIs" dxfId="942" priority="1189" stopIfTrue="1" operator="between">
      <formula>0</formula>
      <formula>5</formula>
    </cfRule>
    <cfRule type="containsBlanks" dxfId="941" priority="1190" stopIfTrue="1">
      <formula>LEN(TRIM(Q484))=0</formula>
    </cfRule>
  </conditionalFormatting>
  <conditionalFormatting sqref="R485">
    <cfRule type="cellIs" dxfId="940" priority="1182" stopIfTrue="1" operator="equal">
      <formula>"NO"</formula>
    </cfRule>
  </conditionalFormatting>
  <conditionalFormatting sqref="Q485">
    <cfRule type="containsBlanks" dxfId="939" priority="1169" stopIfTrue="1">
      <formula>LEN(TRIM(Q485))=0</formula>
    </cfRule>
    <cfRule type="cellIs" dxfId="938" priority="1170" stopIfTrue="1" operator="between">
      <formula>80.1</formula>
      <formula>100</formula>
    </cfRule>
    <cfRule type="cellIs" dxfId="937" priority="1171" stopIfTrue="1" operator="between">
      <formula>35.1</formula>
      <formula>80</formula>
    </cfRule>
    <cfRule type="cellIs" dxfId="936" priority="1172" stopIfTrue="1" operator="between">
      <formula>14.1</formula>
      <formula>35</formula>
    </cfRule>
    <cfRule type="cellIs" dxfId="935" priority="1173" stopIfTrue="1" operator="between">
      <formula>5.1</formula>
      <formula>14</formula>
    </cfRule>
    <cfRule type="cellIs" dxfId="934" priority="1174" stopIfTrue="1" operator="between">
      <formula>0</formula>
      <formula>5</formula>
    </cfRule>
    <cfRule type="containsBlanks" dxfId="933" priority="1175" stopIfTrue="1">
      <formula>LEN(TRIM(Q485))=0</formula>
    </cfRule>
  </conditionalFormatting>
  <conditionalFormatting sqref="Q485">
    <cfRule type="containsBlanks" dxfId="932" priority="1162" stopIfTrue="1">
      <formula>LEN(TRIM(Q485))=0</formula>
    </cfRule>
    <cfRule type="cellIs" dxfId="931" priority="1163" stopIfTrue="1" operator="between">
      <formula>80.1</formula>
      <formula>100</formula>
    </cfRule>
    <cfRule type="cellIs" dxfId="930" priority="1164" stopIfTrue="1" operator="between">
      <formula>35.1</formula>
      <formula>80</formula>
    </cfRule>
    <cfRule type="cellIs" dxfId="929" priority="1165" stopIfTrue="1" operator="between">
      <formula>14.1</formula>
      <formula>35</formula>
    </cfRule>
    <cfRule type="cellIs" dxfId="928" priority="1166" stopIfTrue="1" operator="between">
      <formula>5.1</formula>
      <formula>14</formula>
    </cfRule>
    <cfRule type="cellIs" dxfId="927" priority="1167" stopIfTrue="1" operator="between">
      <formula>0</formula>
      <formula>5</formula>
    </cfRule>
    <cfRule type="containsBlanks" dxfId="926" priority="1168" stopIfTrue="1">
      <formula>LEN(TRIM(Q485))=0</formula>
    </cfRule>
  </conditionalFormatting>
  <conditionalFormatting sqref="R486">
    <cfRule type="cellIs" dxfId="925" priority="1160" stopIfTrue="1" operator="equal">
      <formula>"NO"</formula>
    </cfRule>
  </conditionalFormatting>
  <conditionalFormatting sqref="Q486">
    <cfRule type="containsBlanks" dxfId="924" priority="1147" stopIfTrue="1">
      <formula>LEN(TRIM(Q486))=0</formula>
    </cfRule>
    <cfRule type="cellIs" dxfId="923" priority="1148" stopIfTrue="1" operator="between">
      <formula>80.1</formula>
      <formula>100</formula>
    </cfRule>
    <cfRule type="cellIs" dxfId="922" priority="1149" stopIfTrue="1" operator="between">
      <formula>35.1</formula>
      <formula>80</formula>
    </cfRule>
    <cfRule type="cellIs" dxfId="921" priority="1150" stopIfTrue="1" operator="between">
      <formula>14.1</formula>
      <formula>35</formula>
    </cfRule>
    <cfRule type="cellIs" dxfId="920" priority="1151" stopIfTrue="1" operator="between">
      <formula>5.1</formula>
      <formula>14</formula>
    </cfRule>
    <cfRule type="cellIs" dxfId="919" priority="1152" stopIfTrue="1" operator="between">
      <formula>0</formula>
      <formula>5</formula>
    </cfRule>
    <cfRule type="containsBlanks" dxfId="918" priority="1153" stopIfTrue="1">
      <formula>LEN(TRIM(Q486))=0</formula>
    </cfRule>
  </conditionalFormatting>
  <conditionalFormatting sqref="Q486">
    <cfRule type="containsBlanks" dxfId="917" priority="1140" stopIfTrue="1">
      <formula>LEN(TRIM(Q486))=0</formula>
    </cfRule>
    <cfRule type="cellIs" dxfId="916" priority="1141" stopIfTrue="1" operator="between">
      <formula>80.1</formula>
      <formula>100</formula>
    </cfRule>
    <cfRule type="cellIs" dxfId="915" priority="1142" stopIfTrue="1" operator="between">
      <formula>35.1</formula>
      <formula>80</formula>
    </cfRule>
    <cfRule type="cellIs" dxfId="914" priority="1143" stopIfTrue="1" operator="between">
      <formula>14.1</formula>
      <formula>35</formula>
    </cfRule>
    <cfRule type="cellIs" dxfId="913" priority="1144" stopIfTrue="1" operator="between">
      <formula>5.1</formula>
      <formula>14</formula>
    </cfRule>
    <cfRule type="cellIs" dxfId="912" priority="1145" stopIfTrue="1" operator="between">
      <formula>0</formula>
      <formula>5</formula>
    </cfRule>
    <cfRule type="containsBlanks" dxfId="911" priority="1146" stopIfTrue="1">
      <formula>LEN(TRIM(Q486))=0</formula>
    </cfRule>
  </conditionalFormatting>
  <conditionalFormatting sqref="E434:I434 K434:L434">
    <cfRule type="containsBlanks" dxfId="910" priority="1133" stopIfTrue="1">
      <formula>LEN(TRIM(E434))=0</formula>
    </cfRule>
    <cfRule type="cellIs" dxfId="909" priority="1134" stopIfTrue="1" operator="between">
      <formula>79.1</formula>
      <formula>100</formula>
    </cfRule>
    <cfRule type="cellIs" dxfId="908" priority="1135" stopIfTrue="1" operator="between">
      <formula>34.1</formula>
      <formula>79</formula>
    </cfRule>
    <cfRule type="cellIs" dxfId="907" priority="1136" stopIfTrue="1" operator="between">
      <formula>13.1</formula>
      <formula>34</formula>
    </cfRule>
    <cfRule type="cellIs" dxfId="906" priority="1137" stopIfTrue="1" operator="between">
      <formula>5.1</formula>
      <formula>13</formula>
    </cfRule>
    <cfRule type="cellIs" dxfId="905" priority="1138" stopIfTrue="1" operator="between">
      <formula>0</formula>
      <formula>5</formula>
    </cfRule>
    <cfRule type="containsBlanks" dxfId="904" priority="1139" stopIfTrue="1">
      <formula>LEN(TRIM(E434))=0</formula>
    </cfRule>
  </conditionalFormatting>
  <conditionalFormatting sqref="J434">
    <cfRule type="containsBlanks" dxfId="903" priority="1126" stopIfTrue="1">
      <formula>LEN(TRIM(J434))=0</formula>
    </cfRule>
    <cfRule type="cellIs" dxfId="902" priority="1127" stopIfTrue="1" operator="between">
      <formula>79.1</formula>
      <formula>100</formula>
    </cfRule>
    <cfRule type="cellIs" dxfId="901" priority="1128" stopIfTrue="1" operator="between">
      <formula>34.1</formula>
      <formula>79</formula>
    </cfRule>
    <cfRule type="cellIs" dxfId="900" priority="1129" stopIfTrue="1" operator="between">
      <formula>13.1</formula>
      <formula>34</formula>
    </cfRule>
    <cfRule type="cellIs" dxfId="899" priority="1130" stopIfTrue="1" operator="between">
      <formula>5.1</formula>
      <formula>13</formula>
    </cfRule>
    <cfRule type="cellIs" dxfId="898" priority="1131" stopIfTrue="1" operator="between">
      <formula>0</formula>
      <formula>5</formula>
    </cfRule>
    <cfRule type="containsBlanks" dxfId="897" priority="1132" stopIfTrue="1">
      <formula>LEN(TRIM(J434))=0</formula>
    </cfRule>
  </conditionalFormatting>
  <conditionalFormatting sqref="E436:I436 K436:L436">
    <cfRule type="containsBlanks" dxfId="896" priority="1119" stopIfTrue="1">
      <formula>LEN(TRIM(E436))=0</formula>
    </cfRule>
    <cfRule type="cellIs" dxfId="895" priority="1120" stopIfTrue="1" operator="between">
      <formula>79.1</formula>
      <formula>100</formula>
    </cfRule>
    <cfRule type="cellIs" dxfId="894" priority="1121" stopIfTrue="1" operator="between">
      <formula>34.1</formula>
      <formula>79</formula>
    </cfRule>
    <cfRule type="cellIs" dxfId="893" priority="1122" stopIfTrue="1" operator="between">
      <formula>13.1</formula>
      <formula>34</formula>
    </cfRule>
    <cfRule type="cellIs" dxfId="892" priority="1123" stopIfTrue="1" operator="between">
      <formula>5.1</formula>
      <formula>13</formula>
    </cfRule>
    <cfRule type="cellIs" dxfId="891" priority="1124" stopIfTrue="1" operator="between">
      <formula>0</formula>
      <formula>5</formula>
    </cfRule>
    <cfRule type="containsBlanks" dxfId="890" priority="1125" stopIfTrue="1">
      <formula>LEN(TRIM(E436))=0</formula>
    </cfRule>
  </conditionalFormatting>
  <conditionalFormatting sqref="M436:O436">
    <cfRule type="containsBlanks" dxfId="889" priority="1112" stopIfTrue="1">
      <formula>LEN(TRIM(M436))=0</formula>
    </cfRule>
    <cfRule type="cellIs" dxfId="888" priority="1113" stopIfTrue="1" operator="between">
      <formula>79.1</formula>
      <formula>100</formula>
    </cfRule>
    <cfRule type="cellIs" dxfId="887" priority="1114" stopIfTrue="1" operator="between">
      <formula>34.1</formula>
      <formula>79</formula>
    </cfRule>
    <cfRule type="cellIs" dxfId="886" priority="1115" stopIfTrue="1" operator="between">
      <formula>13.1</formula>
      <formula>34</formula>
    </cfRule>
    <cfRule type="cellIs" dxfId="885" priority="1116" stopIfTrue="1" operator="between">
      <formula>5.1</formula>
      <formula>13</formula>
    </cfRule>
    <cfRule type="cellIs" dxfId="884" priority="1117" stopIfTrue="1" operator="between">
      <formula>0</formula>
      <formula>5</formula>
    </cfRule>
    <cfRule type="containsBlanks" dxfId="883" priority="1118" stopIfTrue="1">
      <formula>LEN(TRIM(M436))=0</formula>
    </cfRule>
  </conditionalFormatting>
  <conditionalFormatting sqref="J436">
    <cfRule type="containsBlanks" dxfId="882" priority="1105" stopIfTrue="1">
      <formula>LEN(TRIM(J436))=0</formula>
    </cfRule>
    <cfRule type="cellIs" dxfId="881" priority="1106" stopIfTrue="1" operator="between">
      <formula>79.1</formula>
      <formula>100</formula>
    </cfRule>
    <cfRule type="cellIs" dxfId="880" priority="1107" stopIfTrue="1" operator="between">
      <formula>34.1</formula>
      <formula>79</formula>
    </cfRule>
    <cfRule type="cellIs" dxfId="879" priority="1108" stopIfTrue="1" operator="between">
      <formula>13.1</formula>
      <formula>34</formula>
    </cfRule>
    <cfRule type="cellIs" dxfId="878" priority="1109" stopIfTrue="1" operator="between">
      <formula>5.1</formula>
      <formula>13</formula>
    </cfRule>
    <cfRule type="cellIs" dxfId="877" priority="1110" stopIfTrue="1" operator="between">
      <formula>0</formula>
      <formula>5</formula>
    </cfRule>
    <cfRule type="containsBlanks" dxfId="876" priority="1111" stopIfTrue="1">
      <formula>LEN(TRIM(J436))=0</formula>
    </cfRule>
  </conditionalFormatting>
  <conditionalFormatting sqref="E435:I435 K435:L435">
    <cfRule type="containsBlanks" dxfId="875" priority="1042" stopIfTrue="1">
      <formula>LEN(TRIM(E435))=0</formula>
    </cfRule>
    <cfRule type="cellIs" dxfId="874" priority="1043" stopIfTrue="1" operator="between">
      <formula>79.1</formula>
      <formula>100</formula>
    </cfRule>
    <cfRule type="cellIs" dxfId="873" priority="1044" stopIfTrue="1" operator="between">
      <formula>34.1</formula>
      <formula>79</formula>
    </cfRule>
    <cfRule type="cellIs" dxfId="872" priority="1045" stopIfTrue="1" operator="between">
      <formula>13.1</formula>
      <formula>34</formula>
    </cfRule>
    <cfRule type="cellIs" dxfId="871" priority="1046" stopIfTrue="1" operator="between">
      <formula>5.1</formula>
      <formula>13</formula>
    </cfRule>
    <cfRule type="cellIs" dxfId="870" priority="1047" stopIfTrue="1" operator="between">
      <formula>0</formula>
      <formula>5</formula>
    </cfRule>
    <cfRule type="containsBlanks" dxfId="869" priority="1048" stopIfTrue="1">
      <formula>LEN(TRIM(E435))=0</formula>
    </cfRule>
  </conditionalFormatting>
  <conditionalFormatting sqref="M435:O435">
    <cfRule type="containsBlanks" dxfId="868" priority="1035" stopIfTrue="1">
      <formula>LEN(TRIM(M435))=0</formula>
    </cfRule>
    <cfRule type="cellIs" dxfId="867" priority="1036" stopIfTrue="1" operator="between">
      <formula>79.1</formula>
      <formula>100</formula>
    </cfRule>
    <cfRule type="cellIs" dxfId="866" priority="1037" stopIfTrue="1" operator="between">
      <formula>34.1</formula>
      <formula>79</formula>
    </cfRule>
    <cfRule type="cellIs" dxfId="865" priority="1038" stopIfTrue="1" operator="between">
      <formula>13.1</formula>
      <formula>34</formula>
    </cfRule>
    <cfRule type="cellIs" dxfId="864" priority="1039" stopIfTrue="1" operator="between">
      <formula>5.1</formula>
      <formula>13</formula>
    </cfRule>
    <cfRule type="cellIs" dxfId="863" priority="1040" stopIfTrue="1" operator="between">
      <formula>0</formula>
      <formula>5</formula>
    </cfRule>
    <cfRule type="containsBlanks" dxfId="862" priority="1041" stopIfTrue="1">
      <formula>LEN(TRIM(M435))=0</formula>
    </cfRule>
  </conditionalFormatting>
  <conditionalFormatting sqref="J435">
    <cfRule type="containsBlanks" dxfId="861" priority="1028" stopIfTrue="1">
      <formula>LEN(TRIM(J435))=0</formula>
    </cfRule>
    <cfRule type="cellIs" dxfId="860" priority="1029" stopIfTrue="1" operator="between">
      <formula>79.1</formula>
      <formula>100</formula>
    </cfRule>
    <cfRule type="cellIs" dxfId="859" priority="1030" stopIfTrue="1" operator="between">
      <formula>34.1</formula>
      <formula>79</formula>
    </cfRule>
    <cfRule type="cellIs" dxfId="858" priority="1031" stopIfTrue="1" operator="between">
      <formula>13.1</formula>
      <formula>34</formula>
    </cfRule>
    <cfRule type="cellIs" dxfId="857" priority="1032" stopIfTrue="1" operator="between">
      <formula>5.1</formula>
      <formula>13</formula>
    </cfRule>
    <cfRule type="cellIs" dxfId="856" priority="1033" stopIfTrue="1" operator="between">
      <formula>0</formula>
      <formula>5</formula>
    </cfRule>
    <cfRule type="containsBlanks" dxfId="855" priority="1034" stopIfTrue="1">
      <formula>LEN(TRIM(J435))=0</formula>
    </cfRule>
  </conditionalFormatting>
  <conditionalFormatting sqref="E472:O472">
    <cfRule type="containsBlanks" dxfId="854" priority="951" stopIfTrue="1">
      <formula>LEN(TRIM(E472))=0</formula>
    </cfRule>
    <cfRule type="cellIs" dxfId="853" priority="952" stopIfTrue="1" operator="between">
      <formula>79.1</formula>
      <formula>100</formula>
    </cfRule>
    <cfRule type="cellIs" dxfId="852" priority="953" stopIfTrue="1" operator="between">
      <formula>34.1</formula>
      <formula>79</formula>
    </cfRule>
    <cfRule type="cellIs" dxfId="851" priority="954" stopIfTrue="1" operator="between">
      <formula>13.1</formula>
      <formula>34</formula>
    </cfRule>
    <cfRule type="cellIs" dxfId="850" priority="955" stopIfTrue="1" operator="between">
      <formula>5.1</formula>
      <formula>13</formula>
    </cfRule>
    <cfRule type="cellIs" dxfId="849" priority="956" stopIfTrue="1" operator="between">
      <formula>0</formula>
      <formula>5</formula>
    </cfRule>
    <cfRule type="containsBlanks" dxfId="848" priority="957" stopIfTrue="1">
      <formula>LEN(TRIM(E472))=0</formula>
    </cfRule>
  </conditionalFormatting>
  <conditionalFormatting sqref="E476:P476">
    <cfRule type="containsBlanks" dxfId="847" priority="944" stopIfTrue="1">
      <formula>LEN(TRIM(E476))=0</formula>
    </cfRule>
    <cfRule type="cellIs" dxfId="846" priority="945" stopIfTrue="1" operator="between">
      <formula>79.1</formula>
      <formula>100</formula>
    </cfRule>
    <cfRule type="cellIs" dxfId="845" priority="946" stopIfTrue="1" operator="between">
      <formula>34.1</formula>
      <formula>79</formula>
    </cfRule>
    <cfRule type="cellIs" dxfId="844" priority="947" stopIfTrue="1" operator="between">
      <formula>13.1</formula>
      <formula>34</formula>
    </cfRule>
    <cfRule type="cellIs" dxfId="843" priority="948" stopIfTrue="1" operator="between">
      <formula>5.1</formula>
      <formula>13</formula>
    </cfRule>
    <cfRule type="cellIs" dxfId="842" priority="949" stopIfTrue="1" operator="between">
      <formula>0</formula>
      <formula>5</formula>
    </cfRule>
    <cfRule type="containsBlanks" dxfId="841" priority="950" stopIfTrue="1">
      <formula>LEN(TRIM(E476))=0</formula>
    </cfRule>
  </conditionalFormatting>
  <conditionalFormatting sqref="E474:O474">
    <cfRule type="containsBlanks" dxfId="840" priority="937" stopIfTrue="1">
      <formula>LEN(TRIM(E474))=0</formula>
    </cfRule>
    <cfRule type="cellIs" dxfId="839" priority="938" stopIfTrue="1" operator="between">
      <formula>79.1</formula>
      <formula>100</formula>
    </cfRule>
    <cfRule type="cellIs" dxfId="838" priority="939" stopIfTrue="1" operator="between">
      <formula>34.1</formula>
      <formula>79</formula>
    </cfRule>
    <cfRule type="cellIs" dxfId="837" priority="940" stopIfTrue="1" operator="between">
      <formula>13.1</formula>
      <formula>34</formula>
    </cfRule>
    <cfRule type="cellIs" dxfId="836" priority="941" stopIfTrue="1" operator="between">
      <formula>5.1</formula>
      <formula>13</formula>
    </cfRule>
    <cfRule type="cellIs" dxfId="835" priority="942" stopIfTrue="1" operator="between">
      <formula>0</formula>
      <formula>5</formula>
    </cfRule>
    <cfRule type="containsBlanks" dxfId="834" priority="943" stopIfTrue="1">
      <formula>LEN(TRIM(E474))=0</formula>
    </cfRule>
  </conditionalFormatting>
  <conditionalFormatting sqref="E481:P481">
    <cfRule type="containsBlanks" dxfId="833" priority="930" stopIfTrue="1">
      <formula>LEN(TRIM(E481))=0</formula>
    </cfRule>
    <cfRule type="cellIs" dxfId="832" priority="931" stopIfTrue="1" operator="between">
      <formula>79.1</formula>
      <formula>100</formula>
    </cfRule>
    <cfRule type="cellIs" dxfId="831" priority="932" stopIfTrue="1" operator="between">
      <formula>34.1</formula>
      <formula>79</formula>
    </cfRule>
    <cfRule type="cellIs" dxfId="830" priority="933" stopIfTrue="1" operator="between">
      <formula>13.1</formula>
      <formula>34</formula>
    </cfRule>
    <cfRule type="cellIs" dxfId="829" priority="934" stopIfTrue="1" operator="between">
      <formula>5.1</formula>
      <formula>13</formula>
    </cfRule>
    <cfRule type="cellIs" dxfId="828" priority="935" stopIfTrue="1" operator="between">
      <formula>0</formula>
      <formula>5</formula>
    </cfRule>
    <cfRule type="containsBlanks" dxfId="827" priority="936" stopIfTrue="1">
      <formula>LEN(TRIM(E481))=0</formula>
    </cfRule>
  </conditionalFormatting>
  <conditionalFormatting sqref="E470:P470">
    <cfRule type="containsBlanks" dxfId="826" priority="923" stopIfTrue="1">
      <formula>LEN(TRIM(E470))=0</formula>
    </cfRule>
    <cfRule type="cellIs" dxfId="825" priority="924" stopIfTrue="1" operator="between">
      <formula>79.1</formula>
      <formula>100</formula>
    </cfRule>
    <cfRule type="cellIs" dxfId="824" priority="925" stopIfTrue="1" operator="between">
      <formula>34.1</formula>
      <formula>79</formula>
    </cfRule>
    <cfRule type="cellIs" dxfId="823" priority="926" stopIfTrue="1" operator="between">
      <formula>13.1</formula>
      <formula>34</formula>
    </cfRule>
    <cfRule type="cellIs" dxfId="822" priority="927" stopIfTrue="1" operator="between">
      <formula>5.1</formula>
      <formula>13</formula>
    </cfRule>
    <cfRule type="cellIs" dxfId="821" priority="928" stopIfTrue="1" operator="between">
      <formula>0</formula>
      <formula>5</formula>
    </cfRule>
    <cfRule type="containsBlanks" dxfId="820" priority="929" stopIfTrue="1">
      <formula>LEN(TRIM(E470))=0</formula>
    </cfRule>
  </conditionalFormatting>
  <conditionalFormatting sqref="E469:P469">
    <cfRule type="containsBlanks" dxfId="819" priority="916" stopIfTrue="1">
      <formula>LEN(TRIM(E469))=0</formula>
    </cfRule>
    <cfRule type="cellIs" dxfId="818" priority="917" stopIfTrue="1" operator="between">
      <formula>79.1</formula>
      <formula>100</formula>
    </cfRule>
    <cfRule type="cellIs" dxfId="817" priority="918" stopIfTrue="1" operator="between">
      <formula>34.1</formula>
      <formula>79</formula>
    </cfRule>
    <cfRule type="cellIs" dxfId="816" priority="919" stopIfTrue="1" operator="between">
      <formula>13.1</formula>
      <formula>34</formula>
    </cfRule>
    <cfRule type="cellIs" dxfId="815" priority="920" stopIfTrue="1" operator="between">
      <formula>5.1</formula>
      <formula>13</formula>
    </cfRule>
    <cfRule type="cellIs" dxfId="814" priority="921" stopIfTrue="1" operator="between">
      <formula>0</formula>
      <formula>5</formula>
    </cfRule>
    <cfRule type="containsBlanks" dxfId="813" priority="922" stopIfTrue="1">
      <formula>LEN(TRIM(E469))=0</formula>
    </cfRule>
  </conditionalFormatting>
  <conditionalFormatting sqref="E479:H479">
    <cfRule type="containsBlanks" dxfId="812" priority="909" stopIfTrue="1">
      <formula>LEN(TRIM(E479))=0</formula>
    </cfRule>
    <cfRule type="cellIs" dxfId="811" priority="910" stopIfTrue="1" operator="between">
      <formula>79.1</formula>
      <formula>100</formula>
    </cfRule>
    <cfRule type="cellIs" dxfId="810" priority="911" stopIfTrue="1" operator="between">
      <formula>34.1</formula>
      <formula>79</formula>
    </cfRule>
    <cfRule type="cellIs" dxfId="809" priority="912" stopIfTrue="1" operator="between">
      <formula>13.1</formula>
      <formula>34</formula>
    </cfRule>
    <cfRule type="cellIs" dxfId="808" priority="913" stopIfTrue="1" operator="between">
      <formula>5.1</formula>
      <formula>13</formula>
    </cfRule>
    <cfRule type="cellIs" dxfId="807" priority="914" stopIfTrue="1" operator="between">
      <formula>0</formula>
      <formula>5</formula>
    </cfRule>
    <cfRule type="containsBlanks" dxfId="806" priority="915" stopIfTrue="1">
      <formula>LEN(TRIM(E479))=0</formula>
    </cfRule>
  </conditionalFormatting>
  <conditionalFormatting sqref="E473:O473">
    <cfRule type="containsBlanks" dxfId="805" priority="902" stopIfTrue="1">
      <formula>LEN(TRIM(E473))=0</formula>
    </cfRule>
    <cfRule type="cellIs" dxfId="804" priority="903" stopIfTrue="1" operator="between">
      <formula>79.1</formula>
      <formula>100</formula>
    </cfRule>
    <cfRule type="cellIs" dxfId="803" priority="904" stopIfTrue="1" operator="between">
      <formula>34.1</formula>
      <formula>79</formula>
    </cfRule>
    <cfRule type="cellIs" dxfId="802" priority="905" stopIfTrue="1" operator="between">
      <formula>13.1</formula>
      <formula>34</formula>
    </cfRule>
    <cfRule type="cellIs" dxfId="801" priority="906" stopIfTrue="1" operator="between">
      <formula>5.1</formula>
      <formula>13</formula>
    </cfRule>
    <cfRule type="cellIs" dxfId="800" priority="907" stopIfTrue="1" operator="between">
      <formula>0</formula>
      <formula>5</formula>
    </cfRule>
    <cfRule type="containsBlanks" dxfId="799" priority="908" stopIfTrue="1">
      <formula>LEN(TRIM(E473))=0</formula>
    </cfRule>
  </conditionalFormatting>
  <conditionalFormatting sqref="E483:P483">
    <cfRule type="containsBlanks" dxfId="798" priority="895" stopIfTrue="1">
      <formula>LEN(TRIM(E483))=0</formula>
    </cfRule>
    <cfRule type="cellIs" dxfId="797" priority="896" stopIfTrue="1" operator="between">
      <formula>79.1</formula>
      <formula>100</formula>
    </cfRule>
    <cfRule type="cellIs" dxfId="796" priority="897" stopIfTrue="1" operator="between">
      <formula>34.1</formula>
      <formula>79</formula>
    </cfRule>
    <cfRule type="cellIs" dxfId="795" priority="898" stopIfTrue="1" operator="between">
      <formula>13.1</formula>
      <formula>34</formula>
    </cfRule>
    <cfRule type="cellIs" dxfId="794" priority="899" stopIfTrue="1" operator="between">
      <formula>5.1</formula>
      <formula>13</formula>
    </cfRule>
    <cfRule type="cellIs" dxfId="793" priority="900" stopIfTrue="1" operator="between">
      <formula>0</formula>
      <formula>5</formula>
    </cfRule>
    <cfRule type="containsBlanks" dxfId="792" priority="901" stopIfTrue="1">
      <formula>LEN(TRIM(E483))=0</formula>
    </cfRule>
  </conditionalFormatting>
  <conditionalFormatting sqref="R232">
    <cfRule type="cellIs" dxfId="791" priority="893" stopIfTrue="1" operator="equal">
      <formula>"NO"</formula>
    </cfRule>
  </conditionalFormatting>
  <conditionalFormatting sqref="Q232">
    <cfRule type="containsBlanks" dxfId="790" priority="880" stopIfTrue="1">
      <formula>LEN(TRIM(Q232))=0</formula>
    </cfRule>
    <cfRule type="cellIs" dxfId="789" priority="881" stopIfTrue="1" operator="between">
      <formula>79.1</formula>
      <formula>100</formula>
    </cfRule>
    <cfRule type="cellIs" dxfId="788" priority="882" stopIfTrue="1" operator="between">
      <formula>34.1</formula>
      <formula>79</formula>
    </cfRule>
    <cfRule type="cellIs" dxfId="787" priority="883" stopIfTrue="1" operator="between">
      <formula>13.1</formula>
      <formula>34</formula>
    </cfRule>
    <cfRule type="cellIs" dxfId="786" priority="884" stopIfTrue="1" operator="between">
      <formula>5.1</formula>
      <formula>13</formula>
    </cfRule>
    <cfRule type="cellIs" dxfId="785" priority="885" stopIfTrue="1" operator="between">
      <formula>0</formula>
      <formula>5</formula>
    </cfRule>
    <cfRule type="containsBlanks" dxfId="784" priority="886" stopIfTrue="1">
      <formula>LEN(TRIM(Q232))=0</formula>
    </cfRule>
  </conditionalFormatting>
  <conditionalFormatting sqref="R233">
    <cfRule type="cellIs" dxfId="783" priority="878" stopIfTrue="1" operator="equal">
      <formula>"NO"</formula>
    </cfRule>
  </conditionalFormatting>
  <conditionalFormatting sqref="Q233">
    <cfRule type="containsBlanks" dxfId="782" priority="865" stopIfTrue="1">
      <formula>LEN(TRIM(Q233))=0</formula>
    </cfRule>
    <cfRule type="cellIs" dxfId="781" priority="866" stopIfTrue="1" operator="between">
      <formula>79.1</formula>
      <formula>100</formula>
    </cfRule>
    <cfRule type="cellIs" dxfId="780" priority="867" stopIfTrue="1" operator="between">
      <formula>34.1</formula>
      <formula>79</formula>
    </cfRule>
    <cfRule type="cellIs" dxfId="779" priority="868" stopIfTrue="1" operator="between">
      <formula>13.1</formula>
      <formula>34</formula>
    </cfRule>
    <cfRule type="cellIs" dxfId="778" priority="869" stopIfTrue="1" operator="between">
      <formula>5.1</formula>
      <formula>13</formula>
    </cfRule>
    <cfRule type="cellIs" dxfId="777" priority="870" stopIfTrue="1" operator="between">
      <formula>0</formula>
      <formula>5</formula>
    </cfRule>
    <cfRule type="containsBlanks" dxfId="776" priority="871" stopIfTrue="1">
      <formula>LEN(TRIM(Q233))=0</formula>
    </cfRule>
  </conditionalFormatting>
  <conditionalFormatting sqref="R12">
    <cfRule type="cellIs" dxfId="775" priority="812" stopIfTrue="1" operator="equal">
      <formula>"NO"</formula>
    </cfRule>
  </conditionalFormatting>
  <conditionalFormatting sqref="S12">
    <cfRule type="cellIs" dxfId="774" priority="811" stopIfTrue="1" operator="equal">
      <formula>"INVIABLE SANITARIAMENTE"</formula>
    </cfRule>
  </conditionalFormatting>
  <conditionalFormatting sqref="Q12">
    <cfRule type="containsBlanks" dxfId="773" priority="804" stopIfTrue="1">
      <formula>LEN(TRIM(Q12))=0</formula>
    </cfRule>
    <cfRule type="cellIs" dxfId="772" priority="805" stopIfTrue="1" operator="between">
      <formula>80.1</formula>
      <formula>100</formula>
    </cfRule>
    <cfRule type="cellIs" dxfId="771" priority="806" stopIfTrue="1" operator="between">
      <formula>35.1</formula>
      <formula>80</formula>
    </cfRule>
    <cfRule type="cellIs" dxfId="770" priority="807" stopIfTrue="1" operator="between">
      <formula>14.1</formula>
      <formula>35</formula>
    </cfRule>
    <cfRule type="cellIs" dxfId="769" priority="808" stopIfTrue="1" operator="between">
      <formula>5.1</formula>
      <formula>14</formula>
    </cfRule>
    <cfRule type="cellIs" dxfId="768" priority="809" stopIfTrue="1" operator="between">
      <formula>0</formula>
      <formula>5</formula>
    </cfRule>
    <cfRule type="containsBlanks" dxfId="767" priority="810" stopIfTrue="1">
      <formula>LEN(TRIM(Q12))=0</formula>
    </cfRule>
  </conditionalFormatting>
  <conditionalFormatting sqref="S12">
    <cfRule type="containsText" dxfId="766" priority="799" stopIfTrue="1" operator="containsText" text="INVIABLE SANITARIAMENTE">
      <formula>NOT(ISERROR(SEARCH("INVIABLE SANITARIAMENTE",S12)))</formula>
    </cfRule>
    <cfRule type="containsText" dxfId="765" priority="800" stopIfTrue="1" operator="containsText" text="ALTO">
      <formula>NOT(ISERROR(SEARCH("ALTO",S12)))</formula>
    </cfRule>
    <cfRule type="containsText" dxfId="764" priority="801" stopIfTrue="1" operator="containsText" text="MEDIO">
      <formula>NOT(ISERROR(SEARCH("MEDIO",S12)))</formula>
    </cfRule>
    <cfRule type="containsText" dxfId="763" priority="802" stopIfTrue="1" operator="containsText" text="BAJO">
      <formula>NOT(ISERROR(SEARCH("BAJO",S12)))</formula>
    </cfRule>
    <cfRule type="containsText" dxfId="762" priority="803" stopIfTrue="1" operator="containsText" text="SIN RIESGO">
      <formula>NOT(ISERROR(SEARCH("SIN RIESGO",S12)))</formula>
    </cfRule>
  </conditionalFormatting>
  <conditionalFormatting sqref="S12">
    <cfRule type="containsText" dxfId="761" priority="798" stopIfTrue="1" operator="containsText" text="SIN RIESGO">
      <formula>NOT(ISERROR(SEARCH("SIN RIESGO",S12)))</formula>
    </cfRule>
  </conditionalFormatting>
  <conditionalFormatting sqref="R13:R61 R72:R106 R108 R110:R131">
    <cfRule type="cellIs" dxfId="760" priority="797" stopIfTrue="1" operator="equal">
      <formula>"NO"</formula>
    </cfRule>
  </conditionalFormatting>
  <conditionalFormatting sqref="S13:S67 S149:S201 S555:S572 S71:S106 S108 S110:S143 S351:S443 S446:S454 S456:S506 S203:S348 S508:S551">
    <cfRule type="cellIs" dxfId="759" priority="796" stopIfTrue="1" operator="equal">
      <formula>"INVIABLE SANITARIAMENTE"</formula>
    </cfRule>
  </conditionalFormatting>
  <conditionalFormatting sqref="S13:S67 S149:S201 S555:S572 S71:S106 S108 S110:S143 S351:S443 S446:S454 S456:S506 S203:S348 S508:S551">
    <cfRule type="containsText" dxfId="758" priority="784" stopIfTrue="1" operator="containsText" text="INVIABLE SANITARIAMENTE">
      <formula>NOT(ISERROR(SEARCH("INVIABLE SANITARIAMENTE",S13)))</formula>
    </cfRule>
    <cfRule type="containsText" dxfId="757" priority="785" stopIfTrue="1" operator="containsText" text="ALTO">
      <formula>NOT(ISERROR(SEARCH("ALTO",S13)))</formula>
    </cfRule>
    <cfRule type="containsText" dxfId="756" priority="786" stopIfTrue="1" operator="containsText" text="MEDIO">
      <formula>NOT(ISERROR(SEARCH("MEDIO",S13)))</formula>
    </cfRule>
    <cfRule type="containsText" dxfId="755" priority="787" stopIfTrue="1" operator="containsText" text="BAJO">
      <formula>NOT(ISERROR(SEARCH("BAJO",S13)))</formula>
    </cfRule>
    <cfRule type="containsText" dxfId="754" priority="788" stopIfTrue="1" operator="containsText" text="SIN RIESGO">
      <formula>NOT(ISERROR(SEARCH("SIN RIESGO",S13)))</formula>
    </cfRule>
  </conditionalFormatting>
  <conditionalFormatting sqref="S13:S67 S149:S201 S555:S572 S71:S106 S108 S110:S143 S351:S443 S446:S454 S456:S506 S203:S348 S508:S551">
    <cfRule type="containsText" dxfId="753" priority="783" stopIfTrue="1" operator="containsText" text="SIN RIESGO">
      <formula>NOT(ISERROR(SEARCH("SIN RIESGO",S13)))</formula>
    </cfRule>
  </conditionalFormatting>
  <conditionalFormatting sqref="K12:P61">
    <cfRule type="containsBlanks" dxfId="752" priority="776" stopIfTrue="1">
      <formula>LEN(TRIM(K12))=0</formula>
    </cfRule>
    <cfRule type="cellIs" dxfId="751" priority="777" stopIfTrue="1" operator="between">
      <formula>80.1</formula>
      <formula>100</formula>
    </cfRule>
    <cfRule type="cellIs" dxfId="750" priority="778" stopIfTrue="1" operator="between">
      <formula>35.1</formula>
      <formula>80</formula>
    </cfRule>
    <cfRule type="cellIs" dxfId="749" priority="779" stopIfTrue="1" operator="between">
      <formula>14.1</formula>
      <formula>35</formula>
    </cfRule>
    <cfRule type="cellIs" dxfId="748" priority="780" stopIfTrue="1" operator="between">
      <formula>5.1</formula>
      <formula>14</formula>
    </cfRule>
    <cfRule type="cellIs" dxfId="747" priority="781" stopIfTrue="1" operator="between">
      <formula>0</formula>
      <formula>5</formula>
    </cfRule>
    <cfRule type="containsBlanks" dxfId="746" priority="782" stopIfTrue="1">
      <formula>LEN(TRIM(K12))=0</formula>
    </cfRule>
  </conditionalFormatting>
  <conditionalFormatting sqref="E12:J28 H29:J29 E29:F29 E30:J61">
    <cfRule type="containsBlanks" dxfId="745" priority="769" stopIfTrue="1">
      <formula>LEN(TRIM(E12))=0</formula>
    </cfRule>
    <cfRule type="cellIs" dxfId="744" priority="770" stopIfTrue="1" operator="between">
      <formula>80.1</formula>
      <formula>100</formula>
    </cfRule>
    <cfRule type="cellIs" dxfId="743" priority="771" stopIfTrue="1" operator="between">
      <formula>35.1</formula>
      <formula>80</formula>
    </cfRule>
    <cfRule type="cellIs" dxfId="742" priority="772" stopIfTrue="1" operator="between">
      <formula>14.1</formula>
      <formula>35</formula>
    </cfRule>
    <cfRule type="cellIs" dxfId="741" priority="773" stopIfTrue="1" operator="between">
      <formula>5.1</formula>
      <formula>14</formula>
    </cfRule>
    <cfRule type="cellIs" dxfId="740" priority="774" stopIfTrue="1" operator="between">
      <formula>0</formula>
      <formula>5</formula>
    </cfRule>
    <cfRule type="containsBlanks" dxfId="739" priority="775" stopIfTrue="1">
      <formula>LEN(TRIM(E12))=0</formula>
    </cfRule>
  </conditionalFormatting>
  <conditionalFormatting sqref="G29">
    <cfRule type="containsBlanks" dxfId="738" priority="762" stopIfTrue="1">
      <formula>LEN(TRIM(G29))=0</formula>
    </cfRule>
    <cfRule type="cellIs" dxfId="737" priority="763" stopIfTrue="1" operator="between">
      <formula>80.1</formula>
      <formula>100</formula>
    </cfRule>
    <cfRule type="cellIs" dxfId="736" priority="764" stopIfTrue="1" operator="between">
      <formula>35.1</formula>
      <formula>80</formula>
    </cfRule>
    <cfRule type="cellIs" dxfId="735" priority="765" stopIfTrue="1" operator="between">
      <formula>14.1</formula>
      <formula>35</formula>
    </cfRule>
    <cfRule type="cellIs" dxfId="734" priority="766" stopIfTrue="1" operator="between">
      <formula>5.1</formula>
      <formula>14</formula>
    </cfRule>
    <cfRule type="cellIs" dxfId="733" priority="767" stopIfTrue="1" operator="between">
      <formula>0</formula>
      <formula>5</formula>
    </cfRule>
    <cfRule type="containsBlanks" dxfId="732" priority="768" stopIfTrue="1">
      <formula>LEN(TRIM(G29))=0</formula>
    </cfRule>
  </conditionalFormatting>
  <conditionalFormatting sqref="R62:R67 R71">
    <cfRule type="cellIs" dxfId="731" priority="761" stopIfTrue="1" operator="equal">
      <formula>"NO"</formula>
    </cfRule>
  </conditionalFormatting>
  <conditionalFormatting sqref="S62:S67 S149:S201 S555:S572 S71:S106 S108 S110:S143 S351:S443 S446:S454 S456:S506 S203:S348 S508:S551">
    <cfRule type="cellIs" dxfId="730" priority="760" stopIfTrue="1" operator="equal">
      <formula>"INVIABLE SANITARIAMENTE"</formula>
    </cfRule>
  </conditionalFormatting>
  <conditionalFormatting sqref="E62:Q67 E71:F71 H71:Q71">
    <cfRule type="containsBlanks" dxfId="729" priority="753" stopIfTrue="1">
      <formula>LEN(TRIM(E62))=0</formula>
    </cfRule>
    <cfRule type="cellIs" dxfId="728" priority="754" stopIfTrue="1" operator="between">
      <formula>80.1</formula>
      <formula>100</formula>
    </cfRule>
    <cfRule type="cellIs" dxfId="727" priority="755" stopIfTrue="1" operator="between">
      <formula>35.1</formula>
      <formula>80</formula>
    </cfRule>
    <cfRule type="cellIs" dxfId="726" priority="756" stopIfTrue="1" operator="between">
      <formula>14.1</formula>
      <formula>35</formula>
    </cfRule>
    <cfRule type="cellIs" dxfId="725" priority="757" stopIfTrue="1" operator="between">
      <formula>5.1</formula>
      <formula>14</formula>
    </cfRule>
    <cfRule type="cellIs" dxfId="724" priority="758" stopIfTrue="1" operator="between">
      <formula>0</formula>
      <formula>5</formula>
    </cfRule>
    <cfRule type="containsBlanks" dxfId="723" priority="759" stopIfTrue="1">
      <formula>LEN(TRIM(E62))=0</formula>
    </cfRule>
  </conditionalFormatting>
  <conditionalFormatting sqref="S62:S67 S149:S201 S555:S572 S71:S106 S108 S110:S143 S351:S443 S446:S454 S456:S506 S203:S348 S508:S551">
    <cfRule type="containsText" dxfId="722" priority="748" stopIfTrue="1" operator="containsText" text="INVIABLE SANITARIAMENTE">
      <formula>NOT(ISERROR(SEARCH("INVIABLE SANITARIAMENTE",S62)))</formula>
    </cfRule>
    <cfRule type="containsText" dxfId="721" priority="749" stopIfTrue="1" operator="containsText" text="ALTO">
      <formula>NOT(ISERROR(SEARCH("ALTO",S62)))</formula>
    </cfRule>
    <cfRule type="containsText" dxfId="720" priority="750" stopIfTrue="1" operator="containsText" text="MEDIO">
      <formula>NOT(ISERROR(SEARCH("MEDIO",S62)))</formula>
    </cfRule>
    <cfRule type="containsText" dxfId="719" priority="751" stopIfTrue="1" operator="containsText" text="BAJO">
      <formula>NOT(ISERROR(SEARCH("BAJO",S62)))</formula>
    </cfRule>
    <cfRule type="containsText" dxfId="718" priority="752" stopIfTrue="1" operator="containsText" text="SIN RIESGO">
      <formula>NOT(ISERROR(SEARCH("SIN RIESGO",S62)))</formula>
    </cfRule>
  </conditionalFormatting>
  <conditionalFormatting sqref="S62:S67 S149:S201 S555:S572 S71:S106 S108 S110:S143 S351:S443 S446:S454 S456:S506 S203:S348 S508:S551">
    <cfRule type="containsText" dxfId="717" priority="747" stopIfTrue="1" operator="containsText" text="SIN RIESGO">
      <formula>NOT(ISERROR(SEARCH("SIN RIESGO",S62)))</formula>
    </cfRule>
  </conditionalFormatting>
  <conditionalFormatting sqref="R426:R436">
    <cfRule type="cellIs" dxfId="716" priority="725" stopIfTrue="1" operator="equal">
      <formula>"NO"</formula>
    </cfRule>
  </conditionalFormatting>
  <conditionalFormatting sqref="E426:Q433 Q434:Q436">
    <cfRule type="containsBlanks" dxfId="715" priority="717" stopIfTrue="1">
      <formula>LEN(TRIM(E426))=0</formula>
    </cfRule>
    <cfRule type="cellIs" dxfId="714" priority="718" stopIfTrue="1" operator="between">
      <formula>80.1</formula>
      <formula>100</formula>
    </cfRule>
    <cfRule type="cellIs" dxfId="713" priority="719" stopIfTrue="1" operator="between">
      <formula>35.1</formula>
      <formula>80</formula>
    </cfRule>
    <cfRule type="cellIs" dxfId="712" priority="720" stopIfTrue="1" operator="between">
      <formula>14.1</formula>
      <formula>35</formula>
    </cfRule>
    <cfRule type="cellIs" dxfId="711" priority="721" stopIfTrue="1" operator="between">
      <formula>5.1</formula>
      <formula>14</formula>
    </cfRule>
    <cfRule type="cellIs" dxfId="710" priority="722" stopIfTrue="1" operator="between">
      <formula>0</formula>
      <formula>5</formula>
    </cfRule>
    <cfRule type="containsBlanks" dxfId="709" priority="723" stopIfTrue="1">
      <formula>LEN(TRIM(E426))=0</formula>
    </cfRule>
  </conditionalFormatting>
  <conditionalFormatting sqref="F62">
    <cfRule type="colorScale" priority="710">
      <colorScale>
        <cfvo type="min"/>
        <cfvo type="percentile" val="50"/>
        <cfvo type="max"/>
        <color rgb="FF63BE7B"/>
        <color rgb="FFFFEB84"/>
        <color rgb="FFF8696B"/>
      </colorScale>
    </cfRule>
  </conditionalFormatting>
  <conditionalFormatting sqref="R144">
    <cfRule type="cellIs" dxfId="708" priority="708" stopIfTrue="1" operator="equal">
      <formula>"NO"</formula>
    </cfRule>
  </conditionalFormatting>
  <conditionalFormatting sqref="S144">
    <cfRule type="cellIs" dxfId="707" priority="709" stopIfTrue="1" operator="equal">
      <formula>"INVIABLE SANITARIAMENTE"</formula>
    </cfRule>
  </conditionalFormatting>
  <conditionalFormatting sqref="Q144">
    <cfRule type="containsBlanks" dxfId="706" priority="701" stopIfTrue="1">
      <formula>LEN(TRIM(Q144))=0</formula>
    </cfRule>
    <cfRule type="cellIs" dxfId="705" priority="702" stopIfTrue="1" operator="between">
      <formula>80.1</formula>
      <formula>100</formula>
    </cfRule>
    <cfRule type="cellIs" dxfId="704" priority="703" stopIfTrue="1" operator="between">
      <formula>35.1</formula>
      <formula>80</formula>
    </cfRule>
    <cfRule type="cellIs" dxfId="703" priority="704" stopIfTrue="1" operator="between">
      <formula>14.1</formula>
      <formula>35</formula>
    </cfRule>
    <cfRule type="cellIs" dxfId="702" priority="705" stopIfTrue="1" operator="between">
      <formula>5.1</formula>
      <formula>14</formula>
    </cfRule>
    <cfRule type="cellIs" dxfId="701" priority="706" stopIfTrue="1" operator="between">
      <formula>0</formula>
      <formula>5</formula>
    </cfRule>
    <cfRule type="containsBlanks" dxfId="700" priority="707" stopIfTrue="1">
      <formula>LEN(TRIM(Q144))=0</formula>
    </cfRule>
  </conditionalFormatting>
  <conditionalFormatting sqref="S144">
    <cfRule type="containsText" dxfId="699" priority="696" stopIfTrue="1" operator="containsText" text="INVIABLE SANITARIAMENTE">
      <formula>NOT(ISERROR(SEARCH("INVIABLE SANITARIAMENTE",S144)))</formula>
    </cfRule>
    <cfRule type="containsText" dxfId="698" priority="697" stopIfTrue="1" operator="containsText" text="ALTO">
      <formula>NOT(ISERROR(SEARCH("ALTO",S144)))</formula>
    </cfRule>
    <cfRule type="containsText" dxfId="697" priority="698" stopIfTrue="1" operator="containsText" text="MEDIO">
      <formula>NOT(ISERROR(SEARCH("MEDIO",S144)))</formula>
    </cfRule>
    <cfRule type="containsText" dxfId="696" priority="699" stopIfTrue="1" operator="containsText" text="BAJO">
      <formula>NOT(ISERROR(SEARCH("BAJO",S144)))</formula>
    </cfRule>
    <cfRule type="containsText" dxfId="695" priority="700" stopIfTrue="1" operator="containsText" text="SIN RIESGO">
      <formula>NOT(ISERROR(SEARCH("SIN RIESGO",S144)))</formula>
    </cfRule>
  </conditionalFormatting>
  <conditionalFormatting sqref="S144">
    <cfRule type="containsText" dxfId="694" priority="695" stopIfTrue="1" operator="containsText" text="SIN RIESGO">
      <formula>NOT(ISERROR(SEARCH("SIN RIESGO",S144)))</formula>
    </cfRule>
  </conditionalFormatting>
  <conditionalFormatting sqref="E144:Q144">
    <cfRule type="containsBlanks" dxfId="693" priority="688" stopIfTrue="1">
      <formula>LEN(TRIM(E144))=0</formula>
    </cfRule>
    <cfRule type="cellIs" dxfId="692" priority="689" stopIfTrue="1" operator="between">
      <formula>79.1</formula>
      <formula>100</formula>
    </cfRule>
    <cfRule type="cellIs" dxfId="691" priority="690" stopIfTrue="1" operator="between">
      <formula>34.1</formula>
      <formula>79</formula>
    </cfRule>
    <cfRule type="cellIs" dxfId="690" priority="691" stopIfTrue="1" operator="between">
      <formula>13.1</formula>
      <formula>34</formula>
    </cfRule>
    <cfRule type="cellIs" dxfId="689" priority="692" stopIfTrue="1" operator="between">
      <formula>5.1</formula>
      <formula>13</formula>
    </cfRule>
    <cfRule type="cellIs" dxfId="688" priority="693" stopIfTrue="1" operator="between">
      <formula>0</formula>
      <formula>5</formula>
    </cfRule>
    <cfRule type="containsBlanks" dxfId="687" priority="694" stopIfTrue="1">
      <formula>LEN(TRIM(E144))=0</formula>
    </cfRule>
  </conditionalFormatting>
  <conditionalFormatting sqref="S144">
    <cfRule type="cellIs" dxfId="686" priority="687" stopIfTrue="1" operator="equal">
      <formula>"INVIABLE SANITARIAMENTE"</formula>
    </cfRule>
  </conditionalFormatting>
  <conditionalFormatting sqref="S144">
    <cfRule type="containsText" dxfId="685" priority="682" stopIfTrue="1" operator="containsText" text="INVIABLE SANITARIAMENTE">
      <formula>NOT(ISERROR(SEARCH("INVIABLE SANITARIAMENTE",S144)))</formula>
    </cfRule>
    <cfRule type="containsText" dxfId="684" priority="683" stopIfTrue="1" operator="containsText" text="ALTO">
      <formula>NOT(ISERROR(SEARCH("ALTO",S144)))</formula>
    </cfRule>
    <cfRule type="containsText" dxfId="683" priority="684" stopIfTrue="1" operator="containsText" text="MEDIO">
      <formula>NOT(ISERROR(SEARCH("MEDIO",S144)))</formula>
    </cfRule>
    <cfRule type="containsText" dxfId="682" priority="685" stopIfTrue="1" operator="containsText" text="BAJO">
      <formula>NOT(ISERROR(SEARCH("BAJO",S144)))</formula>
    </cfRule>
    <cfRule type="containsText" dxfId="681" priority="686" stopIfTrue="1" operator="containsText" text="SIN RIESGO">
      <formula>NOT(ISERROR(SEARCH("SIN RIESGO",S144)))</formula>
    </cfRule>
  </conditionalFormatting>
  <conditionalFormatting sqref="S144">
    <cfRule type="containsText" dxfId="680" priority="681" stopIfTrue="1" operator="containsText" text="SIN RIESGO">
      <formula>NOT(ISERROR(SEARCH("SIN RIESGO",S144)))</formula>
    </cfRule>
  </conditionalFormatting>
  <conditionalFormatting sqref="S144">
    <cfRule type="cellIs" dxfId="679" priority="680" stopIfTrue="1" operator="equal">
      <formula>"INVIABLE SANITARIAMENTE"</formula>
    </cfRule>
  </conditionalFormatting>
  <conditionalFormatting sqref="S144">
    <cfRule type="containsText" dxfId="678" priority="675" stopIfTrue="1" operator="containsText" text="INVIABLE SANITARIAMENTE">
      <formula>NOT(ISERROR(SEARCH("INVIABLE SANITARIAMENTE",S144)))</formula>
    </cfRule>
    <cfRule type="containsText" dxfId="677" priority="676" stopIfTrue="1" operator="containsText" text="ALTO">
      <formula>NOT(ISERROR(SEARCH("ALTO",S144)))</formula>
    </cfRule>
    <cfRule type="containsText" dxfId="676" priority="677" stopIfTrue="1" operator="containsText" text="MEDIO">
      <formula>NOT(ISERROR(SEARCH("MEDIO",S144)))</formula>
    </cfRule>
    <cfRule type="containsText" dxfId="675" priority="678" stopIfTrue="1" operator="containsText" text="BAJO">
      <formula>NOT(ISERROR(SEARCH("BAJO",S144)))</formula>
    </cfRule>
    <cfRule type="containsText" dxfId="674" priority="679" stopIfTrue="1" operator="containsText" text="SIN RIESGO">
      <formula>NOT(ISERROR(SEARCH("SIN RIESGO",S144)))</formula>
    </cfRule>
  </conditionalFormatting>
  <conditionalFormatting sqref="S144">
    <cfRule type="containsText" dxfId="673" priority="674" stopIfTrue="1" operator="containsText" text="SIN RIESGO">
      <formula>NOT(ISERROR(SEARCH("SIN RIESGO",S144)))</formula>
    </cfRule>
  </conditionalFormatting>
  <conditionalFormatting sqref="R145">
    <cfRule type="cellIs" dxfId="672" priority="672" stopIfTrue="1" operator="equal">
      <formula>"NO"</formula>
    </cfRule>
  </conditionalFormatting>
  <conditionalFormatting sqref="S145">
    <cfRule type="cellIs" dxfId="671" priority="673" stopIfTrue="1" operator="equal">
      <formula>"INVIABLE SANITARIAMENTE"</formula>
    </cfRule>
  </conditionalFormatting>
  <conditionalFormatting sqref="Q145">
    <cfRule type="containsBlanks" dxfId="670" priority="665" stopIfTrue="1">
      <formula>LEN(TRIM(Q145))=0</formula>
    </cfRule>
    <cfRule type="cellIs" dxfId="669" priority="666" stopIfTrue="1" operator="between">
      <formula>80.1</formula>
      <formula>100</formula>
    </cfRule>
    <cfRule type="cellIs" dxfId="668" priority="667" stopIfTrue="1" operator="between">
      <formula>35.1</formula>
      <formula>80</formula>
    </cfRule>
    <cfRule type="cellIs" dxfId="667" priority="668" stopIfTrue="1" operator="between">
      <formula>14.1</formula>
      <formula>35</formula>
    </cfRule>
    <cfRule type="cellIs" dxfId="666" priority="669" stopIfTrue="1" operator="between">
      <formula>5.1</formula>
      <formula>14</formula>
    </cfRule>
    <cfRule type="cellIs" dxfId="665" priority="670" stopIfTrue="1" operator="between">
      <formula>0</formula>
      <formula>5</formula>
    </cfRule>
    <cfRule type="containsBlanks" dxfId="664" priority="671" stopIfTrue="1">
      <formula>LEN(TRIM(Q145))=0</formula>
    </cfRule>
  </conditionalFormatting>
  <conditionalFormatting sqref="S145">
    <cfRule type="containsText" dxfId="663" priority="660" stopIfTrue="1" operator="containsText" text="INVIABLE SANITARIAMENTE">
      <formula>NOT(ISERROR(SEARCH("INVIABLE SANITARIAMENTE",S145)))</formula>
    </cfRule>
    <cfRule type="containsText" dxfId="662" priority="661" stopIfTrue="1" operator="containsText" text="ALTO">
      <formula>NOT(ISERROR(SEARCH("ALTO",S145)))</formula>
    </cfRule>
    <cfRule type="containsText" dxfId="661" priority="662" stopIfTrue="1" operator="containsText" text="MEDIO">
      <formula>NOT(ISERROR(SEARCH("MEDIO",S145)))</formula>
    </cfRule>
    <cfRule type="containsText" dxfId="660" priority="663" stopIfTrue="1" operator="containsText" text="BAJO">
      <formula>NOT(ISERROR(SEARCH("BAJO",S145)))</formula>
    </cfRule>
    <cfRule type="containsText" dxfId="659" priority="664" stopIfTrue="1" operator="containsText" text="SIN RIESGO">
      <formula>NOT(ISERROR(SEARCH("SIN RIESGO",S145)))</formula>
    </cfRule>
  </conditionalFormatting>
  <conditionalFormatting sqref="S145">
    <cfRule type="containsText" dxfId="658" priority="659" stopIfTrue="1" operator="containsText" text="SIN RIESGO">
      <formula>NOT(ISERROR(SEARCH("SIN RIESGO",S145)))</formula>
    </cfRule>
  </conditionalFormatting>
  <conditionalFormatting sqref="E145:Q145">
    <cfRule type="containsBlanks" dxfId="657" priority="652" stopIfTrue="1">
      <formula>LEN(TRIM(E145))=0</formula>
    </cfRule>
    <cfRule type="cellIs" dxfId="656" priority="653" stopIfTrue="1" operator="between">
      <formula>79.1</formula>
      <formula>100</formula>
    </cfRule>
    <cfRule type="cellIs" dxfId="655" priority="654" stopIfTrue="1" operator="between">
      <formula>34.1</formula>
      <formula>79</formula>
    </cfRule>
    <cfRule type="cellIs" dxfId="654" priority="655" stopIfTrue="1" operator="between">
      <formula>13.1</formula>
      <formula>34</formula>
    </cfRule>
    <cfRule type="cellIs" dxfId="653" priority="656" stopIfTrue="1" operator="between">
      <formula>5.1</formula>
      <formula>13</formula>
    </cfRule>
    <cfRule type="cellIs" dxfId="652" priority="657" stopIfTrue="1" operator="between">
      <formula>0</formula>
      <formula>5</formula>
    </cfRule>
    <cfRule type="containsBlanks" dxfId="651" priority="658" stopIfTrue="1">
      <formula>LEN(TRIM(E145))=0</formula>
    </cfRule>
  </conditionalFormatting>
  <conditionalFormatting sqref="S145">
    <cfRule type="cellIs" dxfId="650" priority="651" stopIfTrue="1" operator="equal">
      <formula>"INVIABLE SANITARIAMENTE"</formula>
    </cfRule>
  </conditionalFormatting>
  <conditionalFormatting sqref="S145">
    <cfRule type="containsText" dxfId="649" priority="646" stopIfTrue="1" operator="containsText" text="INVIABLE SANITARIAMENTE">
      <formula>NOT(ISERROR(SEARCH("INVIABLE SANITARIAMENTE",S145)))</formula>
    </cfRule>
    <cfRule type="containsText" dxfId="648" priority="647" stopIfTrue="1" operator="containsText" text="ALTO">
      <formula>NOT(ISERROR(SEARCH("ALTO",S145)))</formula>
    </cfRule>
    <cfRule type="containsText" dxfId="647" priority="648" stopIfTrue="1" operator="containsText" text="MEDIO">
      <formula>NOT(ISERROR(SEARCH("MEDIO",S145)))</formula>
    </cfRule>
    <cfRule type="containsText" dxfId="646" priority="649" stopIfTrue="1" operator="containsText" text="BAJO">
      <formula>NOT(ISERROR(SEARCH("BAJO",S145)))</formula>
    </cfRule>
    <cfRule type="containsText" dxfId="645" priority="650" stopIfTrue="1" operator="containsText" text="SIN RIESGO">
      <formula>NOT(ISERROR(SEARCH("SIN RIESGO",S145)))</formula>
    </cfRule>
  </conditionalFormatting>
  <conditionalFormatting sqref="S145">
    <cfRule type="containsText" dxfId="644" priority="645" stopIfTrue="1" operator="containsText" text="SIN RIESGO">
      <formula>NOT(ISERROR(SEARCH("SIN RIESGO",S145)))</formula>
    </cfRule>
  </conditionalFormatting>
  <conditionalFormatting sqref="S145">
    <cfRule type="cellIs" dxfId="643" priority="644" stopIfTrue="1" operator="equal">
      <formula>"INVIABLE SANITARIAMENTE"</formula>
    </cfRule>
  </conditionalFormatting>
  <conditionalFormatting sqref="S145">
    <cfRule type="containsText" dxfId="642" priority="639" stopIfTrue="1" operator="containsText" text="INVIABLE SANITARIAMENTE">
      <formula>NOT(ISERROR(SEARCH("INVIABLE SANITARIAMENTE",S145)))</formula>
    </cfRule>
    <cfRule type="containsText" dxfId="641" priority="640" stopIfTrue="1" operator="containsText" text="ALTO">
      <formula>NOT(ISERROR(SEARCH("ALTO",S145)))</formula>
    </cfRule>
    <cfRule type="containsText" dxfId="640" priority="641" stopIfTrue="1" operator="containsText" text="MEDIO">
      <formula>NOT(ISERROR(SEARCH("MEDIO",S145)))</formula>
    </cfRule>
    <cfRule type="containsText" dxfId="639" priority="642" stopIfTrue="1" operator="containsText" text="BAJO">
      <formula>NOT(ISERROR(SEARCH("BAJO",S145)))</formula>
    </cfRule>
    <cfRule type="containsText" dxfId="638" priority="643" stopIfTrue="1" operator="containsText" text="SIN RIESGO">
      <formula>NOT(ISERROR(SEARCH("SIN RIESGO",S145)))</formula>
    </cfRule>
  </conditionalFormatting>
  <conditionalFormatting sqref="S145">
    <cfRule type="containsText" dxfId="637" priority="638" stopIfTrue="1" operator="containsText" text="SIN RIESGO">
      <formula>NOT(ISERROR(SEARCH("SIN RIESGO",S145)))</formula>
    </cfRule>
  </conditionalFormatting>
  <conditionalFormatting sqref="R146">
    <cfRule type="cellIs" dxfId="636" priority="636" stopIfTrue="1" operator="equal">
      <formula>"NO"</formula>
    </cfRule>
  </conditionalFormatting>
  <conditionalFormatting sqref="S146">
    <cfRule type="cellIs" dxfId="635" priority="637" stopIfTrue="1" operator="equal">
      <formula>"INVIABLE SANITARIAMENTE"</formula>
    </cfRule>
  </conditionalFormatting>
  <conditionalFormatting sqref="Q146">
    <cfRule type="containsBlanks" dxfId="634" priority="629" stopIfTrue="1">
      <formula>LEN(TRIM(Q146))=0</formula>
    </cfRule>
    <cfRule type="cellIs" dxfId="633" priority="630" stopIfTrue="1" operator="between">
      <formula>80.1</formula>
      <formula>100</formula>
    </cfRule>
    <cfRule type="cellIs" dxfId="632" priority="631" stopIfTrue="1" operator="between">
      <formula>35.1</formula>
      <formula>80</formula>
    </cfRule>
    <cfRule type="cellIs" dxfId="631" priority="632" stopIfTrue="1" operator="between">
      <formula>14.1</formula>
      <formula>35</formula>
    </cfRule>
    <cfRule type="cellIs" dxfId="630" priority="633" stopIfTrue="1" operator="between">
      <formula>5.1</formula>
      <formula>14</formula>
    </cfRule>
    <cfRule type="cellIs" dxfId="629" priority="634" stopIfTrue="1" operator="between">
      <formula>0</formula>
      <formula>5</formula>
    </cfRule>
    <cfRule type="containsBlanks" dxfId="628" priority="635" stopIfTrue="1">
      <formula>LEN(TRIM(Q146))=0</formula>
    </cfRule>
  </conditionalFormatting>
  <conditionalFormatting sqref="S146">
    <cfRule type="containsText" dxfId="627" priority="624" stopIfTrue="1" operator="containsText" text="INVIABLE SANITARIAMENTE">
      <formula>NOT(ISERROR(SEARCH("INVIABLE SANITARIAMENTE",S146)))</formula>
    </cfRule>
    <cfRule type="containsText" dxfId="626" priority="625" stopIfTrue="1" operator="containsText" text="ALTO">
      <formula>NOT(ISERROR(SEARCH("ALTO",S146)))</formula>
    </cfRule>
    <cfRule type="containsText" dxfId="625" priority="626" stopIfTrue="1" operator="containsText" text="MEDIO">
      <formula>NOT(ISERROR(SEARCH("MEDIO",S146)))</formula>
    </cfRule>
    <cfRule type="containsText" dxfId="624" priority="627" stopIfTrue="1" operator="containsText" text="BAJO">
      <formula>NOT(ISERROR(SEARCH("BAJO",S146)))</formula>
    </cfRule>
    <cfRule type="containsText" dxfId="623" priority="628" stopIfTrue="1" operator="containsText" text="SIN RIESGO">
      <formula>NOT(ISERROR(SEARCH("SIN RIESGO",S146)))</formula>
    </cfRule>
  </conditionalFormatting>
  <conditionalFormatting sqref="S146">
    <cfRule type="containsText" dxfId="622" priority="623" stopIfTrue="1" operator="containsText" text="SIN RIESGO">
      <formula>NOT(ISERROR(SEARCH("SIN RIESGO",S146)))</formula>
    </cfRule>
  </conditionalFormatting>
  <conditionalFormatting sqref="E146:Q146">
    <cfRule type="containsBlanks" dxfId="621" priority="616" stopIfTrue="1">
      <formula>LEN(TRIM(E146))=0</formula>
    </cfRule>
    <cfRule type="cellIs" dxfId="620" priority="617" stopIfTrue="1" operator="between">
      <formula>79.1</formula>
      <formula>100</formula>
    </cfRule>
    <cfRule type="cellIs" dxfId="619" priority="618" stopIfTrue="1" operator="between">
      <formula>34.1</formula>
      <formula>79</formula>
    </cfRule>
    <cfRule type="cellIs" dxfId="618" priority="619" stopIfTrue="1" operator="between">
      <formula>13.1</formula>
      <formula>34</formula>
    </cfRule>
    <cfRule type="cellIs" dxfId="617" priority="620" stopIfTrue="1" operator="between">
      <formula>5.1</formula>
      <formula>13</formula>
    </cfRule>
    <cfRule type="cellIs" dxfId="616" priority="621" stopIfTrue="1" operator="between">
      <formula>0</formula>
      <formula>5</formula>
    </cfRule>
    <cfRule type="containsBlanks" dxfId="615" priority="622" stopIfTrue="1">
      <formula>LEN(TRIM(E146))=0</formula>
    </cfRule>
  </conditionalFormatting>
  <conditionalFormatting sqref="S146">
    <cfRule type="cellIs" dxfId="614" priority="615" stopIfTrue="1" operator="equal">
      <formula>"INVIABLE SANITARIAMENTE"</formula>
    </cfRule>
  </conditionalFormatting>
  <conditionalFormatting sqref="S146">
    <cfRule type="containsText" dxfId="613" priority="610" stopIfTrue="1" operator="containsText" text="INVIABLE SANITARIAMENTE">
      <formula>NOT(ISERROR(SEARCH("INVIABLE SANITARIAMENTE",S146)))</formula>
    </cfRule>
    <cfRule type="containsText" dxfId="612" priority="611" stopIfTrue="1" operator="containsText" text="ALTO">
      <formula>NOT(ISERROR(SEARCH("ALTO",S146)))</formula>
    </cfRule>
    <cfRule type="containsText" dxfId="611" priority="612" stopIfTrue="1" operator="containsText" text="MEDIO">
      <formula>NOT(ISERROR(SEARCH("MEDIO",S146)))</formula>
    </cfRule>
    <cfRule type="containsText" dxfId="610" priority="613" stopIfTrue="1" operator="containsText" text="BAJO">
      <formula>NOT(ISERROR(SEARCH("BAJO",S146)))</formula>
    </cfRule>
    <cfRule type="containsText" dxfId="609" priority="614" stopIfTrue="1" operator="containsText" text="SIN RIESGO">
      <formula>NOT(ISERROR(SEARCH("SIN RIESGO",S146)))</formula>
    </cfRule>
  </conditionalFormatting>
  <conditionalFormatting sqref="S146">
    <cfRule type="containsText" dxfId="608" priority="609" stopIfTrue="1" operator="containsText" text="SIN RIESGO">
      <formula>NOT(ISERROR(SEARCH("SIN RIESGO",S146)))</formula>
    </cfRule>
  </conditionalFormatting>
  <conditionalFormatting sqref="S146">
    <cfRule type="cellIs" dxfId="607" priority="608" stopIfTrue="1" operator="equal">
      <formula>"INVIABLE SANITARIAMENTE"</formula>
    </cfRule>
  </conditionalFormatting>
  <conditionalFormatting sqref="S146">
    <cfRule type="containsText" dxfId="606" priority="603" stopIfTrue="1" operator="containsText" text="INVIABLE SANITARIAMENTE">
      <formula>NOT(ISERROR(SEARCH("INVIABLE SANITARIAMENTE",S146)))</formula>
    </cfRule>
    <cfRule type="containsText" dxfId="605" priority="604" stopIfTrue="1" operator="containsText" text="ALTO">
      <formula>NOT(ISERROR(SEARCH("ALTO",S146)))</formula>
    </cfRule>
    <cfRule type="containsText" dxfId="604" priority="605" stopIfTrue="1" operator="containsText" text="MEDIO">
      <formula>NOT(ISERROR(SEARCH("MEDIO",S146)))</formula>
    </cfRule>
    <cfRule type="containsText" dxfId="603" priority="606" stopIfTrue="1" operator="containsText" text="BAJO">
      <formula>NOT(ISERROR(SEARCH("BAJO",S146)))</formula>
    </cfRule>
    <cfRule type="containsText" dxfId="602" priority="607" stopIfTrue="1" operator="containsText" text="SIN RIESGO">
      <formula>NOT(ISERROR(SEARCH("SIN RIESGO",S146)))</formula>
    </cfRule>
  </conditionalFormatting>
  <conditionalFormatting sqref="S146">
    <cfRule type="containsText" dxfId="601" priority="602" stopIfTrue="1" operator="containsText" text="SIN RIESGO">
      <formula>NOT(ISERROR(SEARCH("SIN RIESGO",S146)))</formula>
    </cfRule>
  </conditionalFormatting>
  <conditionalFormatting sqref="R147">
    <cfRule type="cellIs" dxfId="600" priority="600" stopIfTrue="1" operator="equal">
      <formula>"NO"</formula>
    </cfRule>
  </conditionalFormatting>
  <conditionalFormatting sqref="S147">
    <cfRule type="cellIs" dxfId="599" priority="601" stopIfTrue="1" operator="equal">
      <formula>"INVIABLE SANITARIAMENTE"</formula>
    </cfRule>
  </conditionalFormatting>
  <conditionalFormatting sqref="Q147">
    <cfRule type="containsBlanks" dxfId="598" priority="593" stopIfTrue="1">
      <formula>LEN(TRIM(Q147))=0</formula>
    </cfRule>
    <cfRule type="cellIs" dxfId="597" priority="594" stopIfTrue="1" operator="between">
      <formula>80.1</formula>
      <formula>100</formula>
    </cfRule>
    <cfRule type="cellIs" dxfId="596" priority="595" stopIfTrue="1" operator="between">
      <formula>35.1</formula>
      <formula>80</formula>
    </cfRule>
    <cfRule type="cellIs" dxfId="595" priority="596" stopIfTrue="1" operator="between">
      <formula>14.1</formula>
      <formula>35</formula>
    </cfRule>
    <cfRule type="cellIs" dxfId="594" priority="597" stopIfTrue="1" operator="between">
      <formula>5.1</formula>
      <formula>14</formula>
    </cfRule>
    <cfRule type="cellIs" dxfId="593" priority="598" stopIfTrue="1" operator="between">
      <formula>0</formula>
      <formula>5</formula>
    </cfRule>
    <cfRule type="containsBlanks" dxfId="592" priority="599" stopIfTrue="1">
      <formula>LEN(TRIM(Q147))=0</formula>
    </cfRule>
  </conditionalFormatting>
  <conditionalFormatting sqref="S147">
    <cfRule type="containsText" dxfId="591" priority="588" stopIfTrue="1" operator="containsText" text="INVIABLE SANITARIAMENTE">
      <formula>NOT(ISERROR(SEARCH("INVIABLE SANITARIAMENTE",S147)))</formula>
    </cfRule>
    <cfRule type="containsText" dxfId="590" priority="589" stopIfTrue="1" operator="containsText" text="ALTO">
      <formula>NOT(ISERROR(SEARCH("ALTO",S147)))</formula>
    </cfRule>
    <cfRule type="containsText" dxfId="589" priority="590" stopIfTrue="1" operator="containsText" text="MEDIO">
      <formula>NOT(ISERROR(SEARCH("MEDIO",S147)))</formula>
    </cfRule>
    <cfRule type="containsText" dxfId="588" priority="591" stopIfTrue="1" operator="containsText" text="BAJO">
      <formula>NOT(ISERROR(SEARCH("BAJO",S147)))</formula>
    </cfRule>
    <cfRule type="containsText" dxfId="587" priority="592" stopIfTrue="1" operator="containsText" text="SIN RIESGO">
      <formula>NOT(ISERROR(SEARCH("SIN RIESGO",S147)))</formula>
    </cfRule>
  </conditionalFormatting>
  <conditionalFormatting sqref="S147">
    <cfRule type="containsText" dxfId="586" priority="587" stopIfTrue="1" operator="containsText" text="SIN RIESGO">
      <formula>NOT(ISERROR(SEARCH("SIN RIESGO",S147)))</formula>
    </cfRule>
  </conditionalFormatting>
  <conditionalFormatting sqref="E147:Q147">
    <cfRule type="containsBlanks" dxfId="585" priority="580" stopIfTrue="1">
      <formula>LEN(TRIM(E147))=0</formula>
    </cfRule>
    <cfRule type="cellIs" dxfId="584" priority="581" stopIfTrue="1" operator="between">
      <formula>79.1</formula>
      <formula>100</formula>
    </cfRule>
    <cfRule type="cellIs" dxfId="583" priority="582" stopIfTrue="1" operator="between">
      <formula>34.1</formula>
      <formula>79</formula>
    </cfRule>
    <cfRule type="cellIs" dxfId="582" priority="583" stopIfTrue="1" operator="between">
      <formula>13.1</formula>
      <formula>34</formula>
    </cfRule>
    <cfRule type="cellIs" dxfId="581" priority="584" stopIfTrue="1" operator="between">
      <formula>5.1</formula>
      <formula>13</formula>
    </cfRule>
    <cfRule type="cellIs" dxfId="580" priority="585" stopIfTrue="1" operator="between">
      <formula>0</formula>
      <formula>5</formula>
    </cfRule>
    <cfRule type="containsBlanks" dxfId="579" priority="586" stopIfTrue="1">
      <formula>LEN(TRIM(E147))=0</formula>
    </cfRule>
  </conditionalFormatting>
  <conditionalFormatting sqref="S147">
    <cfRule type="cellIs" dxfId="578" priority="579" stopIfTrue="1" operator="equal">
      <formula>"INVIABLE SANITARIAMENTE"</formula>
    </cfRule>
  </conditionalFormatting>
  <conditionalFormatting sqref="S147">
    <cfRule type="containsText" dxfId="577" priority="574" stopIfTrue="1" operator="containsText" text="INVIABLE SANITARIAMENTE">
      <formula>NOT(ISERROR(SEARCH("INVIABLE SANITARIAMENTE",S147)))</formula>
    </cfRule>
    <cfRule type="containsText" dxfId="576" priority="575" stopIfTrue="1" operator="containsText" text="ALTO">
      <formula>NOT(ISERROR(SEARCH("ALTO",S147)))</formula>
    </cfRule>
    <cfRule type="containsText" dxfId="575" priority="576" stopIfTrue="1" operator="containsText" text="MEDIO">
      <formula>NOT(ISERROR(SEARCH("MEDIO",S147)))</formula>
    </cfRule>
    <cfRule type="containsText" dxfId="574" priority="577" stopIfTrue="1" operator="containsText" text="BAJO">
      <formula>NOT(ISERROR(SEARCH("BAJO",S147)))</formula>
    </cfRule>
    <cfRule type="containsText" dxfId="573" priority="578" stopIfTrue="1" operator="containsText" text="SIN RIESGO">
      <formula>NOT(ISERROR(SEARCH("SIN RIESGO",S147)))</formula>
    </cfRule>
  </conditionalFormatting>
  <conditionalFormatting sqref="S147">
    <cfRule type="containsText" dxfId="572" priority="573" stopIfTrue="1" operator="containsText" text="SIN RIESGO">
      <formula>NOT(ISERROR(SEARCH("SIN RIESGO",S147)))</formula>
    </cfRule>
  </conditionalFormatting>
  <conditionalFormatting sqref="S147">
    <cfRule type="cellIs" dxfId="571" priority="572" stopIfTrue="1" operator="equal">
      <formula>"INVIABLE SANITARIAMENTE"</formula>
    </cfRule>
  </conditionalFormatting>
  <conditionalFormatting sqref="S147">
    <cfRule type="containsText" dxfId="570" priority="567" stopIfTrue="1" operator="containsText" text="INVIABLE SANITARIAMENTE">
      <formula>NOT(ISERROR(SEARCH("INVIABLE SANITARIAMENTE",S147)))</formula>
    </cfRule>
    <cfRule type="containsText" dxfId="569" priority="568" stopIfTrue="1" operator="containsText" text="ALTO">
      <formula>NOT(ISERROR(SEARCH("ALTO",S147)))</formula>
    </cfRule>
    <cfRule type="containsText" dxfId="568" priority="569" stopIfTrue="1" operator="containsText" text="MEDIO">
      <formula>NOT(ISERROR(SEARCH("MEDIO",S147)))</formula>
    </cfRule>
    <cfRule type="containsText" dxfId="567" priority="570" stopIfTrue="1" operator="containsText" text="BAJO">
      <formula>NOT(ISERROR(SEARCH("BAJO",S147)))</formula>
    </cfRule>
    <cfRule type="containsText" dxfId="566" priority="571" stopIfTrue="1" operator="containsText" text="SIN RIESGO">
      <formula>NOT(ISERROR(SEARCH("SIN RIESGO",S147)))</formula>
    </cfRule>
  </conditionalFormatting>
  <conditionalFormatting sqref="S147">
    <cfRule type="containsText" dxfId="565" priority="566" stopIfTrue="1" operator="containsText" text="SIN RIESGO">
      <formula>NOT(ISERROR(SEARCH("SIN RIESGO",S147)))</formula>
    </cfRule>
  </conditionalFormatting>
  <conditionalFormatting sqref="R148">
    <cfRule type="cellIs" dxfId="564" priority="564" stopIfTrue="1" operator="equal">
      <formula>"NO"</formula>
    </cfRule>
  </conditionalFormatting>
  <conditionalFormatting sqref="S148">
    <cfRule type="cellIs" dxfId="563" priority="565" stopIfTrue="1" operator="equal">
      <formula>"INVIABLE SANITARIAMENTE"</formula>
    </cfRule>
  </conditionalFormatting>
  <conditionalFormatting sqref="Q148">
    <cfRule type="containsBlanks" dxfId="562" priority="557" stopIfTrue="1">
      <formula>LEN(TRIM(Q148))=0</formula>
    </cfRule>
    <cfRule type="cellIs" dxfId="561" priority="558" stopIfTrue="1" operator="between">
      <formula>80.1</formula>
      <formula>100</formula>
    </cfRule>
    <cfRule type="cellIs" dxfId="560" priority="559" stopIfTrue="1" operator="between">
      <formula>35.1</formula>
      <formula>80</formula>
    </cfRule>
    <cfRule type="cellIs" dxfId="559" priority="560" stopIfTrue="1" operator="between">
      <formula>14.1</formula>
      <formula>35</formula>
    </cfRule>
    <cfRule type="cellIs" dxfId="558" priority="561" stopIfTrue="1" operator="between">
      <formula>5.1</formula>
      <formula>14</formula>
    </cfRule>
    <cfRule type="cellIs" dxfId="557" priority="562" stopIfTrue="1" operator="between">
      <formula>0</formula>
      <formula>5</formula>
    </cfRule>
    <cfRule type="containsBlanks" dxfId="556" priority="563" stopIfTrue="1">
      <formula>LEN(TRIM(Q148))=0</formula>
    </cfRule>
  </conditionalFormatting>
  <conditionalFormatting sqref="S148">
    <cfRule type="containsText" dxfId="555" priority="552" stopIfTrue="1" operator="containsText" text="INVIABLE SANITARIAMENTE">
      <formula>NOT(ISERROR(SEARCH("INVIABLE SANITARIAMENTE",S148)))</formula>
    </cfRule>
    <cfRule type="containsText" dxfId="554" priority="553" stopIfTrue="1" operator="containsText" text="ALTO">
      <formula>NOT(ISERROR(SEARCH("ALTO",S148)))</formula>
    </cfRule>
    <cfRule type="containsText" dxfId="553" priority="554" stopIfTrue="1" operator="containsText" text="MEDIO">
      <formula>NOT(ISERROR(SEARCH("MEDIO",S148)))</formula>
    </cfRule>
    <cfRule type="containsText" dxfId="552" priority="555" stopIfTrue="1" operator="containsText" text="BAJO">
      <formula>NOT(ISERROR(SEARCH("BAJO",S148)))</formula>
    </cfRule>
    <cfRule type="containsText" dxfId="551" priority="556" stopIfTrue="1" operator="containsText" text="SIN RIESGO">
      <formula>NOT(ISERROR(SEARCH("SIN RIESGO",S148)))</formula>
    </cfRule>
  </conditionalFormatting>
  <conditionalFormatting sqref="S148">
    <cfRule type="containsText" dxfId="550" priority="551" stopIfTrue="1" operator="containsText" text="SIN RIESGO">
      <formula>NOT(ISERROR(SEARCH("SIN RIESGO",S148)))</formula>
    </cfRule>
  </conditionalFormatting>
  <conditionalFormatting sqref="E148:Q148">
    <cfRule type="containsBlanks" dxfId="549" priority="544" stopIfTrue="1">
      <formula>LEN(TRIM(E148))=0</formula>
    </cfRule>
    <cfRule type="cellIs" dxfId="548" priority="545" stopIfTrue="1" operator="between">
      <formula>79.1</formula>
      <formula>100</formula>
    </cfRule>
    <cfRule type="cellIs" dxfId="547" priority="546" stopIfTrue="1" operator="between">
      <formula>34.1</formula>
      <formula>79</formula>
    </cfRule>
    <cfRule type="cellIs" dxfId="546" priority="547" stopIfTrue="1" operator="between">
      <formula>13.1</formula>
      <formula>34</formula>
    </cfRule>
    <cfRule type="cellIs" dxfId="545" priority="548" stopIfTrue="1" operator="between">
      <formula>5.1</formula>
      <formula>13</formula>
    </cfRule>
    <cfRule type="cellIs" dxfId="544" priority="549" stopIfTrue="1" operator="between">
      <formula>0</formula>
      <formula>5</formula>
    </cfRule>
    <cfRule type="containsBlanks" dxfId="543" priority="550" stopIfTrue="1">
      <formula>LEN(TRIM(E148))=0</formula>
    </cfRule>
  </conditionalFormatting>
  <conditionalFormatting sqref="S148">
    <cfRule type="cellIs" dxfId="542" priority="543" stopIfTrue="1" operator="equal">
      <formula>"INVIABLE SANITARIAMENTE"</formula>
    </cfRule>
  </conditionalFormatting>
  <conditionalFormatting sqref="S148">
    <cfRule type="containsText" dxfId="541" priority="538" stopIfTrue="1" operator="containsText" text="INVIABLE SANITARIAMENTE">
      <formula>NOT(ISERROR(SEARCH("INVIABLE SANITARIAMENTE",S148)))</formula>
    </cfRule>
    <cfRule type="containsText" dxfId="540" priority="539" stopIfTrue="1" operator="containsText" text="ALTO">
      <formula>NOT(ISERROR(SEARCH("ALTO",S148)))</formula>
    </cfRule>
    <cfRule type="containsText" dxfId="539" priority="540" stopIfTrue="1" operator="containsText" text="MEDIO">
      <formula>NOT(ISERROR(SEARCH("MEDIO",S148)))</formula>
    </cfRule>
    <cfRule type="containsText" dxfId="538" priority="541" stopIfTrue="1" operator="containsText" text="BAJO">
      <formula>NOT(ISERROR(SEARCH("BAJO",S148)))</formula>
    </cfRule>
    <cfRule type="containsText" dxfId="537" priority="542" stopIfTrue="1" operator="containsText" text="SIN RIESGO">
      <formula>NOT(ISERROR(SEARCH("SIN RIESGO",S148)))</formula>
    </cfRule>
  </conditionalFormatting>
  <conditionalFormatting sqref="S148">
    <cfRule type="containsText" dxfId="536" priority="537" stopIfTrue="1" operator="containsText" text="SIN RIESGO">
      <formula>NOT(ISERROR(SEARCH("SIN RIESGO",S148)))</formula>
    </cfRule>
  </conditionalFormatting>
  <conditionalFormatting sqref="S148">
    <cfRule type="cellIs" dxfId="535" priority="536" stopIfTrue="1" operator="equal">
      <formula>"INVIABLE SANITARIAMENTE"</formula>
    </cfRule>
  </conditionalFormatting>
  <conditionalFormatting sqref="S148">
    <cfRule type="containsText" dxfId="534" priority="531" stopIfTrue="1" operator="containsText" text="INVIABLE SANITARIAMENTE">
      <formula>NOT(ISERROR(SEARCH("INVIABLE SANITARIAMENTE",S148)))</formula>
    </cfRule>
    <cfRule type="containsText" dxfId="533" priority="532" stopIfTrue="1" operator="containsText" text="ALTO">
      <formula>NOT(ISERROR(SEARCH("ALTO",S148)))</formula>
    </cfRule>
    <cfRule type="containsText" dxfId="532" priority="533" stopIfTrue="1" operator="containsText" text="MEDIO">
      <formula>NOT(ISERROR(SEARCH("MEDIO",S148)))</formula>
    </cfRule>
    <cfRule type="containsText" dxfId="531" priority="534" stopIfTrue="1" operator="containsText" text="BAJO">
      <formula>NOT(ISERROR(SEARCH("BAJO",S148)))</formula>
    </cfRule>
    <cfRule type="containsText" dxfId="530" priority="535" stopIfTrue="1" operator="containsText" text="SIN RIESGO">
      <formula>NOT(ISERROR(SEARCH("SIN RIESGO",S148)))</formula>
    </cfRule>
  </conditionalFormatting>
  <conditionalFormatting sqref="S148">
    <cfRule type="containsText" dxfId="529" priority="530" stopIfTrue="1" operator="containsText" text="SIN RIESGO">
      <formula>NOT(ISERROR(SEARCH("SIN RIESGO",S148)))</formula>
    </cfRule>
  </conditionalFormatting>
  <conditionalFormatting sqref="R202">
    <cfRule type="cellIs" dxfId="528" priority="528" stopIfTrue="1" operator="equal">
      <formula>"NO"</formula>
    </cfRule>
  </conditionalFormatting>
  <conditionalFormatting sqref="S202">
    <cfRule type="cellIs" dxfId="527" priority="529" stopIfTrue="1" operator="equal">
      <formula>"INVIABLE SANITARIAMENTE"</formula>
    </cfRule>
  </conditionalFormatting>
  <conditionalFormatting sqref="Q202">
    <cfRule type="containsBlanks" dxfId="526" priority="521" stopIfTrue="1">
      <formula>LEN(TRIM(Q202))=0</formula>
    </cfRule>
    <cfRule type="cellIs" dxfId="525" priority="522" stopIfTrue="1" operator="between">
      <formula>80.1</formula>
      <formula>100</formula>
    </cfRule>
    <cfRule type="cellIs" dxfId="524" priority="523" stopIfTrue="1" operator="between">
      <formula>35.1</formula>
      <formula>80</formula>
    </cfRule>
    <cfRule type="cellIs" dxfId="523" priority="524" stopIfTrue="1" operator="between">
      <formula>14.1</formula>
      <formula>35</formula>
    </cfRule>
    <cfRule type="cellIs" dxfId="522" priority="525" stopIfTrue="1" operator="between">
      <formula>5.1</formula>
      <formula>14</formula>
    </cfRule>
    <cfRule type="cellIs" dxfId="521" priority="526" stopIfTrue="1" operator="between">
      <formula>0</formula>
      <formula>5</formula>
    </cfRule>
    <cfRule type="containsBlanks" dxfId="520" priority="527" stopIfTrue="1">
      <formula>LEN(TRIM(Q202))=0</formula>
    </cfRule>
  </conditionalFormatting>
  <conditionalFormatting sqref="S202">
    <cfRule type="containsText" dxfId="519" priority="516" stopIfTrue="1" operator="containsText" text="INVIABLE SANITARIAMENTE">
      <formula>NOT(ISERROR(SEARCH("INVIABLE SANITARIAMENTE",S202)))</formula>
    </cfRule>
    <cfRule type="containsText" dxfId="518" priority="517" stopIfTrue="1" operator="containsText" text="ALTO">
      <formula>NOT(ISERROR(SEARCH("ALTO",S202)))</formula>
    </cfRule>
    <cfRule type="containsText" dxfId="517" priority="518" stopIfTrue="1" operator="containsText" text="MEDIO">
      <formula>NOT(ISERROR(SEARCH("MEDIO",S202)))</formula>
    </cfRule>
    <cfRule type="containsText" dxfId="516" priority="519" stopIfTrue="1" operator="containsText" text="BAJO">
      <formula>NOT(ISERROR(SEARCH("BAJO",S202)))</formula>
    </cfRule>
    <cfRule type="containsText" dxfId="515" priority="520" stopIfTrue="1" operator="containsText" text="SIN RIESGO">
      <formula>NOT(ISERROR(SEARCH("SIN RIESGO",S202)))</formula>
    </cfRule>
  </conditionalFormatting>
  <conditionalFormatting sqref="S202">
    <cfRule type="containsText" dxfId="514" priority="515" stopIfTrue="1" operator="containsText" text="SIN RIESGO">
      <formula>NOT(ISERROR(SEARCH("SIN RIESGO",S202)))</formula>
    </cfRule>
  </conditionalFormatting>
  <conditionalFormatting sqref="E202:Q202">
    <cfRule type="containsBlanks" dxfId="513" priority="508" stopIfTrue="1">
      <formula>LEN(TRIM(E202))=0</formula>
    </cfRule>
    <cfRule type="cellIs" dxfId="512" priority="509" stopIfTrue="1" operator="between">
      <formula>80.1</formula>
      <formula>100</formula>
    </cfRule>
    <cfRule type="cellIs" dxfId="511" priority="510" stopIfTrue="1" operator="between">
      <formula>35.1</formula>
      <formula>80</formula>
    </cfRule>
    <cfRule type="cellIs" dxfId="510" priority="511" stopIfTrue="1" operator="between">
      <formula>14.1</formula>
      <formula>35</formula>
    </cfRule>
    <cfRule type="cellIs" dxfId="509" priority="512" stopIfTrue="1" operator="between">
      <formula>5.1</formula>
      <formula>14</formula>
    </cfRule>
    <cfRule type="cellIs" dxfId="508" priority="513" stopIfTrue="1" operator="between">
      <formula>0</formula>
      <formula>5</formula>
    </cfRule>
    <cfRule type="containsBlanks" dxfId="507" priority="514" stopIfTrue="1">
      <formula>LEN(TRIM(E202))=0</formula>
    </cfRule>
  </conditionalFormatting>
  <conditionalFormatting sqref="S202">
    <cfRule type="cellIs" dxfId="506" priority="507" stopIfTrue="1" operator="equal">
      <formula>"INVIABLE SANITARIAMENTE"</formula>
    </cfRule>
  </conditionalFormatting>
  <conditionalFormatting sqref="S202">
    <cfRule type="containsText" dxfId="505" priority="502" stopIfTrue="1" operator="containsText" text="INVIABLE SANITARIAMENTE">
      <formula>NOT(ISERROR(SEARCH("INVIABLE SANITARIAMENTE",S202)))</formula>
    </cfRule>
    <cfRule type="containsText" dxfId="504" priority="503" stopIfTrue="1" operator="containsText" text="ALTO">
      <formula>NOT(ISERROR(SEARCH("ALTO",S202)))</formula>
    </cfRule>
    <cfRule type="containsText" dxfId="503" priority="504" stopIfTrue="1" operator="containsText" text="MEDIO">
      <formula>NOT(ISERROR(SEARCH("MEDIO",S202)))</formula>
    </cfRule>
    <cfRule type="containsText" dxfId="502" priority="505" stopIfTrue="1" operator="containsText" text="BAJO">
      <formula>NOT(ISERROR(SEARCH("BAJO",S202)))</formula>
    </cfRule>
    <cfRule type="containsText" dxfId="501" priority="506" stopIfTrue="1" operator="containsText" text="SIN RIESGO">
      <formula>NOT(ISERROR(SEARCH("SIN RIESGO",S202)))</formula>
    </cfRule>
  </conditionalFormatting>
  <conditionalFormatting sqref="S202">
    <cfRule type="containsText" dxfId="500" priority="501" stopIfTrue="1" operator="containsText" text="SIN RIESGO">
      <formula>NOT(ISERROR(SEARCH("SIN RIESGO",S202)))</formula>
    </cfRule>
  </conditionalFormatting>
  <conditionalFormatting sqref="S202">
    <cfRule type="cellIs" dxfId="499" priority="500" stopIfTrue="1" operator="equal">
      <formula>"INVIABLE SANITARIAMENTE"</formula>
    </cfRule>
  </conditionalFormatting>
  <conditionalFormatting sqref="S202">
    <cfRule type="containsText" dxfId="498" priority="495" stopIfTrue="1" operator="containsText" text="INVIABLE SANITARIAMENTE">
      <formula>NOT(ISERROR(SEARCH("INVIABLE SANITARIAMENTE",S202)))</formula>
    </cfRule>
    <cfRule type="containsText" dxfId="497" priority="496" stopIfTrue="1" operator="containsText" text="ALTO">
      <formula>NOT(ISERROR(SEARCH("ALTO",S202)))</formula>
    </cfRule>
    <cfRule type="containsText" dxfId="496" priority="497" stopIfTrue="1" operator="containsText" text="MEDIO">
      <formula>NOT(ISERROR(SEARCH("MEDIO",S202)))</formula>
    </cfRule>
    <cfRule type="containsText" dxfId="495" priority="498" stopIfTrue="1" operator="containsText" text="BAJO">
      <formula>NOT(ISERROR(SEARCH("BAJO",S202)))</formula>
    </cfRule>
    <cfRule type="containsText" dxfId="494" priority="499" stopIfTrue="1" operator="containsText" text="SIN RIESGO">
      <formula>NOT(ISERROR(SEARCH("SIN RIESGO",S202)))</formula>
    </cfRule>
  </conditionalFormatting>
  <conditionalFormatting sqref="S202">
    <cfRule type="containsText" dxfId="493" priority="494" stopIfTrue="1" operator="containsText" text="SIN RIESGO">
      <formula>NOT(ISERROR(SEARCH("SIN RIESGO",S202)))</formula>
    </cfRule>
  </conditionalFormatting>
  <conditionalFormatting sqref="E269">
    <cfRule type="containsBlanks" dxfId="492" priority="487" stopIfTrue="1">
      <formula>LEN(TRIM(E269))=0</formula>
    </cfRule>
    <cfRule type="cellIs" dxfId="491" priority="488" stopIfTrue="1" operator="between">
      <formula>79.1</formula>
      <formula>100</formula>
    </cfRule>
    <cfRule type="cellIs" dxfId="490" priority="489" stopIfTrue="1" operator="between">
      <formula>34.1</formula>
      <formula>79</formula>
    </cfRule>
    <cfRule type="cellIs" dxfId="489" priority="490" stopIfTrue="1" operator="between">
      <formula>13.1</formula>
      <formula>34</formula>
    </cfRule>
    <cfRule type="cellIs" dxfId="488" priority="491" stopIfTrue="1" operator="between">
      <formula>5.1</formula>
      <formula>13</formula>
    </cfRule>
    <cfRule type="cellIs" dxfId="487" priority="492" stopIfTrue="1" operator="between">
      <formula>0</formula>
      <formula>5</formula>
    </cfRule>
    <cfRule type="containsBlanks" dxfId="486" priority="493" stopIfTrue="1">
      <formula>LEN(TRIM(E269))=0</formula>
    </cfRule>
  </conditionalFormatting>
  <conditionalFormatting sqref="S507">
    <cfRule type="cellIs" dxfId="485" priority="486" stopIfTrue="1" operator="equal">
      <formula>"INVIABLE SANITARIAMENTE"</formula>
    </cfRule>
  </conditionalFormatting>
  <conditionalFormatting sqref="E507:Q507">
    <cfRule type="containsBlanks" dxfId="484" priority="479" stopIfTrue="1">
      <formula>LEN(TRIM(E507))=0</formula>
    </cfRule>
    <cfRule type="cellIs" dxfId="483" priority="480" stopIfTrue="1" operator="between">
      <formula>80.1</formula>
      <formula>100</formula>
    </cfRule>
    <cfRule type="cellIs" dxfId="482" priority="481" stopIfTrue="1" operator="between">
      <formula>35.1</formula>
      <formula>80</formula>
    </cfRule>
    <cfRule type="cellIs" dxfId="481" priority="482" stopIfTrue="1" operator="between">
      <formula>14.1</formula>
      <formula>35</formula>
    </cfRule>
    <cfRule type="cellIs" dxfId="480" priority="483" stopIfTrue="1" operator="between">
      <formula>5.1</formula>
      <formula>14</formula>
    </cfRule>
    <cfRule type="cellIs" dxfId="479" priority="484" stopIfTrue="1" operator="between">
      <formula>0</formula>
      <formula>5</formula>
    </cfRule>
    <cfRule type="containsBlanks" dxfId="478" priority="485" stopIfTrue="1">
      <formula>LEN(TRIM(E507))=0</formula>
    </cfRule>
  </conditionalFormatting>
  <conditionalFormatting sqref="S507">
    <cfRule type="containsText" dxfId="477" priority="474" stopIfTrue="1" operator="containsText" text="INVIABLE SANITARIAMENTE">
      <formula>NOT(ISERROR(SEARCH("INVIABLE SANITARIAMENTE",S507)))</formula>
    </cfRule>
    <cfRule type="containsText" dxfId="476" priority="475" stopIfTrue="1" operator="containsText" text="ALTO">
      <formula>NOT(ISERROR(SEARCH("ALTO",S507)))</formula>
    </cfRule>
    <cfRule type="containsText" dxfId="475" priority="476" stopIfTrue="1" operator="containsText" text="MEDIO">
      <formula>NOT(ISERROR(SEARCH("MEDIO",S507)))</formula>
    </cfRule>
    <cfRule type="containsText" dxfId="474" priority="477" stopIfTrue="1" operator="containsText" text="BAJO">
      <formula>NOT(ISERROR(SEARCH("BAJO",S507)))</formula>
    </cfRule>
    <cfRule type="containsText" dxfId="473" priority="478" stopIfTrue="1" operator="containsText" text="SIN RIESGO">
      <formula>NOT(ISERROR(SEARCH("SIN RIESGO",S507)))</formula>
    </cfRule>
  </conditionalFormatting>
  <conditionalFormatting sqref="S507">
    <cfRule type="containsText" dxfId="472" priority="473" stopIfTrue="1" operator="containsText" text="SIN RIESGO">
      <formula>NOT(ISERROR(SEARCH("SIN RIESGO",S507)))</formula>
    </cfRule>
  </conditionalFormatting>
  <conditionalFormatting sqref="S507">
    <cfRule type="cellIs" dxfId="471" priority="472" stopIfTrue="1" operator="equal">
      <formula>"INVIABLE SANITARIAMENTE"</formula>
    </cfRule>
  </conditionalFormatting>
  <conditionalFormatting sqref="S507">
    <cfRule type="containsText" dxfId="470" priority="467" stopIfTrue="1" operator="containsText" text="INVIABLE SANITARIAMENTE">
      <formula>NOT(ISERROR(SEARCH("INVIABLE SANITARIAMENTE",S507)))</formula>
    </cfRule>
    <cfRule type="containsText" dxfId="469" priority="468" stopIfTrue="1" operator="containsText" text="ALTO">
      <formula>NOT(ISERROR(SEARCH("ALTO",S507)))</formula>
    </cfRule>
    <cfRule type="containsText" dxfId="468" priority="469" stopIfTrue="1" operator="containsText" text="MEDIO">
      <formula>NOT(ISERROR(SEARCH("MEDIO",S507)))</formula>
    </cfRule>
    <cfRule type="containsText" dxfId="467" priority="470" stopIfTrue="1" operator="containsText" text="BAJO">
      <formula>NOT(ISERROR(SEARCH("BAJO",S507)))</formula>
    </cfRule>
    <cfRule type="containsText" dxfId="466" priority="471" stopIfTrue="1" operator="containsText" text="SIN RIESGO">
      <formula>NOT(ISERROR(SEARCH("SIN RIESGO",S507)))</formula>
    </cfRule>
  </conditionalFormatting>
  <conditionalFormatting sqref="S507">
    <cfRule type="containsText" dxfId="465" priority="466" stopIfTrue="1" operator="containsText" text="SIN RIESGO">
      <formula>NOT(ISERROR(SEARCH("SIN RIESGO",S507)))</formula>
    </cfRule>
  </conditionalFormatting>
  <conditionalFormatting sqref="S507">
    <cfRule type="cellIs" dxfId="464" priority="465" stopIfTrue="1" operator="equal">
      <formula>"INVIABLE SANITARIAMENTE"</formula>
    </cfRule>
  </conditionalFormatting>
  <conditionalFormatting sqref="S507">
    <cfRule type="containsText" dxfId="463" priority="460" stopIfTrue="1" operator="containsText" text="INVIABLE SANITARIAMENTE">
      <formula>NOT(ISERROR(SEARCH("INVIABLE SANITARIAMENTE",S507)))</formula>
    </cfRule>
    <cfRule type="containsText" dxfId="462" priority="461" stopIfTrue="1" operator="containsText" text="ALTO">
      <formula>NOT(ISERROR(SEARCH("ALTO",S507)))</formula>
    </cfRule>
    <cfRule type="containsText" dxfId="461" priority="462" stopIfTrue="1" operator="containsText" text="MEDIO">
      <formula>NOT(ISERROR(SEARCH("MEDIO",S507)))</formula>
    </cfRule>
    <cfRule type="containsText" dxfId="460" priority="463" stopIfTrue="1" operator="containsText" text="BAJO">
      <formula>NOT(ISERROR(SEARCH("BAJO",S507)))</formula>
    </cfRule>
    <cfRule type="containsText" dxfId="459" priority="464" stopIfTrue="1" operator="containsText" text="SIN RIESGO">
      <formula>NOT(ISERROR(SEARCH("SIN RIESGO",S507)))</formula>
    </cfRule>
  </conditionalFormatting>
  <conditionalFormatting sqref="S507">
    <cfRule type="containsText" dxfId="458" priority="459" stopIfTrue="1" operator="containsText" text="SIN RIESGO">
      <formula>NOT(ISERROR(SEARCH("SIN RIESGO",S507)))</formula>
    </cfRule>
  </conditionalFormatting>
  <conditionalFormatting sqref="S554">
    <cfRule type="cellIs" dxfId="457" priority="458" stopIfTrue="1" operator="equal">
      <formula>"INVIABLE SANITARIAMENTE"</formula>
    </cfRule>
  </conditionalFormatting>
  <conditionalFormatting sqref="E554:Q554">
    <cfRule type="containsBlanks" dxfId="456" priority="451" stopIfTrue="1">
      <formula>LEN(TRIM(E554))=0</formula>
    </cfRule>
    <cfRule type="cellIs" dxfId="455" priority="452" stopIfTrue="1" operator="between">
      <formula>80.1</formula>
      <formula>100</formula>
    </cfRule>
    <cfRule type="cellIs" dxfId="454" priority="453" stopIfTrue="1" operator="between">
      <formula>35.1</formula>
      <formula>80</formula>
    </cfRule>
    <cfRule type="cellIs" dxfId="453" priority="454" stopIfTrue="1" operator="between">
      <formula>14.1</formula>
      <formula>35</formula>
    </cfRule>
    <cfRule type="cellIs" dxfId="452" priority="455" stopIfTrue="1" operator="between">
      <formula>5.1</formula>
      <formula>14</formula>
    </cfRule>
    <cfRule type="cellIs" dxfId="451" priority="456" stopIfTrue="1" operator="between">
      <formula>0</formula>
      <formula>5</formula>
    </cfRule>
    <cfRule type="containsBlanks" dxfId="450" priority="457" stopIfTrue="1">
      <formula>LEN(TRIM(E554))=0</formula>
    </cfRule>
  </conditionalFormatting>
  <conditionalFormatting sqref="S554">
    <cfRule type="containsText" dxfId="449" priority="446" stopIfTrue="1" operator="containsText" text="INVIABLE SANITARIAMENTE">
      <formula>NOT(ISERROR(SEARCH("INVIABLE SANITARIAMENTE",S554)))</formula>
    </cfRule>
    <cfRule type="containsText" dxfId="448" priority="447" stopIfTrue="1" operator="containsText" text="ALTO">
      <formula>NOT(ISERROR(SEARCH("ALTO",S554)))</formula>
    </cfRule>
    <cfRule type="containsText" dxfId="447" priority="448" stopIfTrue="1" operator="containsText" text="MEDIO">
      <formula>NOT(ISERROR(SEARCH("MEDIO",S554)))</formula>
    </cfRule>
    <cfRule type="containsText" dxfId="446" priority="449" stopIfTrue="1" operator="containsText" text="BAJO">
      <formula>NOT(ISERROR(SEARCH("BAJO",S554)))</formula>
    </cfRule>
    <cfRule type="containsText" dxfId="445" priority="450" stopIfTrue="1" operator="containsText" text="SIN RIESGO">
      <formula>NOT(ISERROR(SEARCH("SIN RIESGO",S554)))</formula>
    </cfRule>
  </conditionalFormatting>
  <conditionalFormatting sqref="S554">
    <cfRule type="containsText" dxfId="444" priority="445" stopIfTrue="1" operator="containsText" text="SIN RIESGO">
      <formula>NOT(ISERROR(SEARCH("SIN RIESGO",S554)))</formula>
    </cfRule>
  </conditionalFormatting>
  <conditionalFormatting sqref="S554">
    <cfRule type="cellIs" dxfId="443" priority="444" stopIfTrue="1" operator="equal">
      <formula>"INVIABLE SANITARIAMENTE"</formula>
    </cfRule>
  </conditionalFormatting>
  <conditionalFormatting sqref="S554">
    <cfRule type="containsText" dxfId="442" priority="439" stopIfTrue="1" operator="containsText" text="INVIABLE SANITARIAMENTE">
      <formula>NOT(ISERROR(SEARCH("INVIABLE SANITARIAMENTE",S554)))</formula>
    </cfRule>
    <cfRule type="containsText" dxfId="441" priority="440" stopIfTrue="1" operator="containsText" text="ALTO">
      <formula>NOT(ISERROR(SEARCH("ALTO",S554)))</formula>
    </cfRule>
    <cfRule type="containsText" dxfId="440" priority="441" stopIfTrue="1" operator="containsText" text="MEDIO">
      <formula>NOT(ISERROR(SEARCH("MEDIO",S554)))</formula>
    </cfRule>
    <cfRule type="containsText" dxfId="439" priority="442" stopIfTrue="1" operator="containsText" text="BAJO">
      <formula>NOT(ISERROR(SEARCH("BAJO",S554)))</formula>
    </cfRule>
    <cfRule type="containsText" dxfId="438" priority="443" stopIfTrue="1" operator="containsText" text="SIN RIESGO">
      <formula>NOT(ISERROR(SEARCH("SIN RIESGO",S554)))</formula>
    </cfRule>
  </conditionalFormatting>
  <conditionalFormatting sqref="S554">
    <cfRule type="containsText" dxfId="437" priority="438" stopIfTrue="1" operator="containsText" text="SIN RIESGO">
      <formula>NOT(ISERROR(SEARCH("SIN RIESGO",S554)))</formula>
    </cfRule>
  </conditionalFormatting>
  <conditionalFormatting sqref="S554">
    <cfRule type="cellIs" dxfId="436" priority="437" stopIfTrue="1" operator="equal">
      <formula>"INVIABLE SANITARIAMENTE"</formula>
    </cfRule>
  </conditionalFormatting>
  <conditionalFormatting sqref="S554">
    <cfRule type="containsText" dxfId="435" priority="432" stopIfTrue="1" operator="containsText" text="INVIABLE SANITARIAMENTE">
      <formula>NOT(ISERROR(SEARCH("INVIABLE SANITARIAMENTE",S554)))</formula>
    </cfRule>
    <cfRule type="containsText" dxfId="434" priority="433" stopIfTrue="1" operator="containsText" text="ALTO">
      <formula>NOT(ISERROR(SEARCH("ALTO",S554)))</formula>
    </cfRule>
    <cfRule type="containsText" dxfId="433" priority="434" stopIfTrue="1" operator="containsText" text="MEDIO">
      <formula>NOT(ISERROR(SEARCH("MEDIO",S554)))</formula>
    </cfRule>
    <cfRule type="containsText" dxfId="432" priority="435" stopIfTrue="1" operator="containsText" text="BAJO">
      <formula>NOT(ISERROR(SEARCH("BAJO",S554)))</formula>
    </cfRule>
    <cfRule type="containsText" dxfId="431" priority="436" stopIfTrue="1" operator="containsText" text="SIN RIESGO">
      <formula>NOT(ISERROR(SEARCH("SIN RIESGO",S554)))</formula>
    </cfRule>
  </conditionalFormatting>
  <conditionalFormatting sqref="S554">
    <cfRule type="containsText" dxfId="430" priority="431" stopIfTrue="1" operator="containsText" text="SIN RIESGO">
      <formula>NOT(ISERROR(SEARCH("SIN RIESGO",S554)))</formula>
    </cfRule>
  </conditionalFormatting>
  <conditionalFormatting sqref="S552">
    <cfRule type="cellIs" dxfId="429" priority="430" stopIfTrue="1" operator="equal">
      <formula>"INVIABLE SANITARIAMENTE"</formula>
    </cfRule>
  </conditionalFormatting>
  <conditionalFormatting sqref="E552:Q552">
    <cfRule type="containsBlanks" dxfId="428" priority="423" stopIfTrue="1">
      <formula>LEN(TRIM(E552))=0</formula>
    </cfRule>
    <cfRule type="cellIs" dxfId="427" priority="424" stopIfTrue="1" operator="between">
      <formula>80.1</formula>
      <formula>100</formula>
    </cfRule>
    <cfRule type="cellIs" dxfId="426" priority="425" stopIfTrue="1" operator="between">
      <formula>35.1</formula>
      <formula>80</formula>
    </cfRule>
    <cfRule type="cellIs" dxfId="425" priority="426" stopIfTrue="1" operator="between">
      <formula>14.1</formula>
      <formula>35</formula>
    </cfRule>
    <cfRule type="cellIs" dxfId="424" priority="427" stopIfTrue="1" operator="between">
      <formula>5.1</formula>
      <formula>14</formula>
    </cfRule>
    <cfRule type="cellIs" dxfId="423" priority="428" stopIfTrue="1" operator="between">
      <formula>0</formula>
      <formula>5</formula>
    </cfRule>
    <cfRule type="containsBlanks" dxfId="422" priority="429" stopIfTrue="1">
      <formula>LEN(TRIM(E552))=0</formula>
    </cfRule>
  </conditionalFormatting>
  <conditionalFormatting sqref="S552">
    <cfRule type="containsText" dxfId="421" priority="418" stopIfTrue="1" operator="containsText" text="INVIABLE SANITARIAMENTE">
      <formula>NOT(ISERROR(SEARCH("INVIABLE SANITARIAMENTE",S552)))</formula>
    </cfRule>
    <cfRule type="containsText" dxfId="420" priority="419" stopIfTrue="1" operator="containsText" text="ALTO">
      <formula>NOT(ISERROR(SEARCH("ALTO",S552)))</formula>
    </cfRule>
    <cfRule type="containsText" dxfId="419" priority="420" stopIfTrue="1" operator="containsText" text="MEDIO">
      <formula>NOT(ISERROR(SEARCH("MEDIO",S552)))</formula>
    </cfRule>
    <cfRule type="containsText" dxfId="418" priority="421" stopIfTrue="1" operator="containsText" text="BAJO">
      <formula>NOT(ISERROR(SEARCH("BAJO",S552)))</formula>
    </cfRule>
    <cfRule type="containsText" dxfId="417" priority="422" stopIfTrue="1" operator="containsText" text="SIN RIESGO">
      <formula>NOT(ISERROR(SEARCH("SIN RIESGO",S552)))</formula>
    </cfRule>
  </conditionalFormatting>
  <conditionalFormatting sqref="S552">
    <cfRule type="containsText" dxfId="416" priority="417" stopIfTrue="1" operator="containsText" text="SIN RIESGO">
      <formula>NOT(ISERROR(SEARCH("SIN RIESGO",S552)))</formula>
    </cfRule>
  </conditionalFormatting>
  <conditionalFormatting sqref="S552">
    <cfRule type="cellIs" dxfId="415" priority="416" stopIfTrue="1" operator="equal">
      <formula>"INVIABLE SANITARIAMENTE"</formula>
    </cfRule>
  </conditionalFormatting>
  <conditionalFormatting sqref="S552">
    <cfRule type="containsText" dxfId="414" priority="411" stopIfTrue="1" operator="containsText" text="INVIABLE SANITARIAMENTE">
      <formula>NOT(ISERROR(SEARCH("INVIABLE SANITARIAMENTE",S552)))</formula>
    </cfRule>
    <cfRule type="containsText" dxfId="413" priority="412" stopIfTrue="1" operator="containsText" text="ALTO">
      <formula>NOT(ISERROR(SEARCH("ALTO",S552)))</formula>
    </cfRule>
    <cfRule type="containsText" dxfId="412" priority="413" stopIfTrue="1" operator="containsText" text="MEDIO">
      <formula>NOT(ISERROR(SEARCH("MEDIO",S552)))</formula>
    </cfRule>
    <cfRule type="containsText" dxfId="411" priority="414" stopIfTrue="1" operator="containsText" text="BAJO">
      <formula>NOT(ISERROR(SEARCH("BAJO",S552)))</formula>
    </cfRule>
    <cfRule type="containsText" dxfId="410" priority="415" stopIfTrue="1" operator="containsText" text="SIN RIESGO">
      <formula>NOT(ISERROR(SEARCH("SIN RIESGO",S552)))</formula>
    </cfRule>
  </conditionalFormatting>
  <conditionalFormatting sqref="S552">
    <cfRule type="containsText" dxfId="409" priority="410" stopIfTrue="1" operator="containsText" text="SIN RIESGO">
      <formula>NOT(ISERROR(SEARCH("SIN RIESGO",S552)))</formula>
    </cfRule>
  </conditionalFormatting>
  <conditionalFormatting sqref="S552">
    <cfRule type="cellIs" dxfId="408" priority="409" stopIfTrue="1" operator="equal">
      <formula>"INVIABLE SANITARIAMENTE"</formula>
    </cfRule>
  </conditionalFormatting>
  <conditionalFormatting sqref="S552">
    <cfRule type="containsText" dxfId="407" priority="404" stopIfTrue="1" operator="containsText" text="INVIABLE SANITARIAMENTE">
      <formula>NOT(ISERROR(SEARCH("INVIABLE SANITARIAMENTE",S552)))</formula>
    </cfRule>
    <cfRule type="containsText" dxfId="406" priority="405" stopIfTrue="1" operator="containsText" text="ALTO">
      <formula>NOT(ISERROR(SEARCH("ALTO",S552)))</formula>
    </cfRule>
    <cfRule type="containsText" dxfId="405" priority="406" stopIfTrue="1" operator="containsText" text="MEDIO">
      <formula>NOT(ISERROR(SEARCH("MEDIO",S552)))</formula>
    </cfRule>
    <cfRule type="containsText" dxfId="404" priority="407" stopIfTrue="1" operator="containsText" text="BAJO">
      <formula>NOT(ISERROR(SEARCH("BAJO",S552)))</formula>
    </cfRule>
    <cfRule type="containsText" dxfId="403" priority="408" stopIfTrue="1" operator="containsText" text="SIN RIESGO">
      <formula>NOT(ISERROR(SEARCH("SIN RIESGO",S552)))</formula>
    </cfRule>
  </conditionalFormatting>
  <conditionalFormatting sqref="S552">
    <cfRule type="containsText" dxfId="402" priority="403" stopIfTrue="1" operator="containsText" text="SIN RIESGO">
      <formula>NOT(ISERROR(SEARCH("SIN RIESGO",S552)))</formula>
    </cfRule>
  </conditionalFormatting>
  <conditionalFormatting sqref="S553">
    <cfRule type="cellIs" dxfId="401" priority="402" stopIfTrue="1" operator="equal">
      <formula>"INVIABLE SANITARIAMENTE"</formula>
    </cfRule>
  </conditionalFormatting>
  <conditionalFormatting sqref="E553:Q553">
    <cfRule type="containsBlanks" dxfId="400" priority="395" stopIfTrue="1">
      <formula>LEN(TRIM(E553))=0</formula>
    </cfRule>
    <cfRule type="cellIs" dxfId="399" priority="396" stopIfTrue="1" operator="between">
      <formula>80.1</formula>
      <formula>100</formula>
    </cfRule>
    <cfRule type="cellIs" dxfId="398" priority="397" stopIfTrue="1" operator="between">
      <formula>35.1</formula>
      <formula>80</formula>
    </cfRule>
    <cfRule type="cellIs" dxfId="397" priority="398" stopIfTrue="1" operator="between">
      <formula>14.1</formula>
      <formula>35</formula>
    </cfRule>
    <cfRule type="cellIs" dxfId="396" priority="399" stopIfTrue="1" operator="between">
      <formula>5.1</formula>
      <formula>14</formula>
    </cfRule>
    <cfRule type="cellIs" dxfId="395" priority="400" stopIfTrue="1" operator="between">
      <formula>0</formula>
      <formula>5</formula>
    </cfRule>
    <cfRule type="containsBlanks" dxfId="394" priority="401" stopIfTrue="1">
      <formula>LEN(TRIM(E553))=0</formula>
    </cfRule>
  </conditionalFormatting>
  <conditionalFormatting sqref="S553">
    <cfRule type="containsText" dxfId="393" priority="390" stopIfTrue="1" operator="containsText" text="INVIABLE SANITARIAMENTE">
      <formula>NOT(ISERROR(SEARCH("INVIABLE SANITARIAMENTE",S553)))</formula>
    </cfRule>
    <cfRule type="containsText" dxfId="392" priority="391" stopIfTrue="1" operator="containsText" text="ALTO">
      <formula>NOT(ISERROR(SEARCH("ALTO",S553)))</formula>
    </cfRule>
    <cfRule type="containsText" dxfId="391" priority="392" stopIfTrue="1" operator="containsText" text="MEDIO">
      <formula>NOT(ISERROR(SEARCH("MEDIO",S553)))</formula>
    </cfRule>
    <cfRule type="containsText" dxfId="390" priority="393" stopIfTrue="1" operator="containsText" text="BAJO">
      <formula>NOT(ISERROR(SEARCH("BAJO",S553)))</formula>
    </cfRule>
    <cfRule type="containsText" dxfId="389" priority="394" stopIfTrue="1" operator="containsText" text="SIN RIESGO">
      <formula>NOT(ISERROR(SEARCH("SIN RIESGO",S553)))</formula>
    </cfRule>
  </conditionalFormatting>
  <conditionalFormatting sqref="S553">
    <cfRule type="containsText" dxfId="388" priority="389" stopIfTrue="1" operator="containsText" text="SIN RIESGO">
      <formula>NOT(ISERROR(SEARCH("SIN RIESGO",S553)))</formula>
    </cfRule>
  </conditionalFormatting>
  <conditionalFormatting sqref="S553">
    <cfRule type="cellIs" dxfId="387" priority="388" stopIfTrue="1" operator="equal">
      <formula>"INVIABLE SANITARIAMENTE"</formula>
    </cfRule>
  </conditionalFormatting>
  <conditionalFormatting sqref="S553">
    <cfRule type="containsText" dxfId="386" priority="383" stopIfTrue="1" operator="containsText" text="INVIABLE SANITARIAMENTE">
      <formula>NOT(ISERROR(SEARCH("INVIABLE SANITARIAMENTE",S553)))</formula>
    </cfRule>
    <cfRule type="containsText" dxfId="385" priority="384" stopIfTrue="1" operator="containsText" text="ALTO">
      <formula>NOT(ISERROR(SEARCH("ALTO",S553)))</formula>
    </cfRule>
    <cfRule type="containsText" dxfId="384" priority="385" stopIfTrue="1" operator="containsText" text="MEDIO">
      <formula>NOT(ISERROR(SEARCH("MEDIO",S553)))</formula>
    </cfRule>
    <cfRule type="containsText" dxfId="383" priority="386" stopIfTrue="1" operator="containsText" text="BAJO">
      <formula>NOT(ISERROR(SEARCH("BAJO",S553)))</formula>
    </cfRule>
    <cfRule type="containsText" dxfId="382" priority="387" stopIfTrue="1" operator="containsText" text="SIN RIESGO">
      <formula>NOT(ISERROR(SEARCH("SIN RIESGO",S553)))</formula>
    </cfRule>
  </conditionalFormatting>
  <conditionalFormatting sqref="S553">
    <cfRule type="containsText" dxfId="381" priority="382" stopIfTrue="1" operator="containsText" text="SIN RIESGO">
      <formula>NOT(ISERROR(SEARCH("SIN RIESGO",S553)))</formula>
    </cfRule>
  </conditionalFormatting>
  <conditionalFormatting sqref="S553">
    <cfRule type="cellIs" dxfId="380" priority="381" stopIfTrue="1" operator="equal">
      <formula>"INVIABLE SANITARIAMENTE"</formula>
    </cfRule>
  </conditionalFormatting>
  <conditionalFormatting sqref="S553">
    <cfRule type="containsText" dxfId="379" priority="376" stopIfTrue="1" operator="containsText" text="INVIABLE SANITARIAMENTE">
      <formula>NOT(ISERROR(SEARCH("INVIABLE SANITARIAMENTE",S553)))</formula>
    </cfRule>
    <cfRule type="containsText" dxfId="378" priority="377" stopIfTrue="1" operator="containsText" text="ALTO">
      <formula>NOT(ISERROR(SEARCH("ALTO",S553)))</formula>
    </cfRule>
    <cfRule type="containsText" dxfId="377" priority="378" stopIfTrue="1" operator="containsText" text="MEDIO">
      <formula>NOT(ISERROR(SEARCH("MEDIO",S553)))</formula>
    </cfRule>
    <cfRule type="containsText" dxfId="376" priority="379" stopIfTrue="1" operator="containsText" text="BAJO">
      <formula>NOT(ISERROR(SEARCH("BAJO",S553)))</formula>
    </cfRule>
    <cfRule type="containsText" dxfId="375" priority="380" stopIfTrue="1" operator="containsText" text="SIN RIESGO">
      <formula>NOT(ISERROR(SEARCH("SIN RIESGO",S553)))</formula>
    </cfRule>
  </conditionalFormatting>
  <conditionalFormatting sqref="S553">
    <cfRule type="containsText" dxfId="374" priority="375" stopIfTrue="1" operator="containsText" text="SIN RIESGO">
      <formula>NOT(ISERROR(SEARCH("SIN RIESGO",S553)))</formula>
    </cfRule>
  </conditionalFormatting>
  <conditionalFormatting sqref="Q68">
    <cfRule type="containsBlanks" dxfId="373" priority="368" stopIfTrue="1">
      <formula>LEN(TRIM(Q68))=0</formula>
    </cfRule>
    <cfRule type="cellIs" dxfId="372" priority="369" stopIfTrue="1" operator="between">
      <formula>80.1</formula>
      <formula>100</formula>
    </cfRule>
    <cfRule type="cellIs" dxfId="371" priority="370" stopIfTrue="1" operator="between">
      <formula>35.1</formula>
      <formula>80</formula>
    </cfRule>
    <cfRule type="cellIs" dxfId="370" priority="371" stopIfTrue="1" operator="between">
      <formula>14.1</formula>
      <formula>35</formula>
    </cfRule>
    <cfRule type="cellIs" dxfId="369" priority="372" stopIfTrue="1" operator="between">
      <formula>5.1</formula>
      <formula>14</formula>
    </cfRule>
    <cfRule type="cellIs" dxfId="368" priority="373" stopIfTrue="1" operator="between">
      <formula>0</formula>
      <formula>5</formula>
    </cfRule>
    <cfRule type="containsBlanks" dxfId="367" priority="374" stopIfTrue="1">
      <formula>LEN(TRIM(Q68))=0</formula>
    </cfRule>
  </conditionalFormatting>
  <conditionalFormatting sqref="S68">
    <cfRule type="cellIs" dxfId="366" priority="367" stopIfTrue="1" operator="equal">
      <formula>"INVIABLE SANITARIAMENTE"</formula>
    </cfRule>
  </conditionalFormatting>
  <conditionalFormatting sqref="S68">
    <cfRule type="containsText" dxfId="365" priority="362" stopIfTrue="1" operator="containsText" text="INVIABLE SANITARIAMENTE">
      <formula>NOT(ISERROR(SEARCH("INVIABLE SANITARIAMENTE",S68)))</formula>
    </cfRule>
    <cfRule type="containsText" dxfId="364" priority="363" stopIfTrue="1" operator="containsText" text="ALTO">
      <formula>NOT(ISERROR(SEARCH("ALTO",S68)))</formula>
    </cfRule>
    <cfRule type="containsText" dxfId="363" priority="364" stopIfTrue="1" operator="containsText" text="MEDIO">
      <formula>NOT(ISERROR(SEARCH("MEDIO",S68)))</formula>
    </cfRule>
    <cfRule type="containsText" dxfId="362" priority="365" stopIfTrue="1" operator="containsText" text="BAJO">
      <formula>NOT(ISERROR(SEARCH("BAJO",S68)))</formula>
    </cfRule>
    <cfRule type="containsText" dxfId="361" priority="366" stopIfTrue="1" operator="containsText" text="SIN RIESGO">
      <formula>NOT(ISERROR(SEARCH("SIN RIESGO",S68)))</formula>
    </cfRule>
  </conditionalFormatting>
  <conditionalFormatting sqref="S68">
    <cfRule type="containsText" dxfId="360" priority="361" stopIfTrue="1" operator="containsText" text="SIN RIESGO">
      <formula>NOT(ISERROR(SEARCH("SIN RIESGO",S68)))</formula>
    </cfRule>
  </conditionalFormatting>
  <conditionalFormatting sqref="R68">
    <cfRule type="cellIs" dxfId="359" priority="360" stopIfTrue="1" operator="equal">
      <formula>"NO"</formula>
    </cfRule>
  </conditionalFormatting>
  <conditionalFormatting sqref="S68">
    <cfRule type="cellIs" dxfId="358" priority="359" stopIfTrue="1" operator="equal">
      <formula>"INVIABLE SANITARIAMENTE"</formula>
    </cfRule>
  </conditionalFormatting>
  <conditionalFormatting sqref="E68:Q68">
    <cfRule type="containsBlanks" dxfId="357" priority="352" stopIfTrue="1">
      <formula>LEN(TRIM(E68))=0</formula>
    </cfRule>
    <cfRule type="cellIs" dxfId="356" priority="353" stopIfTrue="1" operator="between">
      <formula>80.1</formula>
      <formula>100</formula>
    </cfRule>
    <cfRule type="cellIs" dxfId="355" priority="354" stopIfTrue="1" operator="between">
      <formula>35.1</formula>
      <formula>80</formula>
    </cfRule>
    <cfRule type="cellIs" dxfId="354" priority="355" stopIfTrue="1" operator="between">
      <formula>14.1</formula>
      <formula>35</formula>
    </cfRule>
    <cfRule type="cellIs" dxfId="353" priority="356" stopIfTrue="1" operator="between">
      <formula>5.1</formula>
      <formula>14</formula>
    </cfRule>
    <cfRule type="cellIs" dxfId="352" priority="357" stopIfTrue="1" operator="between">
      <formula>0</formula>
      <formula>5</formula>
    </cfRule>
    <cfRule type="containsBlanks" dxfId="351" priority="358" stopIfTrue="1">
      <formula>LEN(TRIM(E68))=0</formula>
    </cfRule>
  </conditionalFormatting>
  <conditionalFormatting sqref="S68">
    <cfRule type="containsText" dxfId="350" priority="347" stopIfTrue="1" operator="containsText" text="INVIABLE SANITARIAMENTE">
      <formula>NOT(ISERROR(SEARCH("INVIABLE SANITARIAMENTE",S68)))</formula>
    </cfRule>
    <cfRule type="containsText" dxfId="349" priority="348" stopIfTrue="1" operator="containsText" text="ALTO">
      <formula>NOT(ISERROR(SEARCH("ALTO",S68)))</formula>
    </cfRule>
    <cfRule type="containsText" dxfId="348" priority="349" stopIfTrue="1" operator="containsText" text="MEDIO">
      <formula>NOT(ISERROR(SEARCH("MEDIO",S68)))</formula>
    </cfRule>
    <cfRule type="containsText" dxfId="347" priority="350" stopIfTrue="1" operator="containsText" text="BAJO">
      <formula>NOT(ISERROR(SEARCH("BAJO",S68)))</formula>
    </cfRule>
    <cfRule type="containsText" dxfId="346" priority="351" stopIfTrue="1" operator="containsText" text="SIN RIESGO">
      <formula>NOT(ISERROR(SEARCH("SIN RIESGO",S68)))</formula>
    </cfRule>
  </conditionalFormatting>
  <conditionalFormatting sqref="S68">
    <cfRule type="containsText" dxfId="345" priority="346" stopIfTrue="1" operator="containsText" text="SIN RIESGO">
      <formula>NOT(ISERROR(SEARCH("SIN RIESGO",S68)))</formula>
    </cfRule>
  </conditionalFormatting>
  <conditionalFormatting sqref="Q69">
    <cfRule type="containsBlanks" dxfId="344" priority="339" stopIfTrue="1">
      <formula>LEN(TRIM(Q69))=0</formula>
    </cfRule>
    <cfRule type="cellIs" dxfId="343" priority="340" stopIfTrue="1" operator="between">
      <formula>80.1</formula>
      <formula>100</formula>
    </cfRule>
    <cfRule type="cellIs" dxfId="342" priority="341" stopIfTrue="1" operator="between">
      <formula>35.1</formula>
      <formula>80</formula>
    </cfRule>
    <cfRule type="cellIs" dxfId="341" priority="342" stopIfTrue="1" operator="between">
      <formula>14.1</formula>
      <formula>35</formula>
    </cfRule>
    <cfRule type="cellIs" dxfId="340" priority="343" stopIfTrue="1" operator="between">
      <formula>5.1</formula>
      <formula>14</formula>
    </cfRule>
    <cfRule type="cellIs" dxfId="339" priority="344" stopIfTrue="1" operator="between">
      <formula>0</formula>
      <formula>5</formula>
    </cfRule>
    <cfRule type="containsBlanks" dxfId="338" priority="345" stopIfTrue="1">
      <formula>LEN(TRIM(Q69))=0</formula>
    </cfRule>
  </conditionalFormatting>
  <conditionalFormatting sqref="S69">
    <cfRule type="cellIs" dxfId="337" priority="338" stopIfTrue="1" operator="equal">
      <formula>"INVIABLE SANITARIAMENTE"</formula>
    </cfRule>
  </conditionalFormatting>
  <conditionalFormatting sqref="S69">
    <cfRule type="containsText" dxfId="336" priority="333" stopIfTrue="1" operator="containsText" text="INVIABLE SANITARIAMENTE">
      <formula>NOT(ISERROR(SEARCH("INVIABLE SANITARIAMENTE",S69)))</formula>
    </cfRule>
    <cfRule type="containsText" dxfId="335" priority="334" stopIfTrue="1" operator="containsText" text="ALTO">
      <formula>NOT(ISERROR(SEARCH("ALTO",S69)))</formula>
    </cfRule>
    <cfRule type="containsText" dxfId="334" priority="335" stopIfTrue="1" operator="containsText" text="MEDIO">
      <formula>NOT(ISERROR(SEARCH("MEDIO",S69)))</formula>
    </cfRule>
    <cfRule type="containsText" dxfId="333" priority="336" stopIfTrue="1" operator="containsText" text="BAJO">
      <formula>NOT(ISERROR(SEARCH("BAJO",S69)))</formula>
    </cfRule>
    <cfRule type="containsText" dxfId="332" priority="337" stopIfTrue="1" operator="containsText" text="SIN RIESGO">
      <formula>NOT(ISERROR(SEARCH("SIN RIESGO",S69)))</formula>
    </cfRule>
  </conditionalFormatting>
  <conditionalFormatting sqref="S69">
    <cfRule type="containsText" dxfId="331" priority="332" stopIfTrue="1" operator="containsText" text="SIN RIESGO">
      <formula>NOT(ISERROR(SEARCH("SIN RIESGO",S69)))</formula>
    </cfRule>
  </conditionalFormatting>
  <conditionalFormatting sqref="R69">
    <cfRule type="cellIs" dxfId="330" priority="331" stopIfTrue="1" operator="equal">
      <formula>"NO"</formula>
    </cfRule>
  </conditionalFormatting>
  <conditionalFormatting sqref="S69">
    <cfRule type="cellIs" dxfId="329" priority="330" stopIfTrue="1" operator="equal">
      <formula>"INVIABLE SANITARIAMENTE"</formula>
    </cfRule>
  </conditionalFormatting>
  <conditionalFormatting sqref="E69:Q69">
    <cfRule type="containsBlanks" dxfId="328" priority="323" stopIfTrue="1">
      <formula>LEN(TRIM(E69))=0</formula>
    </cfRule>
    <cfRule type="cellIs" dxfId="327" priority="324" stopIfTrue="1" operator="between">
      <formula>80.1</formula>
      <formula>100</formula>
    </cfRule>
    <cfRule type="cellIs" dxfId="326" priority="325" stopIfTrue="1" operator="between">
      <formula>35.1</formula>
      <formula>80</formula>
    </cfRule>
    <cfRule type="cellIs" dxfId="325" priority="326" stopIfTrue="1" operator="between">
      <formula>14.1</formula>
      <formula>35</formula>
    </cfRule>
    <cfRule type="cellIs" dxfId="324" priority="327" stopIfTrue="1" operator="between">
      <formula>5.1</formula>
      <formula>14</formula>
    </cfRule>
    <cfRule type="cellIs" dxfId="323" priority="328" stopIfTrue="1" operator="between">
      <formula>0</formula>
      <formula>5</formula>
    </cfRule>
    <cfRule type="containsBlanks" dxfId="322" priority="329" stopIfTrue="1">
      <formula>LEN(TRIM(E69))=0</formula>
    </cfRule>
  </conditionalFormatting>
  <conditionalFormatting sqref="S69">
    <cfRule type="containsText" dxfId="321" priority="318" stopIfTrue="1" operator="containsText" text="INVIABLE SANITARIAMENTE">
      <formula>NOT(ISERROR(SEARCH("INVIABLE SANITARIAMENTE",S69)))</formula>
    </cfRule>
    <cfRule type="containsText" dxfId="320" priority="319" stopIfTrue="1" operator="containsText" text="ALTO">
      <formula>NOT(ISERROR(SEARCH("ALTO",S69)))</formula>
    </cfRule>
    <cfRule type="containsText" dxfId="319" priority="320" stopIfTrue="1" operator="containsText" text="MEDIO">
      <formula>NOT(ISERROR(SEARCH("MEDIO",S69)))</formula>
    </cfRule>
    <cfRule type="containsText" dxfId="318" priority="321" stopIfTrue="1" operator="containsText" text="BAJO">
      <formula>NOT(ISERROR(SEARCH("BAJO",S69)))</formula>
    </cfRule>
    <cfRule type="containsText" dxfId="317" priority="322" stopIfTrue="1" operator="containsText" text="SIN RIESGO">
      <formula>NOT(ISERROR(SEARCH("SIN RIESGO",S69)))</formula>
    </cfRule>
  </conditionalFormatting>
  <conditionalFormatting sqref="S69">
    <cfRule type="containsText" dxfId="316" priority="317" stopIfTrue="1" operator="containsText" text="SIN RIESGO">
      <formula>NOT(ISERROR(SEARCH("SIN RIESGO",S69)))</formula>
    </cfRule>
  </conditionalFormatting>
  <conditionalFormatting sqref="Q70">
    <cfRule type="containsBlanks" dxfId="315" priority="310" stopIfTrue="1">
      <formula>LEN(TRIM(Q70))=0</formula>
    </cfRule>
    <cfRule type="cellIs" dxfId="314" priority="311" stopIfTrue="1" operator="between">
      <formula>80.1</formula>
      <formula>100</formula>
    </cfRule>
    <cfRule type="cellIs" dxfId="313" priority="312" stopIfTrue="1" operator="between">
      <formula>35.1</formula>
      <formula>80</formula>
    </cfRule>
    <cfRule type="cellIs" dxfId="312" priority="313" stopIfTrue="1" operator="between">
      <formula>14.1</formula>
      <formula>35</formula>
    </cfRule>
    <cfRule type="cellIs" dxfId="311" priority="314" stopIfTrue="1" operator="between">
      <formula>5.1</formula>
      <formula>14</formula>
    </cfRule>
    <cfRule type="cellIs" dxfId="310" priority="315" stopIfTrue="1" operator="between">
      <formula>0</formula>
      <formula>5</formula>
    </cfRule>
    <cfRule type="containsBlanks" dxfId="309" priority="316" stopIfTrue="1">
      <formula>LEN(TRIM(Q70))=0</formula>
    </cfRule>
  </conditionalFormatting>
  <conditionalFormatting sqref="S70">
    <cfRule type="cellIs" dxfId="308" priority="309" stopIfTrue="1" operator="equal">
      <formula>"INVIABLE SANITARIAMENTE"</formula>
    </cfRule>
  </conditionalFormatting>
  <conditionalFormatting sqref="S70">
    <cfRule type="containsText" dxfId="307" priority="304" stopIfTrue="1" operator="containsText" text="INVIABLE SANITARIAMENTE">
      <formula>NOT(ISERROR(SEARCH("INVIABLE SANITARIAMENTE",S70)))</formula>
    </cfRule>
    <cfRule type="containsText" dxfId="306" priority="305" stopIfTrue="1" operator="containsText" text="ALTO">
      <formula>NOT(ISERROR(SEARCH("ALTO",S70)))</formula>
    </cfRule>
    <cfRule type="containsText" dxfId="305" priority="306" stopIfTrue="1" operator="containsText" text="MEDIO">
      <formula>NOT(ISERROR(SEARCH("MEDIO",S70)))</formula>
    </cfRule>
    <cfRule type="containsText" dxfId="304" priority="307" stopIfTrue="1" operator="containsText" text="BAJO">
      <formula>NOT(ISERROR(SEARCH("BAJO",S70)))</formula>
    </cfRule>
    <cfRule type="containsText" dxfId="303" priority="308" stopIfTrue="1" operator="containsText" text="SIN RIESGO">
      <formula>NOT(ISERROR(SEARCH("SIN RIESGO",S70)))</formula>
    </cfRule>
  </conditionalFormatting>
  <conditionalFormatting sqref="S70">
    <cfRule type="containsText" dxfId="302" priority="303" stopIfTrue="1" operator="containsText" text="SIN RIESGO">
      <formula>NOT(ISERROR(SEARCH("SIN RIESGO",S70)))</formula>
    </cfRule>
  </conditionalFormatting>
  <conditionalFormatting sqref="R70">
    <cfRule type="cellIs" dxfId="301" priority="302" stopIfTrue="1" operator="equal">
      <formula>"NO"</formula>
    </cfRule>
  </conditionalFormatting>
  <conditionalFormatting sqref="S70">
    <cfRule type="cellIs" dxfId="300" priority="301" stopIfTrue="1" operator="equal">
      <formula>"INVIABLE SANITARIAMENTE"</formula>
    </cfRule>
  </conditionalFormatting>
  <conditionalFormatting sqref="E70:Q70 G71">
    <cfRule type="containsBlanks" dxfId="299" priority="294" stopIfTrue="1">
      <formula>LEN(TRIM(E70))=0</formula>
    </cfRule>
    <cfRule type="cellIs" dxfId="298" priority="295" stopIfTrue="1" operator="between">
      <formula>80.1</formula>
      <formula>100</formula>
    </cfRule>
    <cfRule type="cellIs" dxfId="297" priority="296" stopIfTrue="1" operator="between">
      <formula>35.1</formula>
      <formula>80</formula>
    </cfRule>
    <cfRule type="cellIs" dxfId="296" priority="297" stopIfTrue="1" operator="between">
      <formula>14.1</formula>
      <formula>35</formula>
    </cfRule>
    <cfRule type="cellIs" dxfId="295" priority="298" stopIfTrue="1" operator="between">
      <formula>5.1</formula>
      <formula>14</formula>
    </cfRule>
    <cfRule type="cellIs" dxfId="294" priority="299" stopIfTrue="1" operator="between">
      <formula>0</formula>
      <formula>5</formula>
    </cfRule>
    <cfRule type="containsBlanks" dxfId="293" priority="300" stopIfTrue="1">
      <formula>LEN(TRIM(E70))=0</formula>
    </cfRule>
  </conditionalFormatting>
  <conditionalFormatting sqref="S70">
    <cfRule type="containsText" dxfId="292" priority="289" stopIfTrue="1" operator="containsText" text="INVIABLE SANITARIAMENTE">
      <formula>NOT(ISERROR(SEARCH("INVIABLE SANITARIAMENTE",S70)))</formula>
    </cfRule>
    <cfRule type="containsText" dxfId="291" priority="290" stopIfTrue="1" operator="containsText" text="ALTO">
      <formula>NOT(ISERROR(SEARCH("ALTO",S70)))</formula>
    </cfRule>
    <cfRule type="containsText" dxfId="290" priority="291" stopIfTrue="1" operator="containsText" text="MEDIO">
      <formula>NOT(ISERROR(SEARCH("MEDIO",S70)))</formula>
    </cfRule>
    <cfRule type="containsText" dxfId="289" priority="292" stopIfTrue="1" operator="containsText" text="BAJO">
      <formula>NOT(ISERROR(SEARCH("BAJO",S70)))</formula>
    </cfRule>
    <cfRule type="containsText" dxfId="288" priority="293" stopIfTrue="1" operator="containsText" text="SIN RIESGO">
      <formula>NOT(ISERROR(SEARCH("SIN RIESGO",S70)))</formula>
    </cfRule>
  </conditionalFormatting>
  <conditionalFormatting sqref="S70">
    <cfRule type="containsText" dxfId="287" priority="288" stopIfTrue="1" operator="containsText" text="SIN RIESGO">
      <formula>NOT(ISERROR(SEARCH("SIN RIESGO",S70)))</formula>
    </cfRule>
  </conditionalFormatting>
  <conditionalFormatting sqref="Q107">
    <cfRule type="containsBlanks" dxfId="286" priority="281" stopIfTrue="1">
      <formula>LEN(TRIM(Q107))=0</formula>
    </cfRule>
    <cfRule type="cellIs" dxfId="285" priority="282" stopIfTrue="1" operator="between">
      <formula>80.1</formula>
      <formula>100</formula>
    </cfRule>
    <cfRule type="cellIs" dxfId="284" priority="283" stopIfTrue="1" operator="between">
      <formula>35.1</formula>
      <formula>80</formula>
    </cfRule>
    <cfRule type="cellIs" dxfId="283" priority="284" stopIfTrue="1" operator="between">
      <formula>14.1</formula>
      <formula>35</formula>
    </cfRule>
    <cfRule type="cellIs" dxfId="282" priority="285" stopIfTrue="1" operator="between">
      <formula>5.1</formula>
      <formula>14</formula>
    </cfRule>
    <cfRule type="cellIs" dxfId="281" priority="286" stopIfTrue="1" operator="between">
      <formula>0</formula>
      <formula>5</formula>
    </cfRule>
    <cfRule type="containsBlanks" dxfId="280" priority="287" stopIfTrue="1">
      <formula>LEN(TRIM(Q107))=0</formula>
    </cfRule>
  </conditionalFormatting>
  <conditionalFormatting sqref="N107:O107 L107 J107">
    <cfRule type="containsBlanks" dxfId="279" priority="274" stopIfTrue="1">
      <formula>LEN(TRIM(J107))=0</formula>
    </cfRule>
    <cfRule type="cellIs" dxfId="278" priority="275" stopIfTrue="1" operator="between">
      <formula>80.1</formula>
      <formula>100</formula>
    </cfRule>
    <cfRule type="cellIs" dxfId="277" priority="276" stopIfTrue="1" operator="between">
      <formula>35.1</formula>
      <formula>80</formula>
    </cfRule>
    <cfRule type="cellIs" dxfId="276" priority="277" stopIfTrue="1" operator="between">
      <formula>14.1</formula>
      <formula>35</formula>
    </cfRule>
    <cfRule type="cellIs" dxfId="275" priority="278" stopIfTrue="1" operator="between">
      <formula>5.1</formula>
      <formula>14</formula>
    </cfRule>
    <cfRule type="cellIs" dxfId="274" priority="279" stopIfTrue="1" operator="between">
      <formula>0</formula>
      <formula>5</formula>
    </cfRule>
    <cfRule type="containsBlanks" dxfId="273" priority="280" stopIfTrue="1">
      <formula>LEN(TRIM(J107))=0</formula>
    </cfRule>
  </conditionalFormatting>
  <conditionalFormatting sqref="G107:I107 P107 M107 K107 E107">
    <cfRule type="containsBlanks" dxfId="272" priority="267" stopIfTrue="1">
      <formula>LEN(TRIM(E107))=0</formula>
    </cfRule>
    <cfRule type="cellIs" dxfId="271" priority="268" stopIfTrue="1" operator="between">
      <formula>80.1</formula>
      <formula>100</formula>
    </cfRule>
    <cfRule type="cellIs" dxfId="270" priority="269" stopIfTrue="1" operator="between">
      <formula>35.1</formula>
      <formula>80</formula>
    </cfRule>
    <cfRule type="cellIs" dxfId="269" priority="270" stopIfTrue="1" operator="between">
      <formula>14.1</formula>
      <formula>35</formula>
    </cfRule>
    <cfRule type="cellIs" dxfId="268" priority="271" stopIfTrue="1" operator="between">
      <formula>5.1</formula>
      <formula>14</formula>
    </cfRule>
    <cfRule type="cellIs" dxfId="267" priority="272" stopIfTrue="1" operator="between">
      <formula>0</formula>
      <formula>5</formula>
    </cfRule>
    <cfRule type="containsBlanks" dxfId="266" priority="273" stopIfTrue="1">
      <formula>LEN(TRIM(E107))=0</formula>
    </cfRule>
  </conditionalFormatting>
  <conditionalFormatting sqref="F107">
    <cfRule type="containsBlanks" dxfId="265" priority="260" stopIfTrue="1">
      <formula>LEN(TRIM(F107))=0</formula>
    </cfRule>
    <cfRule type="cellIs" dxfId="264" priority="261" stopIfTrue="1" operator="between">
      <formula>79.1</formula>
      <formula>100</formula>
    </cfRule>
    <cfRule type="cellIs" dxfId="263" priority="262" stopIfTrue="1" operator="between">
      <formula>34.1</formula>
      <formula>79</formula>
    </cfRule>
    <cfRule type="cellIs" dxfId="262" priority="263" stopIfTrue="1" operator="between">
      <formula>13.1</formula>
      <formula>34</formula>
    </cfRule>
    <cfRule type="cellIs" dxfId="261" priority="264" stopIfTrue="1" operator="between">
      <formula>5.1</formula>
      <formula>13</formula>
    </cfRule>
    <cfRule type="cellIs" dxfId="260" priority="265" stopIfTrue="1" operator="between">
      <formula>0</formula>
      <formula>5</formula>
    </cfRule>
    <cfRule type="containsBlanks" dxfId="259" priority="266" stopIfTrue="1">
      <formula>LEN(TRIM(F107))=0</formula>
    </cfRule>
  </conditionalFormatting>
  <conditionalFormatting sqref="R107">
    <cfRule type="cellIs" dxfId="258" priority="259" stopIfTrue="1" operator="equal">
      <formula>"NO"</formula>
    </cfRule>
  </conditionalFormatting>
  <conditionalFormatting sqref="S107">
    <cfRule type="cellIs" dxfId="257" priority="258" stopIfTrue="1" operator="equal">
      <formula>"INVIABLE SANITARIAMENTE"</formula>
    </cfRule>
  </conditionalFormatting>
  <conditionalFormatting sqref="S107">
    <cfRule type="containsText" dxfId="256" priority="253" stopIfTrue="1" operator="containsText" text="INVIABLE SANITARIAMENTE">
      <formula>NOT(ISERROR(SEARCH("INVIABLE SANITARIAMENTE",S107)))</formula>
    </cfRule>
    <cfRule type="containsText" dxfId="255" priority="254" stopIfTrue="1" operator="containsText" text="ALTO">
      <formula>NOT(ISERROR(SEARCH("ALTO",S107)))</formula>
    </cfRule>
    <cfRule type="containsText" dxfId="254" priority="255" stopIfTrue="1" operator="containsText" text="MEDIO">
      <formula>NOT(ISERROR(SEARCH("MEDIO",S107)))</formula>
    </cfRule>
    <cfRule type="containsText" dxfId="253" priority="256" stopIfTrue="1" operator="containsText" text="BAJO">
      <formula>NOT(ISERROR(SEARCH("BAJO",S107)))</formula>
    </cfRule>
    <cfRule type="containsText" dxfId="252" priority="257" stopIfTrue="1" operator="containsText" text="SIN RIESGO">
      <formula>NOT(ISERROR(SEARCH("SIN RIESGO",S107)))</formula>
    </cfRule>
  </conditionalFormatting>
  <conditionalFormatting sqref="S107">
    <cfRule type="containsText" dxfId="251" priority="252" stopIfTrue="1" operator="containsText" text="SIN RIESGO">
      <formula>NOT(ISERROR(SEARCH("SIN RIESGO",S107)))</formula>
    </cfRule>
  </conditionalFormatting>
  <conditionalFormatting sqref="S107">
    <cfRule type="cellIs" dxfId="250" priority="251" stopIfTrue="1" operator="equal">
      <formula>"INVIABLE SANITARIAMENTE"</formula>
    </cfRule>
  </conditionalFormatting>
  <conditionalFormatting sqref="S107">
    <cfRule type="containsText" dxfId="249" priority="246" stopIfTrue="1" operator="containsText" text="INVIABLE SANITARIAMENTE">
      <formula>NOT(ISERROR(SEARCH("INVIABLE SANITARIAMENTE",S107)))</formula>
    </cfRule>
    <cfRule type="containsText" dxfId="248" priority="247" stopIfTrue="1" operator="containsText" text="ALTO">
      <formula>NOT(ISERROR(SEARCH("ALTO",S107)))</formula>
    </cfRule>
    <cfRule type="containsText" dxfId="247" priority="248" stopIfTrue="1" operator="containsText" text="MEDIO">
      <formula>NOT(ISERROR(SEARCH("MEDIO",S107)))</formula>
    </cfRule>
    <cfRule type="containsText" dxfId="246" priority="249" stopIfTrue="1" operator="containsText" text="BAJO">
      <formula>NOT(ISERROR(SEARCH("BAJO",S107)))</formula>
    </cfRule>
    <cfRule type="containsText" dxfId="245" priority="250" stopIfTrue="1" operator="containsText" text="SIN RIESGO">
      <formula>NOT(ISERROR(SEARCH("SIN RIESGO",S107)))</formula>
    </cfRule>
  </conditionalFormatting>
  <conditionalFormatting sqref="S107">
    <cfRule type="containsText" dxfId="244" priority="245" stopIfTrue="1" operator="containsText" text="SIN RIESGO">
      <formula>NOT(ISERROR(SEARCH("SIN RIESGO",S107)))</formula>
    </cfRule>
  </conditionalFormatting>
  <conditionalFormatting sqref="Q109">
    <cfRule type="containsBlanks" dxfId="243" priority="238" stopIfTrue="1">
      <formula>LEN(TRIM(Q109))=0</formula>
    </cfRule>
    <cfRule type="cellIs" dxfId="242" priority="239" stopIfTrue="1" operator="between">
      <formula>80.1</formula>
      <formula>100</formula>
    </cfRule>
    <cfRule type="cellIs" dxfId="241" priority="240" stopIfTrue="1" operator="between">
      <formula>35.1</formula>
      <formula>80</formula>
    </cfRule>
    <cfRule type="cellIs" dxfId="240" priority="241" stopIfTrue="1" operator="between">
      <formula>14.1</formula>
      <formula>35</formula>
    </cfRule>
    <cfRule type="cellIs" dxfId="239" priority="242" stopIfTrue="1" operator="between">
      <formula>5.1</formula>
      <formula>14</formula>
    </cfRule>
    <cfRule type="cellIs" dxfId="238" priority="243" stopIfTrue="1" operator="between">
      <formula>0</formula>
      <formula>5</formula>
    </cfRule>
    <cfRule type="containsBlanks" dxfId="237" priority="244" stopIfTrue="1">
      <formula>LEN(TRIM(Q109))=0</formula>
    </cfRule>
  </conditionalFormatting>
  <conditionalFormatting sqref="N109:O109 L109 J109">
    <cfRule type="containsBlanks" dxfId="236" priority="231" stopIfTrue="1">
      <formula>LEN(TRIM(J109))=0</formula>
    </cfRule>
    <cfRule type="cellIs" dxfId="235" priority="232" stopIfTrue="1" operator="between">
      <formula>80.1</formula>
      <formula>100</formula>
    </cfRule>
    <cfRule type="cellIs" dxfId="234" priority="233" stopIfTrue="1" operator="between">
      <formula>35.1</formula>
      <formula>80</formula>
    </cfRule>
    <cfRule type="cellIs" dxfId="233" priority="234" stopIfTrue="1" operator="between">
      <formula>14.1</formula>
      <formula>35</formula>
    </cfRule>
    <cfRule type="cellIs" dxfId="232" priority="235" stopIfTrue="1" operator="between">
      <formula>5.1</formula>
      <formula>14</formula>
    </cfRule>
    <cfRule type="cellIs" dxfId="231" priority="236" stopIfTrue="1" operator="between">
      <formula>0</formula>
      <formula>5</formula>
    </cfRule>
    <cfRule type="containsBlanks" dxfId="230" priority="237" stopIfTrue="1">
      <formula>LEN(TRIM(J109))=0</formula>
    </cfRule>
  </conditionalFormatting>
  <conditionalFormatting sqref="P109 M109 K109 G109:I109 E109">
    <cfRule type="containsBlanks" dxfId="229" priority="224" stopIfTrue="1">
      <formula>LEN(TRIM(E109))=0</formula>
    </cfRule>
    <cfRule type="cellIs" dxfId="228" priority="225" stopIfTrue="1" operator="between">
      <formula>80.1</formula>
      <formula>100</formula>
    </cfRule>
    <cfRule type="cellIs" dxfId="227" priority="226" stopIfTrue="1" operator="between">
      <formula>35.1</formula>
      <formula>80</formula>
    </cfRule>
    <cfRule type="cellIs" dxfId="226" priority="227" stopIfTrue="1" operator="between">
      <formula>14.1</formula>
      <formula>35</formula>
    </cfRule>
    <cfRule type="cellIs" dxfId="225" priority="228" stopIfTrue="1" operator="between">
      <formula>5.1</formula>
      <formula>14</formula>
    </cfRule>
    <cfRule type="cellIs" dxfId="224" priority="229" stopIfTrue="1" operator="between">
      <formula>0</formula>
      <formula>5</formula>
    </cfRule>
    <cfRule type="containsBlanks" dxfId="223" priority="230" stopIfTrue="1">
      <formula>LEN(TRIM(E109))=0</formula>
    </cfRule>
  </conditionalFormatting>
  <conditionalFormatting sqref="F109">
    <cfRule type="containsBlanks" dxfId="222" priority="217" stopIfTrue="1">
      <formula>LEN(TRIM(F109))=0</formula>
    </cfRule>
    <cfRule type="cellIs" dxfId="221" priority="218" stopIfTrue="1" operator="between">
      <formula>79.1</formula>
      <formula>100</formula>
    </cfRule>
    <cfRule type="cellIs" dxfId="220" priority="219" stopIfTrue="1" operator="between">
      <formula>34.1</formula>
      <formula>79</formula>
    </cfRule>
    <cfRule type="cellIs" dxfId="219" priority="220" stopIfTrue="1" operator="between">
      <formula>13.1</formula>
      <formula>34</formula>
    </cfRule>
    <cfRule type="cellIs" dxfId="218" priority="221" stopIfTrue="1" operator="between">
      <formula>5.1</formula>
      <formula>13</formula>
    </cfRule>
    <cfRule type="cellIs" dxfId="217" priority="222" stopIfTrue="1" operator="between">
      <formula>0</formula>
      <formula>5</formula>
    </cfRule>
    <cfRule type="containsBlanks" dxfId="216" priority="223" stopIfTrue="1">
      <formula>LEN(TRIM(F109))=0</formula>
    </cfRule>
  </conditionalFormatting>
  <conditionalFormatting sqref="R109">
    <cfRule type="cellIs" dxfId="215" priority="216" stopIfTrue="1" operator="equal">
      <formula>"NO"</formula>
    </cfRule>
  </conditionalFormatting>
  <conditionalFormatting sqref="S109">
    <cfRule type="cellIs" dxfId="214" priority="215" stopIfTrue="1" operator="equal">
      <formula>"INVIABLE SANITARIAMENTE"</formula>
    </cfRule>
  </conditionalFormatting>
  <conditionalFormatting sqref="S109">
    <cfRule type="containsText" dxfId="213" priority="210" stopIfTrue="1" operator="containsText" text="INVIABLE SANITARIAMENTE">
      <formula>NOT(ISERROR(SEARCH("INVIABLE SANITARIAMENTE",S109)))</formula>
    </cfRule>
    <cfRule type="containsText" dxfId="212" priority="211" stopIfTrue="1" operator="containsText" text="ALTO">
      <formula>NOT(ISERROR(SEARCH("ALTO",S109)))</formula>
    </cfRule>
    <cfRule type="containsText" dxfId="211" priority="212" stopIfTrue="1" operator="containsText" text="MEDIO">
      <formula>NOT(ISERROR(SEARCH("MEDIO",S109)))</formula>
    </cfRule>
    <cfRule type="containsText" dxfId="210" priority="213" stopIfTrue="1" operator="containsText" text="BAJO">
      <formula>NOT(ISERROR(SEARCH("BAJO",S109)))</formula>
    </cfRule>
    <cfRule type="containsText" dxfId="209" priority="214" stopIfTrue="1" operator="containsText" text="SIN RIESGO">
      <formula>NOT(ISERROR(SEARCH("SIN RIESGO",S109)))</formula>
    </cfRule>
  </conditionalFormatting>
  <conditionalFormatting sqref="S109">
    <cfRule type="containsText" dxfId="208" priority="209" stopIfTrue="1" operator="containsText" text="SIN RIESGO">
      <formula>NOT(ISERROR(SEARCH("SIN RIESGO",S109)))</formula>
    </cfRule>
  </conditionalFormatting>
  <conditionalFormatting sqref="S109">
    <cfRule type="cellIs" dxfId="207" priority="208" stopIfTrue="1" operator="equal">
      <formula>"INVIABLE SANITARIAMENTE"</formula>
    </cfRule>
  </conditionalFormatting>
  <conditionalFormatting sqref="S109">
    <cfRule type="containsText" dxfId="206" priority="203" stopIfTrue="1" operator="containsText" text="INVIABLE SANITARIAMENTE">
      <formula>NOT(ISERROR(SEARCH("INVIABLE SANITARIAMENTE",S109)))</formula>
    </cfRule>
    <cfRule type="containsText" dxfId="205" priority="204" stopIfTrue="1" operator="containsText" text="ALTO">
      <formula>NOT(ISERROR(SEARCH("ALTO",S109)))</formula>
    </cfRule>
    <cfRule type="containsText" dxfId="204" priority="205" stopIfTrue="1" operator="containsText" text="MEDIO">
      <formula>NOT(ISERROR(SEARCH("MEDIO",S109)))</formula>
    </cfRule>
    <cfRule type="containsText" dxfId="203" priority="206" stopIfTrue="1" operator="containsText" text="BAJO">
      <formula>NOT(ISERROR(SEARCH("BAJO",S109)))</formula>
    </cfRule>
    <cfRule type="containsText" dxfId="202" priority="207" stopIfTrue="1" operator="containsText" text="SIN RIESGO">
      <formula>NOT(ISERROR(SEARCH("SIN RIESGO",S109)))</formula>
    </cfRule>
  </conditionalFormatting>
  <conditionalFormatting sqref="S109">
    <cfRule type="containsText" dxfId="201" priority="202" stopIfTrue="1" operator="containsText" text="SIN RIESGO">
      <formula>NOT(ISERROR(SEARCH("SIN RIESGO",S109)))</formula>
    </cfRule>
  </conditionalFormatting>
  <conditionalFormatting sqref="R349">
    <cfRule type="cellIs" dxfId="200" priority="200" stopIfTrue="1" operator="equal">
      <formula>"NO"</formula>
    </cfRule>
  </conditionalFormatting>
  <conditionalFormatting sqref="S349">
    <cfRule type="cellIs" dxfId="199" priority="201" stopIfTrue="1" operator="equal">
      <formula>"INVIABLE SANITARIAMENTE"</formula>
    </cfRule>
  </conditionalFormatting>
  <conditionalFormatting sqref="E349:Q349">
    <cfRule type="containsBlanks" dxfId="198" priority="193" stopIfTrue="1">
      <formula>LEN(TRIM(E349))=0</formula>
    </cfRule>
    <cfRule type="cellIs" dxfId="197" priority="194" stopIfTrue="1" operator="between">
      <formula>80.1</formula>
      <formula>100</formula>
    </cfRule>
    <cfRule type="cellIs" dxfId="196" priority="195" stopIfTrue="1" operator="between">
      <formula>35.1</formula>
      <formula>80</formula>
    </cfRule>
    <cfRule type="cellIs" dxfId="195" priority="196" stopIfTrue="1" operator="between">
      <formula>14.1</formula>
      <formula>35</formula>
    </cfRule>
    <cfRule type="cellIs" dxfId="194" priority="197" stopIfTrue="1" operator="between">
      <formula>5.1</formula>
      <formula>14</formula>
    </cfRule>
    <cfRule type="cellIs" dxfId="193" priority="198" stopIfTrue="1" operator="between">
      <formula>0</formula>
      <formula>5</formula>
    </cfRule>
    <cfRule type="containsBlanks" dxfId="192" priority="199" stopIfTrue="1">
      <formula>LEN(TRIM(E349))=0</formula>
    </cfRule>
  </conditionalFormatting>
  <conditionalFormatting sqref="S349">
    <cfRule type="containsText" dxfId="191" priority="188" stopIfTrue="1" operator="containsText" text="INVIABLE SANITARIAMENTE">
      <formula>NOT(ISERROR(SEARCH("INVIABLE SANITARIAMENTE",S349)))</formula>
    </cfRule>
    <cfRule type="containsText" dxfId="190" priority="189" stopIfTrue="1" operator="containsText" text="ALTO">
      <formula>NOT(ISERROR(SEARCH("ALTO",S349)))</formula>
    </cfRule>
    <cfRule type="containsText" dxfId="189" priority="190" stopIfTrue="1" operator="containsText" text="MEDIO">
      <formula>NOT(ISERROR(SEARCH("MEDIO",S349)))</formula>
    </cfRule>
    <cfRule type="containsText" dxfId="188" priority="191" stopIfTrue="1" operator="containsText" text="BAJO">
      <formula>NOT(ISERROR(SEARCH("BAJO",S349)))</formula>
    </cfRule>
    <cfRule type="containsText" dxfId="187" priority="192" stopIfTrue="1" operator="containsText" text="SIN RIESGO">
      <formula>NOT(ISERROR(SEARCH("SIN RIESGO",S349)))</formula>
    </cfRule>
  </conditionalFormatting>
  <conditionalFormatting sqref="S349">
    <cfRule type="containsText" dxfId="186" priority="187" stopIfTrue="1" operator="containsText" text="SIN RIESGO">
      <formula>NOT(ISERROR(SEARCH("SIN RIESGO",S349)))</formula>
    </cfRule>
  </conditionalFormatting>
  <conditionalFormatting sqref="E349:Q349">
    <cfRule type="containsBlanks" dxfId="185" priority="180" stopIfTrue="1">
      <formula>LEN(TRIM(E349))=0</formula>
    </cfRule>
    <cfRule type="cellIs" dxfId="184" priority="181" stopIfTrue="1" operator="between">
      <formula>80.1</formula>
      <formula>100</formula>
    </cfRule>
    <cfRule type="cellIs" dxfId="183" priority="182" stopIfTrue="1" operator="between">
      <formula>35.1</formula>
      <formula>80</formula>
    </cfRule>
    <cfRule type="cellIs" dxfId="182" priority="183" stopIfTrue="1" operator="between">
      <formula>14.1</formula>
      <formula>35</formula>
    </cfRule>
    <cfRule type="cellIs" dxfId="181" priority="184" stopIfTrue="1" operator="between">
      <formula>5.1</formula>
      <formula>14</formula>
    </cfRule>
    <cfRule type="cellIs" dxfId="180" priority="185" stopIfTrue="1" operator="between">
      <formula>0</formula>
      <formula>5</formula>
    </cfRule>
    <cfRule type="containsBlanks" dxfId="179" priority="186" stopIfTrue="1">
      <formula>LEN(TRIM(E349))=0</formula>
    </cfRule>
  </conditionalFormatting>
  <conditionalFormatting sqref="S349">
    <cfRule type="cellIs" dxfId="178" priority="179" stopIfTrue="1" operator="equal">
      <formula>"INVIABLE SANITARIAMENTE"</formula>
    </cfRule>
  </conditionalFormatting>
  <conditionalFormatting sqref="S349">
    <cfRule type="containsText" dxfId="177" priority="174" stopIfTrue="1" operator="containsText" text="INVIABLE SANITARIAMENTE">
      <formula>NOT(ISERROR(SEARCH("INVIABLE SANITARIAMENTE",S349)))</formula>
    </cfRule>
    <cfRule type="containsText" dxfId="176" priority="175" stopIfTrue="1" operator="containsText" text="ALTO">
      <formula>NOT(ISERROR(SEARCH("ALTO",S349)))</formula>
    </cfRule>
    <cfRule type="containsText" dxfId="175" priority="176" stopIfTrue="1" operator="containsText" text="MEDIO">
      <formula>NOT(ISERROR(SEARCH("MEDIO",S349)))</formula>
    </cfRule>
    <cfRule type="containsText" dxfId="174" priority="177" stopIfTrue="1" operator="containsText" text="BAJO">
      <formula>NOT(ISERROR(SEARCH("BAJO",S349)))</formula>
    </cfRule>
    <cfRule type="containsText" dxfId="173" priority="178" stopIfTrue="1" operator="containsText" text="SIN RIESGO">
      <formula>NOT(ISERROR(SEARCH("SIN RIESGO",S349)))</formula>
    </cfRule>
  </conditionalFormatting>
  <conditionalFormatting sqref="S349">
    <cfRule type="containsText" dxfId="172" priority="173" stopIfTrue="1" operator="containsText" text="SIN RIESGO">
      <formula>NOT(ISERROR(SEARCH("SIN RIESGO",S349)))</formula>
    </cfRule>
  </conditionalFormatting>
  <conditionalFormatting sqref="S349">
    <cfRule type="cellIs" dxfId="171" priority="172" stopIfTrue="1" operator="equal">
      <formula>"INVIABLE SANITARIAMENTE"</formula>
    </cfRule>
  </conditionalFormatting>
  <conditionalFormatting sqref="S349">
    <cfRule type="containsText" dxfId="170" priority="167" stopIfTrue="1" operator="containsText" text="INVIABLE SANITARIAMENTE">
      <formula>NOT(ISERROR(SEARCH("INVIABLE SANITARIAMENTE",S349)))</formula>
    </cfRule>
    <cfRule type="containsText" dxfId="169" priority="168" stopIfTrue="1" operator="containsText" text="ALTO">
      <formula>NOT(ISERROR(SEARCH("ALTO",S349)))</formula>
    </cfRule>
    <cfRule type="containsText" dxfId="168" priority="169" stopIfTrue="1" operator="containsText" text="MEDIO">
      <formula>NOT(ISERROR(SEARCH("MEDIO",S349)))</formula>
    </cfRule>
    <cfRule type="containsText" dxfId="167" priority="170" stopIfTrue="1" operator="containsText" text="BAJO">
      <formula>NOT(ISERROR(SEARCH("BAJO",S349)))</formula>
    </cfRule>
    <cfRule type="containsText" dxfId="166" priority="171" stopIfTrue="1" operator="containsText" text="SIN RIESGO">
      <formula>NOT(ISERROR(SEARCH("SIN RIESGO",S349)))</formula>
    </cfRule>
  </conditionalFormatting>
  <conditionalFormatting sqref="S349">
    <cfRule type="containsText" dxfId="165" priority="166" stopIfTrue="1" operator="containsText" text="SIN RIESGO">
      <formula>NOT(ISERROR(SEARCH("SIN RIESGO",S349)))</formula>
    </cfRule>
  </conditionalFormatting>
  <conditionalFormatting sqref="R350">
    <cfRule type="cellIs" dxfId="164" priority="164" stopIfTrue="1" operator="equal">
      <formula>"NO"</formula>
    </cfRule>
  </conditionalFormatting>
  <conditionalFormatting sqref="S350">
    <cfRule type="cellIs" dxfId="163" priority="165" stopIfTrue="1" operator="equal">
      <formula>"INVIABLE SANITARIAMENTE"</formula>
    </cfRule>
  </conditionalFormatting>
  <conditionalFormatting sqref="E350:Q350">
    <cfRule type="containsBlanks" dxfId="162" priority="157" stopIfTrue="1">
      <formula>LEN(TRIM(E350))=0</formula>
    </cfRule>
    <cfRule type="cellIs" dxfId="161" priority="158" stopIfTrue="1" operator="between">
      <formula>80.1</formula>
      <formula>100</formula>
    </cfRule>
    <cfRule type="cellIs" dxfId="160" priority="159" stopIfTrue="1" operator="between">
      <formula>35.1</formula>
      <formula>80</formula>
    </cfRule>
    <cfRule type="cellIs" dxfId="159" priority="160" stopIfTrue="1" operator="between">
      <formula>14.1</formula>
      <formula>35</formula>
    </cfRule>
    <cfRule type="cellIs" dxfId="158" priority="161" stopIfTrue="1" operator="between">
      <formula>5.1</formula>
      <formula>14</formula>
    </cfRule>
    <cfRule type="cellIs" dxfId="157" priority="162" stopIfTrue="1" operator="between">
      <formula>0</formula>
      <formula>5</formula>
    </cfRule>
    <cfRule type="containsBlanks" dxfId="156" priority="163" stopIfTrue="1">
      <formula>LEN(TRIM(E350))=0</formula>
    </cfRule>
  </conditionalFormatting>
  <conditionalFormatting sqref="S350">
    <cfRule type="containsText" dxfId="155" priority="152" stopIfTrue="1" operator="containsText" text="INVIABLE SANITARIAMENTE">
      <formula>NOT(ISERROR(SEARCH("INVIABLE SANITARIAMENTE",S350)))</formula>
    </cfRule>
    <cfRule type="containsText" dxfId="154" priority="153" stopIfTrue="1" operator="containsText" text="ALTO">
      <formula>NOT(ISERROR(SEARCH("ALTO",S350)))</formula>
    </cfRule>
    <cfRule type="containsText" dxfId="153" priority="154" stopIfTrue="1" operator="containsText" text="MEDIO">
      <formula>NOT(ISERROR(SEARCH("MEDIO",S350)))</formula>
    </cfRule>
    <cfRule type="containsText" dxfId="152" priority="155" stopIfTrue="1" operator="containsText" text="BAJO">
      <formula>NOT(ISERROR(SEARCH("BAJO",S350)))</formula>
    </cfRule>
    <cfRule type="containsText" dxfId="151" priority="156" stopIfTrue="1" operator="containsText" text="SIN RIESGO">
      <formula>NOT(ISERROR(SEARCH("SIN RIESGO",S350)))</formula>
    </cfRule>
  </conditionalFormatting>
  <conditionalFormatting sqref="S350">
    <cfRule type="containsText" dxfId="150" priority="151" stopIfTrue="1" operator="containsText" text="SIN RIESGO">
      <formula>NOT(ISERROR(SEARCH("SIN RIESGO",S350)))</formula>
    </cfRule>
  </conditionalFormatting>
  <conditionalFormatting sqref="E350:Q350">
    <cfRule type="containsBlanks" dxfId="149" priority="144" stopIfTrue="1">
      <formula>LEN(TRIM(E350))=0</formula>
    </cfRule>
    <cfRule type="cellIs" dxfId="148" priority="145" stopIfTrue="1" operator="between">
      <formula>80.1</formula>
      <formula>100</formula>
    </cfRule>
    <cfRule type="cellIs" dxfId="147" priority="146" stopIfTrue="1" operator="between">
      <formula>35.1</formula>
      <formula>80</formula>
    </cfRule>
    <cfRule type="cellIs" dxfId="146" priority="147" stopIfTrue="1" operator="between">
      <formula>14.1</formula>
      <formula>35</formula>
    </cfRule>
    <cfRule type="cellIs" dxfId="145" priority="148" stopIfTrue="1" operator="between">
      <formula>5.1</formula>
      <formula>14</formula>
    </cfRule>
    <cfRule type="cellIs" dxfId="144" priority="149" stopIfTrue="1" operator="between">
      <formula>0</formula>
      <formula>5</formula>
    </cfRule>
    <cfRule type="containsBlanks" dxfId="143" priority="150" stopIfTrue="1">
      <formula>LEN(TRIM(E350))=0</formula>
    </cfRule>
  </conditionalFormatting>
  <conditionalFormatting sqref="S350">
    <cfRule type="cellIs" dxfId="142" priority="143" stopIfTrue="1" operator="equal">
      <formula>"INVIABLE SANITARIAMENTE"</formula>
    </cfRule>
  </conditionalFormatting>
  <conditionalFormatting sqref="S350">
    <cfRule type="containsText" dxfId="141" priority="138" stopIfTrue="1" operator="containsText" text="INVIABLE SANITARIAMENTE">
      <formula>NOT(ISERROR(SEARCH("INVIABLE SANITARIAMENTE",S350)))</formula>
    </cfRule>
    <cfRule type="containsText" dxfId="140" priority="139" stopIfTrue="1" operator="containsText" text="ALTO">
      <formula>NOT(ISERROR(SEARCH("ALTO",S350)))</formula>
    </cfRule>
    <cfRule type="containsText" dxfId="139" priority="140" stopIfTrue="1" operator="containsText" text="MEDIO">
      <formula>NOT(ISERROR(SEARCH("MEDIO",S350)))</formula>
    </cfRule>
    <cfRule type="containsText" dxfId="138" priority="141" stopIfTrue="1" operator="containsText" text="BAJO">
      <formula>NOT(ISERROR(SEARCH("BAJO",S350)))</formula>
    </cfRule>
    <cfRule type="containsText" dxfId="137" priority="142" stopIfTrue="1" operator="containsText" text="SIN RIESGO">
      <formula>NOT(ISERROR(SEARCH("SIN RIESGO",S350)))</formula>
    </cfRule>
  </conditionalFormatting>
  <conditionalFormatting sqref="S350">
    <cfRule type="containsText" dxfId="136" priority="137" stopIfTrue="1" operator="containsText" text="SIN RIESGO">
      <formula>NOT(ISERROR(SEARCH("SIN RIESGO",S350)))</formula>
    </cfRule>
  </conditionalFormatting>
  <conditionalFormatting sqref="S350">
    <cfRule type="cellIs" dxfId="135" priority="136" stopIfTrue="1" operator="equal">
      <formula>"INVIABLE SANITARIAMENTE"</formula>
    </cfRule>
  </conditionalFormatting>
  <conditionalFormatting sqref="S350">
    <cfRule type="containsText" dxfId="134" priority="131" stopIfTrue="1" operator="containsText" text="INVIABLE SANITARIAMENTE">
      <formula>NOT(ISERROR(SEARCH("INVIABLE SANITARIAMENTE",S350)))</formula>
    </cfRule>
    <cfRule type="containsText" dxfId="133" priority="132" stopIfTrue="1" operator="containsText" text="ALTO">
      <formula>NOT(ISERROR(SEARCH("ALTO",S350)))</formula>
    </cfRule>
    <cfRule type="containsText" dxfId="132" priority="133" stopIfTrue="1" operator="containsText" text="MEDIO">
      <formula>NOT(ISERROR(SEARCH("MEDIO",S350)))</formula>
    </cfRule>
    <cfRule type="containsText" dxfId="131" priority="134" stopIfTrue="1" operator="containsText" text="BAJO">
      <formula>NOT(ISERROR(SEARCH("BAJO",S350)))</formula>
    </cfRule>
    <cfRule type="containsText" dxfId="130" priority="135" stopIfTrue="1" operator="containsText" text="SIN RIESGO">
      <formula>NOT(ISERROR(SEARCH("SIN RIESGO",S350)))</formula>
    </cfRule>
  </conditionalFormatting>
  <conditionalFormatting sqref="S350">
    <cfRule type="containsText" dxfId="129" priority="130" stopIfTrue="1" operator="containsText" text="SIN RIESGO">
      <formula>NOT(ISERROR(SEARCH("SIN RIESGO",S350)))</formula>
    </cfRule>
  </conditionalFormatting>
  <conditionalFormatting sqref="S444">
    <cfRule type="cellIs" dxfId="128" priority="129" stopIfTrue="1" operator="equal">
      <formula>"INVIABLE SANITARIAMENTE"</formula>
    </cfRule>
  </conditionalFormatting>
  <conditionalFormatting sqref="E444:Q444">
    <cfRule type="containsBlanks" dxfId="127" priority="122" stopIfTrue="1">
      <formula>LEN(TRIM(E444))=0</formula>
    </cfRule>
    <cfRule type="cellIs" dxfId="126" priority="123" stopIfTrue="1" operator="between">
      <formula>80.1</formula>
      <formula>100</formula>
    </cfRule>
    <cfRule type="cellIs" dxfId="125" priority="124" stopIfTrue="1" operator="between">
      <formula>35.1</formula>
      <formula>80</formula>
    </cfRule>
    <cfRule type="cellIs" dxfId="124" priority="125" stopIfTrue="1" operator="between">
      <formula>14.1</formula>
      <formula>35</formula>
    </cfRule>
    <cfRule type="cellIs" dxfId="123" priority="126" stopIfTrue="1" operator="between">
      <formula>5.1</formula>
      <formula>14</formula>
    </cfRule>
    <cfRule type="cellIs" dxfId="122" priority="127" stopIfTrue="1" operator="between">
      <formula>0</formula>
      <formula>5</formula>
    </cfRule>
    <cfRule type="containsBlanks" dxfId="121" priority="128" stopIfTrue="1">
      <formula>LEN(TRIM(E444))=0</formula>
    </cfRule>
  </conditionalFormatting>
  <conditionalFormatting sqref="S444">
    <cfRule type="containsText" dxfId="120" priority="117" stopIfTrue="1" operator="containsText" text="INVIABLE SANITARIAMENTE">
      <formula>NOT(ISERROR(SEARCH("INVIABLE SANITARIAMENTE",S444)))</formula>
    </cfRule>
    <cfRule type="containsText" dxfId="119" priority="118" stopIfTrue="1" operator="containsText" text="ALTO">
      <formula>NOT(ISERROR(SEARCH("ALTO",S444)))</formula>
    </cfRule>
    <cfRule type="containsText" dxfId="118" priority="119" stopIfTrue="1" operator="containsText" text="MEDIO">
      <formula>NOT(ISERROR(SEARCH("MEDIO",S444)))</formula>
    </cfRule>
    <cfRule type="containsText" dxfId="117" priority="120" stopIfTrue="1" operator="containsText" text="BAJO">
      <formula>NOT(ISERROR(SEARCH("BAJO",S444)))</formula>
    </cfRule>
    <cfRule type="containsText" dxfId="116" priority="121" stopIfTrue="1" operator="containsText" text="SIN RIESGO">
      <formula>NOT(ISERROR(SEARCH("SIN RIESGO",S444)))</formula>
    </cfRule>
  </conditionalFormatting>
  <conditionalFormatting sqref="S444">
    <cfRule type="containsText" dxfId="115" priority="116" stopIfTrue="1" operator="containsText" text="SIN RIESGO">
      <formula>NOT(ISERROR(SEARCH("SIN RIESGO",S444)))</formula>
    </cfRule>
  </conditionalFormatting>
  <conditionalFormatting sqref="R444">
    <cfRule type="cellIs" dxfId="114" priority="115" stopIfTrue="1" operator="equal">
      <formula>"NO"</formula>
    </cfRule>
  </conditionalFormatting>
  <conditionalFormatting sqref="Q444">
    <cfRule type="containsBlanks" dxfId="113" priority="108" stopIfTrue="1">
      <formula>LEN(TRIM(Q444))=0</formula>
    </cfRule>
    <cfRule type="cellIs" dxfId="112" priority="109" stopIfTrue="1" operator="between">
      <formula>80.1</formula>
      <formula>100</formula>
    </cfRule>
    <cfRule type="cellIs" dxfId="111" priority="110" stopIfTrue="1" operator="between">
      <formula>35.1</formula>
      <formula>80</formula>
    </cfRule>
    <cfRule type="cellIs" dxfId="110" priority="111" stopIfTrue="1" operator="between">
      <formula>14.1</formula>
      <formula>35</formula>
    </cfRule>
    <cfRule type="cellIs" dxfId="109" priority="112" stopIfTrue="1" operator="between">
      <formula>5.1</formula>
      <formula>14</formula>
    </cfRule>
    <cfRule type="cellIs" dxfId="108" priority="113" stopIfTrue="1" operator="between">
      <formula>0</formula>
      <formula>5</formula>
    </cfRule>
    <cfRule type="containsBlanks" dxfId="107" priority="114" stopIfTrue="1">
      <formula>LEN(TRIM(Q444))=0</formula>
    </cfRule>
  </conditionalFormatting>
  <conditionalFormatting sqref="Q444">
    <cfRule type="containsBlanks" dxfId="106" priority="101" stopIfTrue="1">
      <formula>LEN(TRIM(Q444))=0</formula>
    </cfRule>
    <cfRule type="cellIs" dxfId="105" priority="102" stopIfTrue="1" operator="between">
      <formula>80.1</formula>
      <formula>100</formula>
    </cfRule>
    <cfRule type="cellIs" dxfId="104" priority="103" stopIfTrue="1" operator="between">
      <formula>35.1</formula>
      <formula>80</formula>
    </cfRule>
    <cfRule type="cellIs" dxfId="103" priority="104" stopIfTrue="1" operator="between">
      <formula>14.1</formula>
      <formula>35</formula>
    </cfRule>
    <cfRule type="cellIs" dxfId="102" priority="105" stopIfTrue="1" operator="between">
      <formula>5.1</formula>
      <formula>14</formula>
    </cfRule>
    <cfRule type="cellIs" dxfId="101" priority="106" stopIfTrue="1" operator="between">
      <formula>0</formula>
      <formula>5</formula>
    </cfRule>
    <cfRule type="containsBlanks" dxfId="100" priority="107" stopIfTrue="1">
      <formula>LEN(TRIM(Q444))=0</formula>
    </cfRule>
  </conditionalFormatting>
  <conditionalFormatting sqref="S444">
    <cfRule type="cellIs" dxfId="99" priority="100" stopIfTrue="1" operator="equal">
      <formula>"INVIABLE SANITARIAMENTE"</formula>
    </cfRule>
  </conditionalFormatting>
  <conditionalFormatting sqref="S444">
    <cfRule type="containsText" dxfId="98" priority="95" stopIfTrue="1" operator="containsText" text="INVIABLE SANITARIAMENTE">
      <formula>NOT(ISERROR(SEARCH("INVIABLE SANITARIAMENTE",S444)))</formula>
    </cfRule>
    <cfRule type="containsText" dxfId="97" priority="96" stopIfTrue="1" operator="containsText" text="ALTO">
      <formula>NOT(ISERROR(SEARCH("ALTO",S444)))</formula>
    </cfRule>
    <cfRule type="containsText" dxfId="96" priority="97" stopIfTrue="1" operator="containsText" text="MEDIO">
      <formula>NOT(ISERROR(SEARCH("MEDIO",S444)))</formula>
    </cfRule>
    <cfRule type="containsText" dxfId="95" priority="98" stopIfTrue="1" operator="containsText" text="BAJO">
      <formula>NOT(ISERROR(SEARCH("BAJO",S444)))</formula>
    </cfRule>
    <cfRule type="containsText" dxfId="94" priority="99" stopIfTrue="1" operator="containsText" text="SIN RIESGO">
      <formula>NOT(ISERROR(SEARCH("SIN RIESGO",S444)))</formula>
    </cfRule>
  </conditionalFormatting>
  <conditionalFormatting sqref="S444">
    <cfRule type="containsText" dxfId="93" priority="94" stopIfTrue="1" operator="containsText" text="SIN RIESGO">
      <formula>NOT(ISERROR(SEARCH("SIN RIESGO",S444)))</formula>
    </cfRule>
  </conditionalFormatting>
  <conditionalFormatting sqref="S444">
    <cfRule type="cellIs" dxfId="92" priority="93" stopIfTrue="1" operator="equal">
      <formula>"INVIABLE SANITARIAMENTE"</formula>
    </cfRule>
  </conditionalFormatting>
  <conditionalFormatting sqref="S444">
    <cfRule type="containsText" dxfId="91" priority="88" stopIfTrue="1" operator="containsText" text="INVIABLE SANITARIAMENTE">
      <formula>NOT(ISERROR(SEARCH("INVIABLE SANITARIAMENTE",S444)))</formula>
    </cfRule>
    <cfRule type="containsText" dxfId="90" priority="89" stopIfTrue="1" operator="containsText" text="ALTO">
      <formula>NOT(ISERROR(SEARCH("ALTO",S444)))</formula>
    </cfRule>
    <cfRule type="containsText" dxfId="89" priority="90" stopIfTrue="1" operator="containsText" text="MEDIO">
      <formula>NOT(ISERROR(SEARCH("MEDIO",S444)))</formula>
    </cfRule>
    <cfRule type="containsText" dxfId="88" priority="91" stopIfTrue="1" operator="containsText" text="BAJO">
      <formula>NOT(ISERROR(SEARCH("BAJO",S444)))</formula>
    </cfRule>
    <cfRule type="containsText" dxfId="87" priority="92" stopIfTrue="1" operator="containsText" text="SIN RIESGO">
      <formula>NOT(ISERROR(SEARCH("SIN RIESGO",S444)))</formula>
    </cfRule>
  </conditionalFormatting>
  <conditionalFormatting sqref="S444">
    <cfRule type="containsText" dxfId="86" priority="87" stopIfTrue="1" operator="containsText" text="SIN RIESGO">
      <formula>NOT(ISERROR(SEARCH("SIN RIESGO",S444)))</formula>
    </cfRule>
  </conditionalFormatting>
  <conditionalFormatting sqref="S445">
    <cfRule type="cellIs" dxfId="85" priority="86" stopIfTrue="1" operator="equal">
      <formula>"INVIABLE SANITARIAMENTE"</formula>
    </cfRule>
  </conditionalFormatting>
  <conditionalFormatting sqref="E445:Q445">
    <cfRule type="containsBlanks" dxfId="84" priority="79" stopIfTrue="1">
      <formula>LEN(TRIM(E445))=0</formula>
    </cfRule>
    <cfRule type="cellIs" dxfId="83" priority="80" stopIfTrue="1" operator="between">
      <formula>80.1</formula>
      <formula>100</formula>
    </cfRule>
    <cfRule type="cellIs" dxfId="82" priority="81" stopIfTrue="1" operator="between">
      <formula>35.1</formula>
      <formula>80</formula>
    </cfRule>
    <cfRule type="cellIs" dxfId="81" priority="82" stopIfTrue="1" operator="between">
      <formula>14.1</formula>
      <formula>35</formula>
    </cfRule>
    <cfRule type="cellIs" dxfId="80" priority="83" stopIfTrue="1" operator="between">
      <formula>5.1</formula>
      <formula>14</formula>
    </cfRule>
    <cfRule type="cellIs" dxfId="79" priority="84" stopIfTrue="1" operator="between">
      <formula>0</formula>
      <formula>5</formula>
    </cfRule>
    <cfRule type="containsBlanks" dxfId="78" priority="85" stopIfTrue="1">
      <formula>LEN(TRIM(E445))=0</formula>
    </cfRule>
  </conditionalFormatting>
  <conditionalFormatting sqref="S445">
    <cfRule type="containsText" dxfId="77" priority="74" stopIfTrue="1" operator="containsText" text="INVIABLE SANITARIAMENTE">
      <formula>NOT(ISERROR(SEARCH("INVIABLE SANITARIAMENTE",S445)))</formula>
    </cfRule>
    <cfRule type="containsText" dxfId="76" priority="75" stopIfTrue="1" operator="containsText" text="ALTO">
      <formula>NOT(ISERROR(SEARCH("ALTO",S445)))</formula>
    </cfRule>
    <cfRule type="containsText" dxfId="75" priority="76" stopIfTrue="1" operator="containsText" text="MEDIO">
      <formula>NOT(ISERROR(SEARCH("MEDIO",S445)))</formula>
    </cfRule>
    <cfRule type="containsText" dxfId="74" priority="77" stopIfTrue="1" operator="containsText" text="BAJO">
      <formula>NOT(ISERROR(SEARCH("BAJO",S445)))</formula>
    </cfRule>
    <cfRule type="containsText" dxfId="73" priority="78" stopIfTrue="1" operator="containsText" text="SIN RIESGO">
      <formula>NOT(ISERROR(SEARCH("SIN RIESGO",S445)))</formula>
    </cfRule>
  </conditionalFormatting>
  <conditionalFormatting sqref="S445">
    <cfRule type="containsText" dxfId="72" priority="73" stopIfTrue="1" operator="containsText" text="SIN RIESGO">
      <formula>NOT(ISERROR(SEARCH("SIN RIESGO",S445)))</formula>
    </cfRule>
  </conditionalFormatting>
  <conditionalFormatting sqref="R445">
    <cfRule type="cellIs" dxfId="71" priority="72" stopIfTrue="1" operator="equal">
      <formula>"NO"</formula>
    </cfRule>
  </conditionalFormatting>
  <conditionalFormatting sqref="Q445">
    <cfRule type="containsBlanks" dxfId="70" priority="65" stopIfTrue="1">
      <formula>LEN(TRIM(Q445))=0</formula>
    </cfRule>
    <cfRule type="cellIs" dxfId="69" priority="66" stopIfTrue="1" operator="between">
      <formula>80.1</formula>
      <formula>100</formula>
    </cfRule>
    <cfRule type="cellIs" dxfId="68" priority="67" stopIfTrue="1" operator="between">
      <formula>35.1</formula>
      <formula>80</formula>
    </cfRule>
    <cfRule type="cellIs" dxfId="67" priority="68" stopIfTrue="1" operator="between">
      <formula>14.1</formula>
      <formula>35</formula>
    </cfRule>
    <cfRule type="cellIs" dxfId="66" priority="69" stopIfTrue="1" operator="between">
      <formula>5.1</formula>
      <formula>14</formula>
    </cfRule>
    <cfRule type="cellIs" dxfId="65" priority="70" stopIfTrue="1" operator="between">
      <formula>0</formula>
      <formula>5</formula>
    </cfRule>
    <cfRule type="containsBlanks" dxfId="64" priority="71" stopIfTrue="1">
      <formula>LEN(TRIM(Q445))=0</formula>
    </cfRule>
  </conditionalFormatting>
  <conditionalFormatting sqref="Q445">
    <cfRule type="containsBlanks" dxfId="63" priority="58" stopIfTrue="1">
      <formula>LEN(TRIM(Q445))=0</formula>
    </cfRule>
    <cfRule type="cellIs" dxfId="62" priority="59" stopIfTrue="1" operator="between">
      <formula>80.1</formula>
      <formula>100</formula>
    </cfRule>
    <cfRule type="cellIs" dxfId="61" priority="60" stopIfTrue="1" operator="between">
      <formula>35.1</formula>
      <formula>80</formula>
    </cfRule>
    <cfRule type="cellIs" dxfId="60" priority="61" stopIfTrue="1" operator="between">
      <formula>14.1</formula>
      <formula>35</formula>
    </cfRule>
    <cfRule type="cellIs" dxfId="59" priority="62" stopIfTrue="1" operator="between">
      <formula>5.1</formula>
      <formula>14</formula>
    </cfRule>
    <cfRule type="cellIs" dxfId="58" priority="63" stopIfTrue="1" operator="between">
      <formula>0</formula>
      <formula>5</formula>
    </cfRule>
    <cfRule type="containsBlanks" dxfId="57" priority="64" stopIfTrue="1">
      <formula>LEN(TRIM(Q445))=0</formula>
    </cfRule>
  </conditionalFormatting>
  <conditionalFormatting sqref="S445">
    <cfRule type="cellIs" dxfId="56" priority="57" stopIfTrue="1" operator="equal">
      <formula>"INVIABLE SANITARIAMENTE"</formula>
    </cfRule>
  </conditionalFormatting>
  <conditionalFormatting sqref="S445">
    <cfRule type="containsText" dxfId="55" priority="52" stopIfTrue="1" operator="containsText" text="INVIABLE SANITARIAMENTE">
      <formula>NOT(ISERROR(SEARCH("INVIABLE SANITARIAMENTE",S445)))</formula>
    </cfRule>
    <cfRule type="containsText" dxfId="54" priority="53" stopIfTrue="1" operator="containsText" text="ALTO">
      <formula>NOT(ISERROR(SEARCH("ALTO",S445)))</formula>
    </cfRule>
    <cfRule type="containsText" dxfId="53" priority="54" stopIfTrue="1" operator="containsText" text="MEDIO">
      <formula>NOT(ISERROR(SEARCH("MEDIO",S445)))</formula>
    </cfRule>
    <cfRule type="containsText" dxfId="52" priority="55" stopIfTrue="1" operator="containsText" text="BAJO">
      <formula>NOT(ISERROR(SEARCH("BAJO",S445)))</formula>
    </cfRule>
    <cfRule type="containsText" dxfId="51" priority="56" stopIfTrue="1" operator="containsText" text="SIN RIESGO">
      <formula>NOT(ISERROR(SEARCH("SIN RIESGO",S445)))</formula>
    </cfRule>
  </conditionalFormatting>
  <conditionalFormatting sqref="S445">
    <cfRule type="containsText" dxfId="50" priority="51" stopIfTrue="1" operator="containsText" text="SIN RIESGO">
      <formula>NOT(ISERROR(SEARCH("SIN RIESGO",S445)))</formula>
    </cfRule>
  </conditionalFormatting>
  <conditionalFormatting sqref="S445">
    <cfRule type="cellIs" dxfId="49" priority="50" stopIfTrue="1" operator="equal">
      <formula>"INVIABLE SANITARIAMENTE"</formula>
    </cfRule>
  </conditionalFormatting>
  <conditionalFormatting sqref="S445">
    <cfRule type="containsText" dxfId="48" priority="45" stopIfTrue="1" operator="containsText" text="INVIABLE SANITARIAMENTE">
      <formula>NOT(ISERROR(SEARCH("INVIABLE SANITARIAMENTE",S445)))</formula>
    </cfRule>
    <cfRule type="containsText" dxfId="47" priority="46" stopIfTrue="1" operator="containsText" text="ALTO">
      <formula>NOT(ISERROR(SEARCH("ALTO",S445)))</formula>
    </cfRule>
    <cfRule type="containsText" dxfId="46" priority="47" stopIfTrue="1" operator="containsText" text="MEDIO">
      <formula>NOT(ISERROR(SEARCH("MEDIO",S445)))</formula>
    </cfRule>
    <cfRule type="containsText" dxfId="45" priority="48" stopIfTrue="1" operator="containsText" text="BAJO">
      <formula>NOT(ISERROR(SEARCH("BAJO",S445)))</formula>
    </cfRule>
    <cfRule type="containsText" dxfId="44" priority="49" stopIfTrue="1" operator="containsText" text="SIN RIESGO">
      <formula>NOT(ISERROR(SEARCH("SIN RIESGO",S445)))</formula>
    </cfRule>
  </conditionalFormatting>
  <conditionalFormatting sqref="S445">
    <cfRule type="containsText" dxfId="43" priority="44" stopIfTrue="1" operator="containsText" text="SIN RIESGO">
      <formula>NOT(ISERROR(SEARCH("SIN RIESGO",S445)))</formula>
    </cfRule>
  </conditionalFormatting>
  <conditionalFormatting sqref="S455">
    <cfRule type="cellIs" dxfId="42" priority="43" stopIfTrue="1" operator="equal">
      <formula>"INVIABLE SANITARIAMENTE"</formula>
    </cfRule>
  </conditionalFormatting>
  <conditionalFormatting sqref="E455:Q455">
    <cfRule type="containsBlanks" dxfId="41" priority="36" stopIfTrue="1">
      <formula>LEN(TRIM(E455))=0</formula>
    </cfRule>
    <cfRule type="cellIs" dxfId="40" priority="37" stopIfTrue="1" operator="between">
      <formula>80.1</formula>
      <formula>100</formula>
    </cfRule>
    <cfRule type="cellIs" dxfId="39" priority="38" stopIfTrue="1" operator="between">
      <formula>35.1</formula>
      <formula>80</formula>
    </cfRule>
    <cfRule type="cellIs" dxfId="38" priority="39" stopIfTrue="1" operator="between">
      <formula>14.1</formula>
      <formula>35</formula>
    </cfRule>
    <cfRule type="cellIs" dxfId="37" priority="40" stopIfTrue="1" operator="between">
      <formula>5.1</formula>
      <formula>14</formula>
    </cfRule>
    <cfRule type="cellIs" dxfId="36" priority="41" stopIfTrue="1" operator="between">
      <formula>0</formula>
      <formula>5</formula>
    </cfRule>
    <cfRule type="containsBlanks" dxfId="35" priority="42" stopIfTrue="1">
      <formula>LEN(TRIM(E455))=0</formula>
    </cfRule>
  </conditionalFormatting>
  <conditionalFormatting sqref="S455">
    <cfRule type="containsText" dxfId="34" priority="31" stopIfTrue="1" operator="containsText" text="INVIABLE SANITARIAMENTE">
      <formula>NOT(ISERROR(SEARCH("INVIABLE SANITARIAMENTE",S455)))</formula>
    </cfRule>
    <cfRule type="containsText" dxfId="33" priority="32" stopIfTrue="1" operator="containsText" text="ALTO">
      <formula>NOT(ISERROR(SEARCH("ALTO",S455)))</formula>
    </cfRule>
    <cfRule type="containsText" dxfId="32" priority="33" stopIfTrue="1" operator="containsText" text="MEDIO">
      <formula>NOT(ISERROR(SEARCH("MEDIO",S455)))</formula>
    </cfRule>
    <cfRule type="containsText" dxfId="31" priority="34" stopIfTrue="1" operator="containsText" text="BAJO">
      <formula>NOT(ISERROR(SEARCH("BAJO",S455)))</formula>
    </cfRule>
    <cfRule type="containsText" dxfId="30" priority="35" stopIfTrue="1" operator="containsText" text="SIN RIESGO">
      <formula>NOT(ISERROR(SEARCH("SIN RIESGO",S455)))</formula>
    </cfRule>
  </conditionalFormatting>
  <conditionalFormatting sqref="S455">
    <cfRule type="containsText" dxfId="29" priority="30" stopIfTrue="1" operator="containsText" text="SIN RIESGO">
      <formula>NOT(ISERROR(SEARCH("SIN RIESGO",S455)))</formula>
    </cfRule>
  </conditionalFormatting>
  <conditionalFormatting sqref="R455">
    <cfRule type="cellIs" dxfId="28" priority="29" stopIfTrue="1" operator="equal">
      <formula>"NO"</formula>
    </cfRule>
  </conditionalFormatting>
  <conditionalFormatting sqref="Q455">
    <cfRule type="containsBlanks" dxfId="27" priority="22" stopIfTrue="1">
      <formula>LEN(TRIM(Q455))=0</formula>
    </cfRule>
    <cfRule type="cellIs" dxfId="26" priority="23" stopIfTrue="1" operator="between">
      <formula>80.1</formula>
      <formula>100</formula>
    </cfRule>
    <cfRule type="cellIs" dxfId="25" priority="24" stopIfTrue="1" operator="between">
      <formula>35.1</formula>
      <formula>80</formula>
    </cfRule>
    <cfRule type="cellIs" dxfId="24" priority="25" stopIfTrue="1" operator="between">
      <formula>14.1</formula>
      <formula>35</formula>
    </cfRule>
    <cfRule type="cellIs" dxfId="23" priority="26" stopIfTrue="1" operator="between">
      <formula>5.1</formula>
      <formula>14</formula>
    </cfRule>
    <cfRule type="cellIs" dxfId="22" priority="27" stopIfTrue="1" operator="between">
      <formula>0</formula>
      <formula>5</formula>
    </cfRule>
    <cfRule type="containsBlanks" dxfId="21" priority="28" stopIfTrue="1">
      <formula>LEN(TRIM(Q455))=0</formula>
    </cfRule>
  </conditionalFormatting>
  <conditionalFormatting sqref="Q455">
    <cfRule type="containsBlanks" dxfId="20" priority="15" stopIfTrue="1">
      <formula>LEN(TRIM(Q455))=0</formula>
    </cfRule>
    <cfRule type="cellIs" dxfId="19" priority="16" stopIfTrue="1" operator="between">
      <formula>80.1</formula>
      <formula>100</formula>
    </cfRule>
    <cfRule type="cellIs" dxfId="18" priority="17" stopIfTrue="1" operator="between">
      <formula>35.1</formula>
      <formula>80</formula>
    </cfRule>
    <cfRule type="cellIs" dxfId="17" priority="18" stopIfTrue="1" operator="between">
      <formula>14.1</formula>
      <formula>35</formula>
    </cfRule>
    <cfRule type="cellIs" dxfId="16" priority="19" stopIfTrue="1" operator="between">
      <formula>5.1</formula>
      <formula>14</formula>
    </cfRule>
    <cfRule type="cellIs" dxfId="15" priority="20" stopIfTrue="1" operator="between">
      <formula>0</formula>
      <formula>5</formula>
    </cfRule>
    <cfRule type="containsBlanks" dxfId="14" priority="21" stopIfTrue="1">
      <formula>LEN(TRIM(Q455))=0</formula>
    </cfRule>
  </conditionalFormatting>
  <conditionalFormatting sqref="S455">
    <cfRule type="cellIs" dxfId="13" priority="14" stopIfTrue="1" operator="equal">
      <formula>"INVIABLE SANITARIAMENTE"</formula>
    </cfRule>
  </conditionalFormatting>
  <conditionalFormatting sqref="S455">
    <cfRule type="containsText" dxfId="12" priority="9" stopIfTrue="1" operator="containsText" text="INVIABLE SANITARIAMENTE">
      <formula>NOT(ISERROR(SEARCH("INVIABLE SANITARIAMENTE",S455)))</formula>
    </cfRule>
    <cfRule type="containsText" dxfId="11" priority="10" stopIfTrue="1" operator="containsText" text="ALTO">
      <formula>NOT(ISERROR(SEARCH("ALTO",S455)))</formula>
    </cfRule>
    <cfRule type="containsText" dxfId="10" priority="11" stopIfTrue="1" operator="containsText" text="MEDIO">
      <formula>NOT(ISERROR(SEARCH("MEDIO",S455)))</formula>
    </cfRule>
    <cfRule type="containsText" dxfId="9" priority="12" stopIfTrue="1" operator="containsText" text="BAJO">
      <formula>NOT(ISERROR(SEARCH("BAJO",S455)))</formula>
    </cfRule>
    <cfRule type="containsText" dxfId="8" priority="13" stopIfTrue="1" operator="containsText" text="SIN RIESGO">
      <formula>NOT(ISERROR(SEARCH("SIN RIESGO",S455)))</formula>
    </cfRule>
  </conditionalFormatting>
  <conditionalFormatting sqref="S455">
    <cfRule type="containsText" dxfId="7" priority="8" stopIfTrue="1" operator="containsText" text="SIN RIESGO">
      <formula>NOT(ISERROR(SEARCH("SIN RIESGO",S455)))</formula>
    </cfRule>
  </conditionalFormatting>
  <conditionalFormatting sqref="S455">
    <cfRule type="cellIs" dxfId="6" priority="7" stopIfTrue="1" operator="equal">
      <formula>"INVIABLE SANITARIAMENTE"</formula>
    </cfRule>
  </conditionalFormatting>
  <conditionalFormatting sqref="S455">
    <cfRule type="containsText" dxfId="5" priority="2" stopIfTrue="1" operator="containsText" text="INVIABLE SANITARIAMENTE">
      <formula>NOT(ISERROR(SEARCH("INVIABLE SANITARIAMENTE",S455)))</formula>
    </cfRule>
    <cfRule type="containsText" dxfId="4" priority="3" stopIfTrue="1" operator="containsText" text="ALTO">
      <formula>NOT(ISERROR(SEARCH("ALTO",S455)))</formula>
    </cfRule>
    <cfRule type="containsText" dxfId="3" priority="4" stopIfTrue="1" operator="containsText" text="MEDIO">
      <formula>NOT(ISERROR(SEARCH("MEDIO",S455)))</formula>
    </cfRule>
    <cfRule type="containsText" dxfId="2" priority="5" stopIfTrue="1" operator="containsText" text="BAJO">
      <formula>NOT(ISERROR(SEARCH("BAJO",S455)))</formula>
    </cfRule>
    <cfRule type="containsText" dxfId="1" priority="6" stopIfTrue="1" operator="containsText" text="SIN RIESGO">
      <formula>NOT(ISERROR(SEARCH("SIN RIESGO",S455)))</formula>
    </cfRule>
  </conditionalFormatting>
  <conditionalFormatting sqref="S455">
    <cfRule type="containsText" dxfId="0" priority="1" stopIfTrue="1" operator="containsText" text="SIN RIESGO">
      <formula>NOT(ISERROR(SEARCH("SIN RIESGO",S455)))</formula>
    </cfRule>
  </conditionalFormatting>
  <printOptions horizontalCentered="1"/>
  <pageMargins left="0.28999999999999998" right="0.2" top="0.6692913385826772" bottom="0.9055118110236221" header="0.43" footer="0.59055118110236227"/>
  <pageSetup paperSize="14" scale="75" orientation="landscape" r:id="rId5"/>
  <headerFooter alignWithMargins="0">
    <oddHeader xml:space="preserve">&amp;L
&amp;C&amp;"Arial,Negrita"&amp;12
&amp;R
&amp;"Arial,Negrita"&amp;12
</oddHeader>
    <oddFooter>&amp;L                                       NA: APLICA.     INDICE DE RIESGO DE CALIDAD DEL  AGUA- IRCA- APTA PARA EL CONSUMO HUMANO. 0 - 5 % % SE CONSIDERA NO APTA PARA EL CONSUMO: 5.1 - 100 %&amp;R
&amp;P</oddFooter>
  </headerFooter>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VALLE DE ABURRA</vt:lpstr>
      <vt:lpstr>URABA</vt:lpstr>
      <vt:lpstr>NORTE</vt:lpstr>
      <vt:lpstr>OCCIDENTE</vt:lpstr>
      <vt:lpstr>SUROESTE</vt:lpstr>
      <vt:lpstr>BAJO CAUCA</vt:lpstr>
      <vt:lpstr>MAGDALENA MEDIO</vt:lpstr>
      <vt:lpstr>NORDESTE</vt:lpstr>
      <vt:lpstr>ORIENTE</vt:lpstr>
      <vt:lpstr>CONSOLIDADO-ACUEDUCTOSRURALES1</vt:lpstr>
      <vt:lpstr>CONSOLIDADO-ACUEDUCTOSRURALES2</vt:lpstr>
      <vt:lpstr>Hoja1</vt:lpstr>
      <vt:lpstr>Recuperado_Hoja9</vt:lpstr>
      <vt:lpstr>'MAGDALENA MEDIO'!Títulos_a_imprimir</vt:lpstr>
    </vt:vector>
  </TitlesOfParts>
  <Company>DSSA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jtabaresm</dc:creator>
  <cp:lastModifiedBy>JOHN TABARES</cp:lastModifiedBy>
  <cp:lastPrinted>2019-07-04T14:31:52Z</cp:lastPrinted>
  <dcterms:created xsi:type="dcterms:W3CDTF">2008-05-21T23:04:50Z</dcterms:created>
  <dcterms:modified xsi:type="dcterms:W3CDTF">2021-06-16T17:31:25Z</dcterms:modified>
</cp:coreProperties>
</file>